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001"/>
  <workbookPr codeName="ThisWorkbook"/>
  <mc:AlternateContent xmlns:mc="http://schemas.openxmlformats.org/markup-compatibility/2006">
    <mc:Choice Requires="x15">
      <x15ac:absPath xmlns:x15ac="http://schemas.microsoft.com/office/spreadsheetml/2010/11/ac" url="\\DELLPC2\final central 22.11.17\TARIFF\2021\"/>
    </mc:Choice>
  </mc:AlternateContent>
  <xr:revisionPtr revIDLastSave="0" documentId="8_{0C150508-930F-421D-93FA-D24ECA88F453}" xr6:coauthVersionLast="45" xr6:coauthVersionMax="45" xr10:uidLastSave="{00000000-0000-0000-0000-000000000000}"/>
  <workbookProtection lockStructure="1"/>
  <bookViews>
    <workbookView xWindow="-120" yWindow="-120" windowWidth="15600" windowHeight="11160" tabRatio="931" xr2:uid="{00000000-000D-0000-FFFF-FFFF00000000}"/>
  </bookViews>
  <sheets>
    <sheet name="COVER" sheetId="1" r:id="rId1"/>
    <sheet name="INDEX" sheetId="2" r:id="rId2"/>
    <sheet name="INFO" sheetId="3" r:id="rId3"/>
    <sheet name="PAY" sheetId="4" r:id="rId4"/>
    <sheet name="GLOSSARY" sheetId="5" r:id="rId5"/>
    <sheet name="TRANSFERS" sheetId="6" r:id="rId6"/>
    <sheet name="ATHENS" sheetId="7" r:id="rId7"/>
    <sheet name="AEGINA" sheetId="8" r:id="rId8"/>
    <sheet name="ARACHOVA" sheetId="9" r:id="rId9"/>
    <sheet name="CEPHALONIA" sheetId="10" r:id="rId10"/>
    <sheet name="CHALKIDIKI" sheetId="11" r:id="rId11"/>
    <sheet name="CORFU" sheetId="12" r:id="rId12"/>
    <sheet name="CRETE" sheetId="13" r:id="rId13"/>
    <sheet name="DELPHI" sheetId="14" r:id="rId14"/>
    <sheet name="EVIA" sheetId="15" r:id="rId15"/>
    <sheet name="GYTHEIO" sheetId="16" r:id="rId16"/>
    <sheet name="HYDRA" sheetId="17" r:id="rId17"/>
    <sheet name="IOANNINA" sheetId="18" r:id="rId18"/>
    <sheet name="IOS" sheetId="19" r:id="rId19"/>
    <sheet name="KALAMATA" sheetId="20" r:id="rId20"/>
    <sheet name="KALAMBAKA" sheetId="21" r:id="rId21"/>
    <sheet name="KAVALA" sheetId="22" r:id="rId22"/>
    <sheet name="KOS" sheetId="23" r:id="rId23"/>
    <sheet name="LOUTRAKI" sheetId="24" r:id="rId24"/>
    <sheet name="MYCONOS" sheetId="25" r:id="rId25"/>
    <sheet name="NAFPLIO" sheetId="26" r:id="rId26"/>
    <sheet name="NAXOS" sheetId="27" r:id="rId27"/>
    <sheet name="OLYMPIA" sheetId="28" r:id="rId28"/>
    <sheet name="PATRA" sheetId="29" r:id="rId29"/>
    <sheet name="PAROS" sheetId="30" r:id="rId30"/>
    <sheet name="PATMOS" sheetId="31" r:id="rId31"/>
    <sheet name="POROS" sheetId="32" r:id="rId32"/>
    <sheet name="PYLOS" sheetId="33" r:id="rId33"/>
    <sheet name="RHODES" sheetId="34" r:id="rId34"/>
    <sheet name="SAMOS" sheetId="35" r:id="rId35"/>
    <sheet name="SANTORINI" sheetId="36" r:id="rId36"/>
    <sheet name="SKIATHOS" sheetId="37" r:id="rId37"/>
    <sheet name="SKOPELOS" sheetId="38" r:id="rId38"/>
    <sheet name="SYROS" sheetId="39" r:id="rId39"/>
    <sheet name="THESSALONIKI" sheetId="40" r:id="rId40"/>
    <sheet name="ZAKYNTHOS" sheetId="41" r:id="rId41"/>
  </sheets>
  <externalReferences>
    <externalReference r:id="rId42"/>
  </externalReferences>
  <definedNames>
    <definedName name="_xlnm.Print_Area" localSheetId="35">SANTORINI!$A$1:$N$549</definedName>
    <definedName name="Z_3C76061C_A85D_4390_B9DB_73E13038638C_.wvu.Cols" localSheetId="5" hidden="1">TRANSFERS!$D:$D</definedName>
    <definedName name="Z_3C76061C_A85D_4390_B9DB_73E13038638C_.wvu.PrintArea" localSheetId="35" hidden="1">SANTORINI!$A$1:$N$549</definedName>
    <definedName name="Z_777CFE61_6F99_11D9_974B_0050BFD074B6_.wvu.Cols" localSheetId="6" hidden="1">ATHENS!$O:$O</definedName>
    <definedName name="Z_777CFE61_6F99_11D9_974B_0050BFD074B6_.wvu.PrintArea" localSheetId="6" hidden="1">ATHENS!$A$1:$N$997</definedName>
    <definedName name="Z_777CFE61_6F99_11D9_974B_0050BFD074B6_.wvu.PrintArea" localSheetId="11" hidden="1">CORFU!$A$1:$N$132</definedName>
    <definedName name="Z_777CFE61_6F99_11D9_974B_0050BFD074B6_.wvu.PrintArea" localSheetId="12" hidden="1">CRETE!$A$1:$N$490</definedName>
    <definedName name="Z_777CFE61_6F99_11D9_974B_0050BFD074B6_.wvu.PrintArea" localSheetId="4" hidden="1">GLOSSARY!$A$1:$J$55</definedName>
    <definedName name="Z_777CFE61_6F99_11D9_974B_0050BFD074B6_.wvu.PrintArea" localSheetId="1" hidden="1">INDEX!$A$1:$G$50</definedName>
    <definedName name="Z_777CFE61_6F99_11D9_974B_0050BFD074B6_.wvu.PrintArea" localSheetId="2" hidden="1">INFO!$A$1:$I$33</definedName>
    <definedName name="Z_777CFE61_6F99_11D9_974B_0050BFD074B6_.wvu.PrintArea" localSheetId="18" hidden="1">IOS!$A$1:$N$62</definedName>
    <definedName name="Z_777CFE61_6F99_11D9_974B_0050BFD074B6_.wvu.PrintArea" localSheetId="22" hidden="1">KOS!$A$1:$N$20</definedName>
    <definedName name="Z_777CFE61_6F99_11D9_974B_0050BFD074B6_.wvu.PrintArea" localSheetId="24" hidden="1">MYCONOS!$A$1:$N$491</definedName>
    <definedName name="Z_777CFE61_6F99_11D9_974B_0050BFD074B6_.wvu.PrintArea" localSheetId="26" hidden="1">NAXOS!$A$19:$N$140</definedName>
    <definedName name="Z_777CFE61_6F99_11D9_974B_0050BFD074B6_.wvu.PrintArea" localSheetId="29" hidden="1">PAROS!$A$1:$N$219</definedName>
    <definedName name="Z_777CFE61_6F99_11D9_974B_0050BFD074B6_.wvu.PrintArea" localSheetId="3" hidden="1">PAY!$A$1:$J$54</definedName>
    <definedName name="Z_777CFE61_6F99_11D9_974B_0050BFD074B6_.wvu.PrintArea" localSheetId="33" hidden="1">RHODES!$A$1:$N$347</definedName>
    <definedName name="Z_777CFE61_6F99_11D9_974B_0050BFD074B6_.wvu.PrintArea" localSheetId="34" hidden="1">SAMOS!$A$1:$N$19</definedName>
    <definedName name="Z_777CFE61_6F99_11D9_974B_0050BFD074B6_.wvu.PrintArea" localSheetId="35" hidden="1">SANTORINI!$A$1:$N$549</definedName>
    <definedName name="Z_777CFE61_6F99_11D9_974B_0050BFD074B6_.wvu.PrintArea" localSheetId="5" hidden="1">TRANSFERS!$A$2:$I$3</definedName>
    <definedName name="Z_777CFE61_6F99_11D9_974B_0050BFD074B6_.wvu.Rows" localSheetId="6" hidden="1">ATHENS!#REF!</definedName>
  </definedNames>
  <calcPr calcId="191029"/>
  <customWorkbookViews>
    <customWorkbookView name="Χρήστης των Windows - Personal View" guid="{3C76061C-A85D-4390-B9DB-73E13038638C}" mergeInterval="0" personalView="1" maximized="1" xWindow="-8" yWindow="-8" windowWidth="1040" windowHeight="744" tabRatio="931" activeSheetId="1"/>
    <customWorkbookView name="hellas - Personal View" guid="{777CFE61-6F99-11D9-974B-0050BFD074B6}" mergeInterval="0" personalView="1" maximized="1" windowWidth="1020" windowHeight="579" tabRatio="900" activeSheetId="7"/>
    <customWorkbookView name="Bahamut - Προσωπική προβολή" guid="{95D45CB7-1E39-11D6-AFD7-008048E20DDD}" mergeInterval="0" personalView="1" maximized="1" windowWidth="1020" windowHeight="634"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19" i="33" l="1"/>
  <c r="K19" i="33"/>
  <c r="J19" i="33"/>
  <c r="L18" i="33"/>
  <c r="K18" i="33"/>
  <c r="J18" i="33"/>
  <c r="L17" i="33"/>
  <c r="K17" i="33"/>
  <c r="J17" i="33"/>
  <c r="L16" i="33"/>
  <c r="K16" i="33"/>
  <c r="J16" i="33"/>
  <c r="N48" i="34"/>
  <c r="N47" i="34"/>
  <c r="N46" i="34"/>
  <c r="M46" i="34"/>
  <c r="M48" i="34"/>
  <c r="M47" i="34"/>
  <c r="L48" i="34"/>
  <c r="L47" i="34"/>
  <c r="L46" i="34"/>
  <c r="K48" i="34"/>
  <c r="K47" i="34"/>
  <c r="K46" i="34"/>
  <c r="J48" i="34"/>
  <c r="J47" i="34"/>
  <c r="J46" i="34"/>
  <c r="M112" i="34"/>
  <c r="M111" i="34"/>
  <c r="M110" i="34"/>
  <c r="M109" i="34"/>
  <c r="M108" i="34"/>
  <c r="M107" i="34"/>
  <c r="L112" i="34"/>
  <c r="L111" i="34"/>
  <c r="L110" i="34"/>
  <c r="L109" i="34"/>
  <c r="L108" i="34"/>
  <c r="L107" i="34"/>
  <c r="K112" i="34"/>
  <c r="K111" i="34"/>
  <c r="K110" i="34"/>
  <c r="K109" i="34"/>
  <c r="K108" i="34"/>
  <c r="K107" i="34"/>
  <c r="J112" i="34"/>
  <c r="J111" i="34"/>
  <c r="J110" i="34"/>
  <c r="J109" i="34"/>
  <c r="J108" i="34"/>
  <c r="J107" i="34"/>
  <c r="N216" i="34"/>
  <c r="N215" i="34"/>
  <c r="N214" i="34"/>
  <c r="M216" i="34"/>
  <c r="M215" i="34"/>
  <c r="M214" i="34"/>
  <c r="L216" i="34"/>
  <c r="L215" i="34"/>
  <c r="L214" i="34"/>
  <c r="K216" i="34"/>
  <c r="K215" i="34"/>
  <c r="K214" i="34"/>
  <c r="J216" i="34"/>
  <c r="J215" i="34"/>
  <c r="J214" i="34"/>
  <c r="M346" i="34"/>
  <c r="M345" i="34"/>
  <c r="M344" i="34"/>
  <c r="L346" i="34"/>
  <c r="L345" i="34"/>
  <c r="L344" i="34"/>
  <c r="K346" i="34"/>
  <c r="K345" i="34"/>
  <c r="K344" i="34"/>
  <c r="J346" i="34"/>
  <c r="J345" i="34"/>
  <c r="J344" i="34"/>
  <c r="M185" i="25"/>
  <c r="M184" i="25"/>
  <c r="M183" i="25"/>
  <c r="L185" i="25"/>
  <c r="L184" i="25"/>
  <c r="L183" i="25"/>
  <c r="K185" i="25"/>
  <c r="K184" i="25"/>
  <c r="K183" i="25"/>
  <c r="J185" i="25"/>
  <c r="J184" i="25"/>
  <c r="J183" i="25"/>
  <c r="M319" i="25"/>
  <c r="M318" i="25"/>
  <c r="M317" i="25"/>
  <c r="L319" i="25"/>
  <c r="L318" i="25"/>
  <c r="L317" i="25"/>
  <c r="K319" i="25"/>
  <c r="K318" i="25"/>
  <c r="K317" i="25"/>
  <c r="J319" i="25"/>
  <c r="J318" i="25"/>
  <c r="J317" i="25"/>
  <c r="L95" i="36"/>
  <c r="L94" i="36"/>
  <c r="K95" i="36"/>
  <c r="K94" i="36"/>
  <c r="J95" i="36"/>
  <c r="J94" i="36"/>
  <c r="L204" i="36"/>
  <c r="K204" i="36"/>
  <c r="J204" i="36"/>
  <c r="L203" i="36"/>
  <c r="K203" i="36"/>
  <c r="J203" i="36"/>
  <c r="L358" i="36"/>
  <c r="K358" i="36"/>
  <c r="J358" i="36"/>
  <c r="L357" i="36"/>
  <c r="K357" i="36"/>
  <c r="J357" i="36"/>
  <c r="K127" i="36"/>
  <c r="J127" i="36"/>
  <c r="K126" i="36"/>
  <c r="J126" i="36"/>
  <c r="K125" i="36"/>
  <c r="J125" i="36"/>
  <c r="M531" i="36"/>
  <c r="M530" i="36"/>
  <c r="M529" i="36"/>
  <c r="L531" i="36"/>
  <c r="L530" i="36"/>
  <c r="L529" i="36"/>
  <c r="K531" i="36"/>
  <c r="K530" i="36"/>
  <c r="K529" i="36"/>
  <c r="J531" i="36"/>
  <c r="J530" i="36"/>
  <c r="J529" i="36"/>
  <c r="N517" i="36"/>
  <c r="N516" i="36"/>
  <c r="N515" i="36"/>
  <c r="M517" i="36"/>
  <c r="M516" i="36"/>
  <c r="M515" i="36"/>
  <c r="L517" i="36"/>
  <c r="L515" i="36"/>
  <c r="K517" i="36"/>
  <c r="K516" i="36"/>
  <c r="K515" i="36"/>
  <c r="J517" i="36"/>
  <c r="J516" i="36"/>
  <c r="J515" i="36"/>
  <c r="L373" i="36"/>
  <c r="K373" i="36"/>
  <c r="J373" i="36"/>
  <c r="L372" i="36"/>
  <c r="K372" i="36"/>
  <c r="J372" i="36"/>
  <c r="N30" i="11"/>
  <c r="M30" i="11"/>
  <c r="L30" i="11"/>
  <c r="K30" i="11"/>
  <c r="J30" i="11"/>
  <c r="N29" i="11"/>
  <c r="M29" i="11"/>
  <c r="L29" i="11"/>
  <c r="K29" i="11"/>
  <c r="J29" i="11"/>
  <c r="N28" i="11"/>
  <c r="M28" i="11"/>
  <c r="L28" i="11"/>
  <c r="K28" i="11"/>
  <c r="J28" i="11"/>
  <c r="N13" i="11"/>
  <c r="N12" i="11"/>
  <c r="N11" i="11"/>
  <c r="M13" i="11"/>
  <c r="M12" i="11"/>
  <c r="M11" i="11"/>
  <c r="L13" i="11"/>
  <c r="L12" i="11"/>
  <c r="L11" i="11"/>
  <c r="K13" i="11"/>
  <c r="K12" i="11"/>
  <c r="K11" i="11"/>
  <c r="J13" i="11"/>
  <c r="J12" i="11"/>
  <c r="J11" i="11"/>
  <c r="M45" i="11"/>
  <c r="M44" i="11"/>
  <c r="L45" i="11"/>
  <c r="L44" i="11"/>
  <c r="K45" i="11"/>
  <c r="K44" i="11"/>
  <c r="J45" i="11"/>
  <c r="J44" i="11"/>
  <c r="M43" i="11"/>
  <c r="L43" i="11"/>
  <c r="K43" i="11"/>
  <c r="J43" i="11"/>
  <c r="L47" i="39"/>
  <c r="L46" i="39"/>
  <c r="L45" i="39"/>
  <c r="K47" i="39"/>
  <c r="K46" i="39"/>
  <c r="K45" i="39"/>
  <c r="J47" i="39"/>
  <c r="J46" i="39"/>
  <c r="J45" i="39"/>
  <c r="J29" i="39"/>
  <c r="J97" i="40"/>
  <c r="K195" i="40"/>
  <c r="K194" i="40"/>
  <c r="K193" i="40"/>
  <c r="J195" i="40"/>
  <c r="J194" i="40"/>
  <c r="J193" i="40"/>
  <c r="L132" i="12"/>
  <c r="L131" i="12"/>
  <c r="L130" i="12"/>
  <c r="K132" i="12"/>
  <c r="K131" i="12"/>
  <c r="K130" i="12"/>
  <c r="J132" i="12"/>
  <c r="J131" i="12"/>
  <c r="J130" i="12"/>
  <c r="L93" i="12"/>
  <c r="L92" i="12"/>
  <c r="L94" i="12"/>
  <c r="K94" i="12"/>
  <c r="K93" i="12"/>
  <c r="K92" i="12"/>
  <c r="J94" i="12"/>
  <c r="J93" i="12"/>
  <c r="J92" i="12"/>
  <c r="L91" i="12"/>
  <c r="K91" i="12"/>
  <c r="J91" i="12"/>
  <c r="N76" i="12"/>
  <c r="N75" i="12"/>
  <c r="N74" i="12"/>
  <c r="M76" i="12"/>
  <c r="M75" i="12"/>
  <c r="M74" i="12"/>
  <c r="L76" i="12"/>
  <c r="L75" i="12"/>
  <c r="L74" i="12"/>
  <c r="K76" i="12"/>
  <c r="K75" i="12"/>
  <c r="K74" i="12"/>
  <c r="J76" i="12"/>
  <c r="J75" i="12"/>
  <c r="J74" i="12"/>
  <c r="N77" i="12"/>
  <c r="M77" i="12"/>
  <c r="L77" i="12"/>
  <c r="K77" i="12"/>
  <c r="J77" i="12"/>
  <c r="N60" i="12"/>
  <c r="N59" i="12"/>
  <c r="N58" i="12"/>
  <c r="N57" i="12"/>
  <c r="N56" i="12"/>
  <c r="N55" i="12"/>
  <c r="M60" i="12"/>
  <c r="M59" i="12"/>
  <c r="M58" i="12"/>
  <c r="M57" i="12"/>
  <c r="M56" i="12"/>
  <c r="M55" i="12"/>
  <c r="L60" i="12"/>
  <c r="L59" i="12"/>
  <c r="L58" i="12"/>
  <c r="L57" i="12"/>
  <c r="L55" i="12"/>
  <c r="K60" i="12"/>
  <c r="K59" i="12"/>
  <c r="K58" i="12"/>
  <c r="K57" i="12"/>
  <c r="K56" i="12"/>
  <c r="K55" i="12"/>
  <c r="J60" i="12"/>
  <c r="J59" i="12"/>
  <c r="J58" i="12"/>
  <c r="J57" i="12"/>
  <c r="J55" i="12"/>
  <c r="N54" i="12"/>
  <c r="M54" i="12"/>
  <c r="L54" i="12"/>
  <c r="K54" i="12"/>
  <c r="J54" i="12"/>
  <c r="N38" i="12"/>
  <c r="N37" i="12"/>
  <c r="N36" i="12"/>
  <c r="M38" i="12"/>
  <c r="M37" i="12"/>
  <c r="M36" i="12"/>
  <c r="L38" i="12"/>
  <c r="L37" i="12"/>
  <c r="L36" i="12"/>
  <c r="K38" i="12"/>
  <c r="K37" i="12"/>
  <c r="K36" i="12"/>
  <c r="J37" i="12"/>
  <c r="J36" i="12"/>
  <c r="N35" i="12"/>
  <c r="M35" i="12"/>
  <c r="L35" i="12"/>
  <c r="K35" i="12"/>
  <c r="J35" i="12"/>
  <c r="M341" i="13"/>
  <c r="M340" i="13"/>
  <c r="M339" i="13"/>
  <c r="L341" i="13"/>
  <c r="L340" i="13"/>
  <c r="L339" i="13"/>
  <c r="K341" i="13"/>
  <c r="K340" i="13"/>
  <c r="K339" i="13"/>
  <c r="J341" i="13"/>
  <c r="J340" i="13"/>
  <c r="J339" i="13"/>
  <c r="M398" i="13"/>
  <c r="M397" i="13"/>
  <c r="M396" i="13"/>
  <c r="L398" i="13"/>
  <c r="L397" i="13"/>
  <c r="L396" i="13"/>
  <c r="K398" i="13"/>
  <c r="K397" i="13"/>
  <c r="K396" i="13"/>
  <c r="J398" i="13"/>
  <c r="J397" i="13"/>
  <c r="J396" i="13"/>
  <c r="M276" i="13"/>
  <c r="M275" i="13"/>
  <c r="L276" i="13"/>
  <c r="L275" i="13"/>
  <c r="K276" i="13"/>
  <c r="K275" i="13"/>
  <c r="J276" i="13"/>
  <c r="J275" i="13"/>
  <c r="M258" i="13"/>
  <c r="M257" i="13"/>
  <c r="M256" i="13"/>
  <c r="L258" i="13"/>
  <c r="L257" i="13"/>
  <c r="L256" i="13"/>
  <c r="K258" i="13"/>
  <c r="K257" i="13"/>
  <c r="K256" i="13"/>
  <c r="J258" i="13"/>
  <c r="J257" i="13"/>
  <c r="J256" i="13"/>
  <c r="M93" i="13"/>
  <c r="L93" i="13"/>
  <c r="K93" i="13"/>
  <c r="J93" i="13"/>
  <c r="M92" i="13"/>
  <c r="L92" i="13"/>
  <c r="K92" i="13"/>
  <c r="J92" i="13"/>
  <c r="M91" i="13"/>
  <c r="L91" i="13"/>
  <c r="K91" i="13"/>
  <c r="J91" i="13"/>
  <c r="N243" i="13"/>
  <c r="M243" i="13"/>
  <c r="L243" i="13"/>
  <c r="K243" i="13"/>
  <c r="J243" i="13"/>
  <c r="N242" i="13"/>
  <c r="M242" i="13"/>
  <c r="L242" i="13"/>
  <c r="K242" i="13"/>
  <c r="J242" i="13"/>
  <c r="N241" i="13"/>
  <c r="M241" i="13"/>
  <c r="L241" i="13"/>
  <c r="K241" i="13"/>
  <c r="J241" i="13"/>
  <c r="M442" i="13"/>
  <c r="L442" i="13"/>
  <c r="K442" i="13"/>
  <c r="J442" i="13"/>
  <c r="M441" i="13"/>
  <c r="L441" i="13"/>
  <c r="K441" i="13"/>
  <c r="J441" i="13"/>
  <c r="M440" i="13"/>
  <c r="L440" i="13"/>
  <c r="K440" i="13"/>
  <c r="J440" i="13"/>
  <c r="M141" i="13"/>
  <c r="M140" i="13"/>
  <c r="L141" i="13"/>
  <c r="L140" i="13"/>
  <c r="K141" i="13"/>
  <c r="K140" i="13"/>
  <c r="J141" i="13"/>
  <c r="J140" i="13"/>
  <c r="M139" i="13"/>
  <c r="L139" i="13"/>
  <c r="K139" i="13"/>
  <c r="J139" i="13"/>
  <c r="K456" i="13"/>
  <c r="J456" i="13"/>
  <c r="K455" i="13"/>
  <c r="J455" i="13"/>
  <c r="K454" i="13"/>
  <c r="J454" i="13"/>
  <c r="L490" i="13"/>
  <c r="K490" i="13"/>
  <c r="J490" i="13"/>
  <c r="L489" i="13"/>
  <c r="K489" i="13"/>
  <c r="J489" i="13"/>
  <c r="L488" i="13"/>
  <c r="K488" i="13"/>
  <c r="J488" i="13"/>
  <c r="K472" i="13"/>
  <c r="K471" i="13"/>
  <c r="K470" i="13"/>
  <c r="J472" i="13"/>
  <c r="J471" i="13"/>
  <c r="J470" i="13"/>
  <c r="N413" i="13"/>
  <c r="N412" i="13"/>
  <c r="K412" i="13"/>
  <c r="N411" i="13"/>
  <c r="M413" i="13"/>
  <c r="M412" i="13"/>
  <c r="M411" i="13"/>
  <c r="L413" i="13"/>
  <c r="L412" i="13"/>
  <c r="L411" i="13"/>
  <c r="K413" i="13"/>
  <c r="K411" i="13"/>
  <c r="J413" i="13"/>
  <c r="J412" i="13"/>
  <c r="J411" i="13"/>
  <c r="M295" i="13"/>
  <c r="M294" i="13"/>
  <c r="L295" i="13"/>
  <c r="L294" i="13"/>
  <c r="K295" i="13"/>
  <c r="K294" i="13"/>
  <c r="J295" i="13"/>
  <c r="J294" i="13"/>
  <c r="M293" i="13"/>
  <c r="L293" i="13"/>
  <c r="K293" i="13"/>
  <c r="J293" i="13"/>
  <c r="M292" i="13"/>
  <c r="L292" i="13"/>
  <c r="K292" i="13"/>
  <c r="J292" i="13"/>
  <c r="M291" i="13"/>
  <c r="L291" i="13"/>
  <c r="K291" i="13"/>
  <c r="J291" i="13"/>
  <c r="N124" i="13"/>
  <c r="N123" i="13"/>
  <c r="N122" i="13"/>
  <c r="M124" i="13"/>
  <c r="M123" i="13"/>
  <c r="M122" i="13"/>
  <c r="L124" i="13"/>
  <c r="L123" i="13"/>
  <c r="L122" i="13"/>
  <c r="K124" i="13"/>
  <c r="K123" i="13"/>
  <c r="K122" i="13"/>
  <c r="J124" i="13"/>
  <c r="J123" i="13"/>
  <c r="J122" i="13"/>
  <c r="K78" i="13"/>
  <c r="K77" i="13"/>
  <c r="K76" i="13"/>
  <c r="K75" i="13"/>
  <c r="J78" i="13"/>
  <c r="J77" i="13"/>
  <c r="J76" i="13"/>
  <c r="J75" i="13"/>
  <c r="J44" i="13"/>
  <c r="M44" i="13"/>
  <c r="L44" i="13"/>
  <c r="K44" i="13"/>
  <c r="M43" i="13"/>
  <c r="L43" i="13"/>
  <c r="K43" i="13"/>
  <c r="J43" i="13"/>
  <c r="M42" i="13"/>
  <c r="L42" i="13"/>
  <c r="K42" i="13"/>
  <c r="J42" i="13"/>
  <c r="M21" i="13"/>
  <c r="M20" i="13"/>
  <c r="L21" i="13"/>
  <c r="L20" i="13"/>
  <c r="K21" i="13"/>
  <c r="K20" i="13"/>
  <c r="J21" i="13"/>
  <c r="J20" i="13"/>
  <c r="M19" i="13"/>
  <c r="L19" i="13"/>
  <c r="K19" i="13"/>
  <c r="J19" i="13"/>
  <c r="M18" i="13"/>
  <c r="M17" i="13"/>
  <c r="L18" i="13"/>
  <c r="L17" i="13"/>
  <c r="K18" i="13"/>
  <c r="K17" i="13"/>
  <c r="J18" i="13"/>
  <c r="J17" i="13"/>
  <c r="M16" i="13"/>
  <c r="L16" i="13"/>
  <c r="J16" i="13"/>
  <c r="K513" i="7"/>
  <c r="K512" i="7"/>
  <c r="K511" i="7"/>
  <c r="K510" i="7"/>
  <c r="J513" i="7"/>
  <c r="J512" i="7"/>
  <c r="J511" i="7"/>
  <c r="J510" i="7"/>
  <c r="M258" i="7"/>
  <c r="M257" i="7"/>
  <c r="M256" i="7"/>
  <c r="L258" i="7"/>
  <c r="L257" i="7"/>
  <c r="L256" i="7"/>
  <c r="K258" i="7"/>
  <c r="K257" i="7"/>
  <c r="K256" i="7"/>
  <c r="J258" i="7"/>
  <c r="J257" i="7"/>
  <c r="J256" i="7"/>
  <c r="K216" i="7"/>
  <c r="K215" i="7"/>
  <c r="K214" i="7"/>
  <c r="J216" i="7"/>
  <c r="J215" i="7"/>
  <c r="J214" i="7"/>
  <c r="L164" i="7"/>
  <c r="L163" i="7"/>
  <c r="L162" i="7"/>
  <c r="K164" i="7"/>
  <c r="K163" i="7"/>
  <c r="K162" i="7"/>
  <c r="J164" i="7"/>
  <c r="J163" i="7"/>
  <c r="J162" i="7"/>
  <c r="L83" i="7"/>
  <c r="L82" i="7"/>
  <c r="K83" i="7"/>
  <c r="K82" i="7"/>
  <c r="J83" i="7"/>
  <c r="J82" i="7"/>
  <c r="M34" i="24"/>
  <c r="K19" i="18"/>
  <c r="J324" i="34"/>
  <c r="J29" i="10"/>
  <c r="L15" i="10"/>
  <c r="L14" i="10"/>
  <c r="L13" i="10"/>
  <c r="L12" i="10"/>
  <c r="K15" i="10"/>
  <c r="K14" i="10"/>
  <c r="K13" i="10"/>
  <c r="K12" i="10"/>
  <c r="J15" i="10"/>
  <c r="J14" i="10"/>
  <c r="J13" i="10"/>
  <c r="J12" i="10"/>
  <c r="M457" i="36"/>
  <c r="M456" i="36"/>
  <c r="L457" i="36"/>
  <c r="L456" i="36"/>
  <c r="K457" i="36"/>
  <c r="K456" i="36"/>
  <c r="J456" i="36"/>
  <c r="J457" i="36"/>
  <c r="M437" i="36"/>
  <c r="M436" i="36"/>
  <c r="M435" i="36"/>
  <c r="M434" i="36"/>
  <c r="M433" i="36"/>
  <c r="L437" i="36"/>
  <c r="L436" i="36"/>
  <c r="L435" i="36"/>
  <c r="L434" i="36"/>
  <c r="L433" i="36"/>
  <c r="K437" i="36"/>
  <c r="K436" i="36"/>
  <c r="K435" i="36"/>
  <c r="K434" i="36"/>
  <c r="K433" i="36"/>
  <c r="J437" i="36"/>
  <c r="J436" i="36"/>
  <c r="J435" i="36"/>
  <c r="J434" i="36"/>
  <c r="J433" i="36"/>
  <c r="M344" i="36"/>
  <c r="M343" i="36"/>
  <c r="M342" i="36"/>
  <c r="M341" i="36"/>
  <c r="L344" i="36"/>
  <c r="L343" i="36"/>
  <c r="L342" i="36"/>
  <c r="L341" i="36"/>
  <c r="K344" i="36"/>
  <c r="K343" i="36"/>
  <c r="K342" i="36"/>
  <c r="K341" i="36"/>
  <c r="J344" i="36"/>
  <c r="J343" i="36"/>
  <c r="J342" i="36"/>
  <c r="J341" i="36"/>
  <c r="M503" i="36"/>
  <c r="M502" i="36"/>
  <c r="M501" i="36"/>
  <c r="M500" i="36"/>
  <c r="L503" i="36"/>
  <c r="L502" i="36"/>
  <c r="L501" i="36"/>
  <c r="L500" i="36"/>
  <c r="K503" i="36"/>
  <c r="K502" i="36"/>
  <c r="K501" i="36"/>
  <c r="K500" i="36"/>
  <c r="J503" i="36"/>
  <c r="J502" i="36"/>
  <c r="J501" i="36"/>
  <c r="J500" i="36"/>
  <c r="M241" i="36"/>
  <c r="M240" i="36"/>
  <c r="M239" i="36"/>
  <c r="L241" i="36"/>
  <c r="L240" i="36"/>
  <c r="L239" i="36"/>
  <c r="K241" i="36"/>
  <c r="K240" i="36"/>
  <c r="K239" i="36"/>
  <c r="J241" i="36"/>
  <c r="J240" i="36"/>
  <c r="J239" i="36"/>
  <c r="L158" i="36"/>
  <c r="L159" i="36"/>
  <c r="L160" i="36"/>
  <c r="K159" i="36"/>
  <c r="K158" i="36"/>
  <c r="J159" i="36"/>
  <c r="J158" i="36"/>
  <c r="K160" i="36"/>
  <c r="J160" i="36"/>
  <c r="J143" i="36"/>
  <c r="L113" i="36"/>
  <c r="L112" i="36"/>
  <c r="L111" i="36"/>
  <c r="K113" i="36"/>
  <c r="K112" i="36"/>
  <c r="K111" i="36"/>
  <c r="J113" i="36"/>
  <c r="J112" i="36"/>
  <c r="J111" i="36"/>
  <c r="M82" i="36"/>
  <c r="M81" i="36"/>
  <c r="M80" i="36"/>
  <c r="L82" i="36"/>
  <c r="L81" i="36"/>
  <c r="L80" i="36"/>
  <c r="K82" i="36"/>
  <c r="K81" i="36"/>
  <c r="K80" i="36"/>
  <c r="J82" i="36"/>
  <c r="J81" i="36"/>
  <c r="J80" i="36"/>
  <c r="L274" i="36"/>
  <c r="L273" i="36"/>
  <c r="L272" i="36"/>
  <c r="L271" i="36"/>
  <c r="K274" i="36"/>
  <c r="K273" i="36"/>
  <c r="K272" i="36"/>
  <c r="K271" i="36"/>
  <c r="J273" i="36"/>
  <c r="J274" i="36"/>
  <c r="J272" i="36"/>
  <c r="J271" i="36"/>
  <c r="M29" i="19"/>
  <c r="M28" i="19"/>
  <c r="L29" i="19"/>
  <c r="L28" i="19"/>
  <c r="K29" i="19"/>
  <c r="K28" i="19"/>
  <c r="J29" i="19"/>
  <c r="J28" i="19"/>
  <c r="M27" i="19"/>
  <c r="L27" i="19"/>
  <c r="K27" i="19"/>
  <c r="J27" i="19"/>
  <c r="L14" i="19"/>
  <c r="L13" i="19"/>
  <c r="L12" i="19"/>
  <c r="K14" i="19"/>
  <c r="K13" i="19"/>
  <c r="K12" i="19"/>
  <c r="J14" i="19"/>
  <c r="J13" i="19"/>
  <c r="J12" i="19"/>
  <c r="M134" i="30"/>
  <c r="M133" i="30"/>
  <c r="M132" i="30"/>
  <c r="L134" i="30"/>
  <c r="L133" i="30"/>
  <c r="L132" i="30"/>
  <c r="K134" i="30"/>
  <c r="K133" i="30"/>
  <c r="K132" i="30"/>
  <c r="J134" i="30"/>
  <c r="J133" i="30"/>
  <c r="J132" i="30"/>
  <c r="L104" i="30"/>
  <c r="L103" i="30"/>
  <c r="L102" i="30"/>
  <c r="L101" i="30"/>
  <c r="K104" i="30"/>
  <c r="K103" i="30"/>
  <c r="K102" i="30"/>
  <c r="K101" i="30"/>
  <c r="J104" i="30"/>
  <c r="J103" i="30"/>
  <c r="J102" i="30"/>
  <c r="J101" i="30"/>
  <c r="L68" i="30"/>
  <c r="L67" i="30"/>
  <c r="L66" i="30"/>
  <c r="L65" i="30"/>
  <c r="K68" i="30"/>
  <c r="K67" i="30"/>
  <c r="K66" i="30"/>
  <c r="K65" i="30"/>
  <c r="J68" i="30"/>
  <c r="J67" i="30"/>
  <c r="J66" i="30"/>
  <c r="J65" i="30"/>
  <c r="L119" i="30"/>
  <c r="L118" i="30"/>
  <c r="L117" i="30"/>
  <c r="L116" i="30"/>
  <c r="K119" i="30"/>
  <c r="K118" i="30"/>
  <c r="K117" i="30"/>
  <c r="K116" i="30"/>
  <c r="J119" i="30"/>
  <c r="J118" i="30"/>
  <c r="J117" i="30"/>
  <c r="J116" i="30"/>
  <c r="M34" i="30"/>
  <c r="M33" i="30"/>
  <c r="M32" i="30"/>
  <c r="M31" i="30"/>
  <c r="L33" i="30"/>
  <c r="L34" i="30"/>
  <c r="L32" i="30"/>
  <c r="L31" i="30"/>
  <c r="K34" i="30"/>
  <c r="K33" i="30"/>
  <c r="K32" i="30"/>
  <c r="K31" i="30"/>
  <c r="J34" i="30"/>
  <c r="J33" i="30"/>
  <c r="J32" i="30"/>
  <c r="J31" i="30"/>
  <c r="M43" i="41"/>
  <c r="M42" i="41"/>
  <c r="L43" i="41"/>
  <c r="L42" i="41"/>
  <c r="K43" i="41"/>
  <c r="K42" i="41"/>
  <c r="J43" i="41"/>
  <c r="J42" i="41"/>
  <c r="L30" i="41"/>
  <c r="L29" i="41"/>
  <c r="K30" i="41"/>
  <c r="K29" i="41"/>
  <c r="J30" i="41"/>
  <c r="J29" i="41"/>
  <c r="L28" i="41"/>
  <c r="K28" i="41"/>
  <c r="J28" i="41"/>
  <c r="M952" i="7"/>
  <c r="M951" i="7"/>
  <c r="M950" i="7"/>
  <c r="L952" i="7"/>
  <c r="L951" i="7"/>
  <c r="L950" i="7"/>
  <c r="K952" i="7"/>
  <c r="K951" i="7"/>
  <c r="K950" i="7"/>
  <c r="J952" i="7"/>
  <c r="J951" i="7"/>
  <c r="J950" i="7"/>
  <c r="J811" i="7"/>
  <c r="J810" i="7"/>
  <c r="J809" i="7"/>
  <c r="K741" i="7"/>
  <c r="K740" i="7"/>
  <c r="K739" i="7"/>
  <c r="J741" i="7"/>
  <c r="J740" i="7"/>
  <c r="J739" i="7"/>
  <c r="K643" i="7"/>
  <c r="K642" i="7"/>
  <c r="K641" i="7"/>
  <c r="K640" i="7"/>
  <c r="J643" i="7"/>
  <c r="J642" i="7"/>
  <c r="J641" i="7"/>
  <c r="J640" i="7"/>
  <c r="L298" i="7"/>
  <c r="L297" i="7"/>
  <c r="L296" i="7"/>
  <c r="K298" i="7"/>
  <c r="K297" i="7"/>
  <c r="K296" i="7"/>
  <c r="J298" i="7"/>
  <c r="J297" i="7"/>
  <c r="J296" i="7"/>
  <c r="L299" i="7"/>
  <c r="K299" i="7"/>
  <c r="J299" i="7"/>
  <c r="K200" i="7"/>
  <c r="K199" i="7"/>
  <c r="J200" i="7"/>
  <c r="J199" i="7"/>
  <c r="K198" i="7"/>
  <c r="J198" i="7"/>
  <c r="K143" i="7"/>
  <c r="K142" i="7"/>
  <c r="K141" i="7"/>
  <c r="J144" i="7"/>
  <c r="J143" i="7"/>
  <c r="J142" i="7"/>
  <c r="J141" i="7"/>
  <c r="L68" i="7"/>
  <c r="L67" i="7"/>
  <c r="L66" i="7"/>
  <c r="L65" i="7"/>
  <c r="K68" i="7"/>
  <c r="K67" i="7"/>
  <c r="K66" i="7"/>
  <c r="K65" i="7"/>
  <c r="J68" i="7"/>
  <c r="J67" i="7"/>
  <c r="J66" i="7"/>
  <c r="J65" i="7"/>
  <c r="K100" i="7"/>
  <c r="K99" i="7"/>
  <c r="K98" i="7"/>
  <c r="K97" i="7"/>
  <c r="J100" i="7"/>
  <c r="J99" i="7"/>
  <c r="J98" i="7"/>
  <c r="J97" i="7"/>
  <c r="N182" i="7"/>
  <c r="M182" i="7"/>
  <c r="L182" i="7"/>
  <c r="K182" i="7"/>
  <c r="J182" i="7"/>
  <c r="L94" i="37"/>
  <c r="L93" i="37"/>
  <c r="L92" i="37"/>
  <c r="K94" i="37"/>
  <c r="K93" i="37"/>
  <c r="K92" i="37"/>
  <c r="J94" i="37"/>
  <c r="J93" i="37"/>
  <c r="J92" i="37"/>
  <c r="M82" i="37"/>
  <c r="M81" i="37"/>
  <c r="M80" i="37"/>
  <c r="L82" i="37"/>
  <c r="L81" i="37"/>
  <c r="L80" i="37"/>
  <c r="K82" i="37"/>
  <c r="K81" i="37"/>
  <c r="K80" i="37"/>
  <c r="J82" i="37"/>
  <c r="J81" i="37"/>
  <c r="J80" i="37"/>
  <c r="L67" i="37"/>
  <c r="L66" i="37"/>
  <c r="L65" i="37"/>
  <c r="K67" i="37"/>
  <c r="K66" i="37"/>
  <c r="K65" i="37"/>
  <c r="J67" i="37"/>
  <c r="J66" i="37"/>
  <c r="J65" i="37"/>
  <c r="M25" i="37"/>
  <c r="M24" i="37"/>
  <c r="L25" i="37"/>
  <c r="L24" i="37"/>
  <c r="K25" i="37"/>
  <c r="K24" i="37"/>
  <c r="J25" i="37"/>
  <c r="J24" i="37"/>
  <c r="M86" i="38"/>
  <c r="M84" i="38"/>
  <c r="L86" i="38"/>
  <c r="L85" i="38"/>
  <c r="L84" i="38"/>
  <c r="K86" i="38"/>
  <c r="K85" i="38"/>
  <c r="K84" i="38"/>
  <c r="J86" i="38"/>
  <c r="J85" i="38"/>
  <c r="J84" i="38"/>
  <c r="L68" i="38"/>
  <c r="L69" i="38"/>
  <c r="L70" i="38"/>
  <c r="K70" i="38"/>
  <c r="K69" i="38"/>
  <c r="K68" i="38"/>
  <c r="J70" i="38"/>
  <c r="J69" i="38"/>
  <c r="J68" i="38"/>
  <c r="J45" i="38"/>
  <c r="M46" i="38"/>
  <c r="M45" i="38"/>
  <c r="L46" i="38"/>
  <c r="L45" i="38"/>
  <c r="K46" i="38"/>
  <c r="K45" i="38"/>
  <c r="J46" i="38"/>
  <c r="M31" i="38"/>
  <c r="M30" i="38"/>
  <c r="M29" i="38"/>
  <c r="L31" i="38"/>
  <c r="L30" i="38"/>
  <c r="L29" i="38"/>
  <c r="K31" i="38"/>
  <c r="K30" i="38"/>
  <c r="K29" i="38"/>
  <c r="J31" i="38"/>
  <c r="J30" i="38"/>
  <c r="J29" i="38"/>
  <c r="J15" i="38"/>
  <c r="L89" i="27"/>
  <c r="L88" i="27"/>
  <c r="M87" i="27"/>
  <c r="M89" i="27"/>
  <c r="M88" i="27"/>
  <c r="L87" i="27"/>
  <c r="K89" i="27"/>
  <c r="K88" i="27"/>
  <c r="K87" i="27"/>
  <c r="J89" i="27"/>
  <c r="J88" i="27"/>
  <c r="J87" i="27"/>
  <c r="J107" i="27"/>
  <c r="L123" i="27"/>
  <c r="L122" i="27"/>
  <c r="L121" i="27"/>
  <c r="K123" i="27"/>
  <c r="K122" i="27"/>
  <c r="K121" i="27"/>
  <c r="J123" i="27"/>
  <c r="J122" i="27"/>
  <c r="J121" i="27"/>
  <c r="L109" i="27"/>
  <c r="L108" i="27"/>
  <c r="L107" i="27"/>
  <c r="K109" i="27"/>
  <c r="K108" i="27"/>
  <c r="K107" i="27"/>
  <c r="J109" i="27"/>
  <c r="J108" i="27"/>
  <c r="M44" i="27"/>
  <c r="M43" i="27"/>
  <c r="M42" i="27"/>
  <c r="L44" i="27"/>
  <c r="L43" i="27"/>
  <c r="L42" i="27"/>
  <c r="K44" i="27"/>
  <c r="K43" i="27"/>
  <c r="K42" i="27"/>
  <c r="J44" i="27"/>
  <c r="J43" i="27"/>
  <c r="J42" i="27"/>
  <c r="L18" i="35"/>
  <c r="K18" i="35"/>
  <c r="J18" i="35"/>
  <c r="L17" i="35"/>
  <c r="K17" i="35"/>
  <c r="J17" i="35"/>
  <c r="L16" i="35"/>
  <c r="K16" i="35"/>
  <c r="J16" i="35"/>
  <c r="L15" i="35"/>
  <c r="K15" i="35"/>
  <c r="J15" i="35"/>
  <c r="L14" i="35"/>
  <c r="K14" i="35"/>
  <c r="J14" i="35"/>
  <c r="M305" i="25"/>
  <c r="M304" i="25"/>
  <c r="M303" i="25"/>
  <c r="L305" i="25"/>
  <c r="L304" i="25"/>
  <c r="L303" i="25"/>
  <c r="K305" i="25"/>
  <c r="K304" i="25"/>
  <c r="K303" i="25"/>
  <c r="J305" i="25"/>
  <c r="J304" i="25"/>
  <c r="J303" i="25"/>
  <c r="M491" i="25"/>
  <c r="M490" i="25"/>
  <c r="M489" i="25"/>
  <c r="L491" i="25"/>
  <c r="L490" i="25"/>
  <c r="L489" i="25"/>
  <c r="K491" i="25"/>
  <c r="K490" i="25"/>
  <c r="K489" i="25"/>
  <c r="J491" i="25"/>
  <c r="J490" i="25"/>
  <c r="J489" i="25"/>
  <c r="M288" i="25"/>
  <c r="M287" i="25"/>
  <c r="M286" i="25"/>
  <c r="L288" i="25"/>
  <c r="L287" i="25"/>
  <c r="L286" i="25"/>
  <c r="K288" i="25"/>
  <c r="K287" i="25"/>
  <c r="K286" i="25"/>
  <c r="J288" i="25"/>
  <c r="J287" i="25"/>
  <c r="J286" i="25"/>
  <c r="M272" i="25"/>
  <c r="M271" i="25"/>
  <c r="M270" i="25"/>
  <c r="L272" i="25"/>
  <c r="L271" i="25"/>
  <c r="L270" i="25"/>
  <c r="K272" i="25"/>
  <c r="K271" i="25"/>
  <c r="K270" i="25"/>
  <c r="J272" i="25"/>
  <c r="J271" i="25"/>
  <c r="J270" i="25"/>
  <c r="M256" i="25"/>
  <c r="L256" i="25"/>
  <c r="K256" i="25"/>
  <c r="J256" i="25"/>
  <c r="M255" i="25"/>
  <c r="L255" i="25"/>
  <c r="K255" i="25"/>
  <c r="J255" i="25"/>
  <c r="M254" i="25"/>
  <c r="L254" i="25"/>
  <c r="K254" i="25"/>
  <c r="J254" i="25"/>
  <c r="M217" i="25"/>
  <c r="L217" i="25"/>
  <c r="K217" i="25"/>
  <c r="J217" i="25"/>
  <c r="M216" i="25"/>
  <c r="L216" i="25"/>
  <c r="K216" i="25"/>
  <c r="J216" i="25"/>
  <c r="M215" i="25"/>
  <c r="L215" i="25"/>
  <c r="K215" i="25"/>
  <c r="J215" i="25"/>
  <c r="N202" i="25"/>
  <c r="N201" i="25"/>
  <c r="N200" i="25"/>
  <c r="M202" i="25"/>
  <c r="M201" i="25"/>
  <c r="M200" i="25"/>
  <c r="L202" i="25"/>
  <c r="L201" i="25"/>
  <c r="L200" i="25"/>
  <c r="K202" i="25"/>
  <c r="K201" i="25"/>
  <c r="K200" i="25"/>
  <c r="J202" i="25"/>
  <c r="J201" i="25"/>
  <c r="J200" i="25"/>
  <c r="M382" i="25"/>
  <c r="M381" i="25"/>
  <c r="M380" i="25"/>
  <c r="L382" i="25"/>
  <c r="L381" i="25"/>
  <c r="L380" i="25"/>
  <c r="K382" i="25"/>
  <c r="K381" i="25"/>
  <c r="K380" i="25"/>
  <c r="J382" i="25"/>
  <c r="J381" i="25"/>
  <c r="J380" i="25"/>
  <c r="M84" i="25"/>
  <c r="M83" i="25"/>
  <c r="M82" i="25"/>
  <c r="L84" i="25"/>
  <c r="L83" i="25"/>
  <c r="L82" i="25"/>
  <c r="K84" i="25"/>
  <c r="K83" i="25"/>
  <c r="K82" i="25"/>
  <c r="J84" i="25"/>
  <c r="J83" i="25"/>
  <c r="J82" i="25"/>
  <c r="M29" i="25"/>
  <c r="M28" i="25"/>
  <c r="L29" i="25"/>
  <c r="L28" i="25"/>
  <c r="K29" i="25"/>
  <c r="K28" i="25"/>
  <c r="J29" i="25"/>
  <c r="J28" i="25"/>
  <c r="M15" i="25"/>
  <c r="M14" i="25"/>
  <c r="M13" i="25"/>
  <c r="L15" i="25"/>
  <c r="L14" i="25"/>
  <c r="L13" i="25"/>
  <c r="K15" i="25"/>
  <c r="K14" i="25"/>
  <c r="K13" i="25"/>
  <c r="J15" i="25"/>
  <c r="J14" i="25"/>
  <c r="J13" i="25"/>
  <c r="L30" i="7"/>
  <c r="L29" i="7"/>
  <c r="L28" i="7"/>
  <c r="K30" i="7"/>
  <c r="K29" i="7"/>
  <c r="K28" i="7"/>
  <c r="J30" i="7"/>
  <c r="J29" i="7"/>
  <c r="J28" i="7"/>
  <c r="M16" i="15"/>
  <c r="L16" i="15"/>
  <c r="K16" i="15"/>
  <c r="J16" i="15"/>
  <c r="J76" i="14"/>
  <c r="M19" i="12"/>
  <c r="L19" i="12"/>
  <c r="K19" i="12"/>
  <c r="J19" i="12"/>
  <c r="M16" i="12"/>
  <c r="L16" i="12"/>
  <c r="K16" i="12"/>
  <c r="J16" i="12"/>
  <c r="L586" i="7"/>
  <c r="L585" i="7"/>
  <c r="L584" i="7"/>
  <c r="K586" i="7"/>
  <c r="K585" i="7"/>
  <c r="K584" i="7"/>
  <c r="J586" i="7"/>
  <c r="J585" i="7"/>
  <c r="J584" i="7"/>
  <c r="M125" i="37"/>
  <c r="M124" i="37"/>
  <c r="M123" i="37"/>
  <c r="L125" i="37"/>
  <c r="L124" i="37"/>
  <c r="L123" i="37"/>
  <c r="K125" i="37"/>
  <c r="K124" i="37"/>
  <c r="K123" i="37"/>
  <c r="J125" i="37"/>
  <c r="J124" i="37"/>
  <c r="J123" i="37"/>
  <c r="L326" i="34"/>
  <c r="L325" i="34"/>
  <c r="L324" i="34"/>
  <c r="K326" i="34"/>
  <c r="K325" i="34"/>
  <c r="K324" i="34"/>
  <c r="J326" i="34"/>
  <c r="J325" i="34"/>
  <c r="M310" i="34"/>
  <c r="M309" i="34"/>
  <c r="M308" i="34"/>
  <c r="L310" i="34"/>
  <c r="L309" i="34"/>
  <c r="L308" i="34"/>
  <c r="K310" i="34"/>
  <c r="K309" i="34"/>
  <c r="K308" i="34"/>
  <c r="J310" i="34"/>
  <c r="J309" i="34"/>
  <c r="J308" i="34"/>
  <c r="M265" i="34"/>
  <c r="M264" i="34"/>
  <c r="M263" i="34"/>
  <c r="L265" i="34"/>
  <c r="L264" i="34"/>
  <c r="L263" i="34"/>
  <c r="K265" i="34"/>
  <c r="K264" i="34"/>
  <c r="K263" i="34"/>
  <c r="J265" i="34"/>
  <c r="J264" i="34"/>
  <c r="J263" i="34"/>
  <c r="N249" i="34"/>
  <c r="N248" i="34"/>
  <c r="M249" i="34"/>
  <c r="M248" i="34"/>
  <c r="L249" i="34"/>
  <c r="L248" i="34"/>
  <c r="K249" i="34"/>
  <c r="K248" i="34"/>
  <c r="N250" i="34"/>
  <c r="M250" i="34"/>
  <c r="L250" i="34"/>
  <c r="K250" i="34"/>
  <c r="J250" i="34"/>
  <c r="J249" i="34"/>
  <c r="J248" i="34"/>
  <c r="M236" i="34"/>
  <c r="M235" i="34"/>
  <c r="L236" i="34"/>
  <c r="L235" i="34"/>
  <c r="K236" i="34"/>
  <c r="K235" i="34"/>
  <c r="J236" i="34"/>
  <c r="J235" i="34"/>
  <c r="M234" i="34"/>
  <c r="L234" i="34"/>
  <c r="K234" i="34"/>
  <c r="J234" i="34"/>
  <c r="M233" i="34"/>
  <c r="L233" i="34"/>
  <c r="K233" i="34"/>
  <c r="J233" i="34"/>
  <c r="M232" i="34"/>
  <c r="L232" i="34"/>
  <c r="K232" i="34"/>
  <c r="J232" i="34"/>
  <c r="N199" i="34"/>
  <c r="M199" i="34"/>
  <c r="L199" i="34"/>
  <c r="K199" i="34"/>
  <c r="N198" i="34"/>
  <c r="N197" i="34"/>
  <c r="M198" i="34"/>
  <c r="M197" i="34"/>
  <c r="L198" i="34"/>
  <c r="L197" i="34"/>
  <c r="K198" i="34"/>
  <c r="K197" i="34"/>
  <c r="J198" i="34"/>
  <c r="J199" i="34"/>
  <c r="J197" i="34"/>
  <c r="N279" i="34"/>
  <c r="M279" i="34"/>
  <c r="L279" i="34"/>
  <c r="K279" i="34"/>
  <c r="J279" i="34"/>
  <c r="N278" i="34"/>
  <c r="N277" i="34"/>
  <c r="M278" i="34"/>
  <c r="M277" i="34"/>
  <c r="L278" i="34"/>
  <c r="L277" i="34"/>
  <c r="K278" i="34"/>
  <c r="K277" i="34"/>
  <c r="J278" i="34"/>
  <c r="J277" i="34"/>
  <c r="M181" i="34"/>
  <c r="M180" i="34"/>
  <c r="M179" i="34"/>
  <c r="L181" i="34"/>
  <c r="L180" i="34"/>
  <c r="L179" i="34"/>
  <c r="K181" i="34"/>
  <c r="K180" i="34"/>
  <c r="K179" i="34"/>
  <c r="J181" i="34"/>
  <c r="J180" i="34"/>
  <c r="J179" i="34"/>
  <c r="N72" i="34"/>
  <c r="M72" i="34"/>
  <c r="L72" i="34"/>
  <c r="K72" i="34"/>
  <c r="J72" i="34"/>
  <c r="N71" i="34"/>
  <c r="M71" i="34"/>
  <c r="L71" i="34"/>
  <c r="K71" i="34"/>
  <c r="J71" i="34"/>
  <c r="N70" i="34"/>
  <c r="M70" i="34"/>
  <c r="L70" i="34"/>
  <c r="K70" i="34"/>
  <c r="J70" i="34"/>
  <c r="L131" i="34"/>
  <c r="L130" i="34"/>
  <c r="L129" i="34"/>
  <c r="K131" i="34"/>
  <c r="K130" i="34"/>
  <c r="K129" i="34"/>
  <c r="J131" i="34"/>
  <c r="J130" i="34"/>
  <c r="J129" i="34"/>
  <c r="L128" i="34"/>
  <c r="K128" i="34"/>
  <c r="J128" i="34"/>
  <c r="L127" i="34"/>
  <c r="K127" i="34"/>
  <c r="J127" i="34"/>
  <c r="N32" i="34"/>
  <c r="M32" i="34"/>
  <c r="L32" i="34"/>
  <c r="K32" i="34"/>
  <c r="J32" i="34"/>
  <c r="N31" i="34"/>
  <c r="M31" i="34"/>
  <c r="L31" i="34"/>
  <c r="K31" i="34"/>
  <c r="J31" i="34"/>
  <c r="N30" i="34"/>
  <c r="M30" i="34"/>
  <c r="L30" i="34"/>
  <c r="K30" i="34"/>
  <c r="J30" i="34"/>
  <c r="M17" i="34"/>
  <c r="M16" i="34"/>
  <c r="L17" i="34"/>
  <c r="L16" i="34"/>
  <c r="K17" i="34"/>
  <c r="K16" i="34"/>
  <c r="J17" i="34"/>
  <c r="J16" i="34"/>
  <c r="M15" i="34"/>
  <c r="L15" i="34"/>
  <c r="K15" i="34"/>
  <c r="J15" i="34"/>
  <c r="K209" i="40"/>
  <c r="K208" i="40"/>
  <c r="K207" i="40"/>
  <c r="J209" i="40"/>
  <c r="J208" i="40"/>
  <c r="J207" i="40"/>
  <c r="J181" i="40"/>
  <c r="J180" i="40"/>
  <c r="J179" i="40"/>
  <c r="J99" i="40"/>
  <c r="J98" i="40"/>
  <c r="J71" i="40"/>
  <c r="J70" i="40"/>
  <c r="J69" i="40"/>
  <c r="J34" i="40"/>
  <c r="J33" i="40"/>
  <c r="K24" i="40"/>
  <c r="K23" i="40"/>
  <c r="K22" i="40"/>
  <c r="J24" i="40"/>
  <c r="J23" i="40"/>
  <c r="J22" i="40"/>
  <c r="K51" i="40"/>
  <c r="K50" i="40"/>
  <c r="J51" i="40"/>
  <c r="J50" i="40"/>
  <c r="J49" i="40"/>
  <c r="J127" i="40"/>
  <c r="J126" i="40"/>
  <c r="J110" i="40"/>
  <c r="J109" i="40"/>
  <c r="J108" i="40"/>
  <c r="K155" i="40"/>
  <c r="K154" i="40"/>
  <c r="K153" i="40"/>
  <c r="J155" i="40"/>
  <c r="J154" i="40"/>
  <c r="J153" i="40"/>
  <c r="J10" i="40"/>
  <c r="J9" i="40"/>
  <c r="J85" i="40"/>
  <c r="J84" i="40"/>
  <c r="J83" i="40"/>
  <c r="N183" i="7"/>
  <c r="N181" i="7"/>
  <c r="N180" i="7"/>
  <c r="M181" i="7"/>
  <c r="M180" i="7"/>
  <c r="L181" i="7"/>
  <c r="L180" i="7"/>
  <c r="K181" i="7"/>
  <c r="K180" i="7"/>
  <c r="J181" i="7"/>
  <c r="J180" i="7"/>
  <c r="M164" i="34"/>
  <c r="M163" i="34"/>
  <c r="M162" i="34"/>
  <c r="M161" i="34"/>
  <c r="M160" i="34"/>
  <c r="M159" i="34"/>
  <c r="L164" i="34"/>
  <c r="L163" i="34"/>
  <c r="L162" i="34"/>
  <c r="L161" i="34"/>
  <c r="L160" i="34"/>
  <c r="L159" i="34"/>
  <c r="K164" i="34"/>
  <c r="K163" i="34"/>
  <c r="K162" i="34"/>
  <c r="K161" i="34"/>
  <c r="K160" i="34"/>
  <c r="K159" i="34"/>
  <c r="J164" i="34"/>
  <c r="J163" i="34"/>
  <c r="J162" i="34"/>
  <c r="J161" i="34"/>
  <c r="J160" i="34"/>
  <c r="J159" i="34"/>
  <c r="M15" i="36"/>
  <c r="M14" i="36"/>
  <c r="M13" i="36"/>
  <c r="M12" i="36"/>
  <c r="L15" i="36"/>
  <c r="L14" i="36"/>
  <c r="L13" i="36"/>
  <c r="L12" i="36"/>
  <c r="K15" i="36"/>
  <c r="K14" i="36"/>
  <c r="K13" i="36"/>
  <c r="K12" i="36"/>
  <c r="J15" i="36"/>
  <c r="J14" i="36"/>
  <c r="J13" i="36"/>
  <c r="J12" i="36"/>
  <c r="M21" i="12"/>
  <c r="M18" i="12"/>
  <c r="L21" i="12"/>
  <c r="L18" i="12"/>
  <c r="K21" i="12"/>
  <c r="K18" i="12"/>
  <c r="J21" i="12"/>
  <c r="J18" i="12"/>
  <c r="M20" i="12"/>
  <c r="M17" i="12"/>
  <c r="L20" i="12"/>
  <c r="L17" i="12"/>
  <c r="K20" i="12"/>
  <c r="K17" i="12"/>
  <c r="J20" i="12"/>
  <c r="J17" i="12"/>
  <c r="N72" i="41"/>
  <c r="N71" i="41"/>
  <c r="N70" i="41"/>
  <c r="M72" i="41"/>
  <c r="M71" i="41"/>
  <c r="M70" i="41"/>
  <c r="L72" i="41"/>
  <c r="L71" i="41"/>
  <c r="L70" i="41"/>
  <c r="K72" i="41"/>
  <c r="K71" i="41"/>
  <c r="K70" i="41"/>
  <c r="J72" i="41"/>
  <c r="J71" i="41"/>
  <c r="J70" i="41"/>
  <c r="L223" i="36"/>
  <c r="L221" i="36"/>
  <c r="K223" i="36"/>
  <c r="K221" i="36"/>
  <c r="J223" i="36"/>
  <c r="J221" i="36"/>
  <c r="L222" i="36"/>
  <c r="L220" i="36"/>
  <c r="K222" i="36"/>
  <c r="K220" i="36"/>
  <c r="J222" i="36"/>
  <c r="J220" i="36"/>
  <c r="L387" i="36"/>
  <c r="L386" i="36"/>
  <c r="K387" i="36"/>
  <c r="K386" i="36"/>
  <c r="J387" i="36"/>
  <c r="J386" i="36"/>
  <c r="L385" i="36"/>
  <c r="K385" i="36"/>
  <c r="J385" i="36"/>
  <c r="M39" i="37"/>
  <c r="M38" i="37"/>
  <c r="M37" i="37"/>
  <c r="L39" i="37"/>
  <c r="L38" i="37"/>
  <c r="L37" i="37"/>
  <c r="K39" i="37"/>
  <c r="K38" i="37"/>
  <c r="K37" i="37"/>
  <c r="J39" i="37"/>
  <c r="J38" i="37"/>
  <c r="J37" i="37"/>
  <c r="N15" i="41"/>
  <c r="N14" i="41"/>
  <c r="N13" i="41"/>
  <c r="M15" i="41"/>
  <c r="M14" i="41"/>
  <c r="M13" i="41"/>
  <c r="L15" i="41"/>
  <c r="L14" i="41"/>
  <c r="L13" i="41"/>
  <c r="K15" i="41"/>
  <c r="K14" i="41"/>
  <c r="K13" i="41"/>
  <c r="J15" i="41"/>
  <c r="J14" i="41"/>
  <c r="J13" i="41"/>
  <c r="L15" i="32"/>
  <c r="L14" i="32"/>
  <c r="L13" i="32"/>
  <c r="K15" i="32"/>
  <c r="K14" i="32"/>
  <c r="K13" i="32"/>
  <c r="J15" i="32"/>
  <c r="J14" i="32"/>
  <c r="J13" i="32"/>
  <c r="M15" i="31"/>
  <c r="M14" i="31"/>
  <c r="L15" i="31"/>
  <c r="L14" i="31"/>
  <c r="L13" i="31"/>
  <c r="K15" i="31"/>
  <c r="K14" i="31"/>
  <c r="K13" i="31"/>
  <c r="J15" i="31"/>
  <c r="J14" i="31"/>
  <c r="J13" i="31"/>
  <c r="L19" i="23"/>
  <c r="L18" i="23"/>
  <c r="L17" i="23"/>
  <c r="K19" i="23"/>
  <c r="K18" i="23"/>
  <c r="K17" i="23"/>
  <c r="J19" i="23"/>
  <c r="J18" i="23"/>
  <c r="J17" i="23"/>
  <c r="L472" i="36"/>
  <c r="L471" i="36"/>
  <c r="L470" i="36"/>
  <c r="K472" i="36"/>
  <c r="K471" i="36"/>
  <c r="K470" i="36"/>
  <c r="J472" i="36"/>
  <c r="J471" i="36"/>
  <c r="J470" i="36"/>
  <c r="J484" i="36"/>
  <c r="J485" i="36"/>
  <c r="J486" i="36"/>
  <c r="K484" i="36"/>
  <c r="K485" i="36"/>
  <c r="K486" i="36"/>
  <c r="M486" i="36"/>
  <c r="M485" i="36"/>
  <c r="M484" i="36"/>
  <c r="L486" i="36"/>
  <c r="L485" i="36"/>
  <c r="L484" i="36"/>
  <c r="L31" i="39"/>
  <c r="L30" i="39"/>
  <c r="L29" i="39"/>
  <c r="K31" i="39"/>
  <c r="K30" i="39"/>
  <c r="K29" i="39"/>
  <c r="J31" i="39"/>
  <c r="J30" i="39"/>
  <c r="L723" i="7"/>
  <c r="M346" i="7"/>
  <c r="K346" i="7"/>
  <c r="L157" i="25"/>
  <c r="L156" i="25"/>
  <c r="L155" i="25"/>
  <c r="K157" i="25"/>
  <c r="K156" i="25"/>
  <c r="K155" i="25"/>
  <c r="L154" i="25"/>
  <c r="K154" i="25"/>
  <c r="J157" i="25"/>
  <c r="J156" i="25"/>
  <c r="J155" i="25"/>
  <c r="J154" i="25"/>
  <c r="L153" i="25"/>
  <c r="L152" i="25"/>
  <c r="L151" i="25"/>
  <c r="K153" i="25"/>
  <c r="K152" i="25"/>
  <c r="K151" i="25"/>
  <c r="J153" i="25"/>
  <c r="J152" i="25"/>
  <c r="J151" i="25"/>
  <c r="L150" i="25"/>
  <c r="L149" i="25"/>
  <c r="K150" i="25"/>
  <c r="K149" i="25"/>
  <c r="J150" i="25"/>
  <c r="J149" i="25"/>
  <c r="L67" i="25"/>
  <c r="L66" i="25"/>
  <c r="L65" i="25"/>
  <c r="K67" i="25"/>
  <c r="K66" i="25"/>
  <c r="K65" i="25"/>
  <c r="J67" i="25"/>
  <c r="J66" i="25"/>
  <c r="J65" i="25"/>
  <c r="L64" i="25"/>
  <c r="L63" i="25"/>
  <c r="L62" i="25"/>
  <c r="K64" i="25"/>
  <c r="K63" i="25"/>
  <c r="K62" i="25"/>
  <c r="J64" i="25"/>
  <c r="J63" i="25"/>
  <c r="J62" i="25"/>
  <c r="L68" i="25"/>
  <c r="K68" i="25"/>
  <c r="J68" i="25"/>
  <c r="L83" i="30"/>
  <c r="L82" i="30"/>
  <c r="L81" i="30"/>
  <c r="K83" i="30"/>
  <c r="K82" i="30"/>
  <c r="K81" i="30"/>
  <c r="J83" i="30"/>
  <c r="J82" i="30"/>
  <c r="J81" i="30"/>
  <c r="M194" i="30"/>
  <c r="M193" i="30"/>
  <c r="M192" i="30"/>
  <c r="L194" i="30"/>
  <c r="L193" i="30"/>
  <c r="L192" i="30"/>
  <c r="K194" i="30"/>
  <c r="K193" i="30"/>
  <c r="K192" i="30"/>
  <c r="J194" i="30"/>
  <c r="J193" i="30"/>
  <c r="J192" i="30"/>
  <c r="J179" i="30"/>
  <c r="J178" i="30"/>
  <c r="J177" i="30"/>
  <c r="J217" i="30"/>
  <c r="J14" i="28"/>
  <c r="J13" i="28"/>
  <c r="J12" i="28"/>
  <c r="J25" i="28"/>
  <c r="L17" i="30"/>
  <c r="L16" i="30"/>
  <c r="L15" i="30"/>
  <c r="K17" i="30"/>
  <c r="K16" i="30"/>
  <c r="K15" i="30"/>
  <c r="J17" i="30"/>
  <c r="J16" i="30"/>
  <c r="J15" i="30"/>
  <c r="J70" i="28"/>
  <c r="J69" i="28"/>
  <c r="J68" i="28"/>
  <c r="J52" i="28"/>
  <c r="N411" i="25"/>
  <c r="N410" i="25"/>
  <c r="N409" i="25"/>
  <c r="M411" i="25"/>
  <c r="M410" i="25"/>
  <c r="M409" i="25"/>
  <c r="L411" i="25"/>
  <c r="L410" i="25"/>
  <c r="L409" i="25"/>
  <c r="K411" i="25"/>
  <c r="K410" i="25"/>
  <c r="K409" i="25"/>
  <c r="J411" i="25"/>
  <c r="J410" i="25"/>
  <c r="J409" i="25"/>
  <c r="L13" i="8"/>
  <c r="L12" i="8"/>
  <c r="L11" i="8"/>
  <c r="K13" i="8"/>
  <c r="K12" i="8"/>
  <c r="J13" i="8"/>
  <c r="J12" i="8"/>
  <c r="J11" i="8"/>
  <c r="K907" i="7"/>
  <c r="K906" i="7"/>
  <c r="K905" i="7"/>
  <c r="K904" i="7"/>
  <c r="J907" i="7"/>
  <c r="J906" i="7"/>
  <c r="J905" i="7"/>
  <c r="J904" i="7"/>
  <c r="J12" i="29"/>
  <c r="J11" i="29"/>
  <c r="J10" i="29"/>
  <c r="L16" i="27"/>
  <c r="L15" i="27"/>
  <c r="L14" i="27"/>
  <c r="L13" i="27"/>
  <c r="K16" i="27"/>
  <c r="K15" i="27"/>
  <c r="K14" i="27"/>
  <c r="K13" i="27"/>
  <c r="J16" i="27"/>
  <c r="J15" i="27"/>
  <c r="J14" i="27"/>
  <c r="J13" i="27"/>
  <c r="J27" i="27"/>
  <c r="L75" i="27"/>
  <c r="L74" i="27"/>
  <c r="L73" i="27"/>
  <c r="K75" i="27"/>
  <c r="K74" i="27"/>
  <c r="K73" i="27"/>
  <c r="J75" i="27"/>
  <c r="J74" i="27"/>
  <c r="J73" i="27"/>
  <c r="L54" i="7"/>
  <c r="L53" i="7"/>
  <c r="L52" i="7"/>
  <c r="L51" i="7"/>
  <c r="K54" i="7"/>
  <c r="K53" i="7"/>
  <c r="K52" i="7"/>
  <c r="K51" i="7"/>
  <c r="J54" i="7"/>
  <c r="J53" i="7"/>
  <c r="J52" i="7"/>
  <c r="J51" i="7"/>
  <c r="M48" i="25"/>
  <c r="M47" i="25"/>
  <c r="M46" i="25"/>
  <c r="M45" i="25"/>
  <c r="M44" i="25"/>
  <c r="L48" i="25"/>
  <c r="L47" i="25"/>
  <c r="L46" i="25"/>
  <c r="L45" i="25"/>
  <c r="L44" i="25"/>
  <c r="K48" i="25"/>
  <c r="K47" i="25"/>
  <c r="K46" i="25"/>
  <c r="K45" i="25"/>
  <c r="K44" i="25"/>
  <c r="J48" i="25"/>
  <c r="J47" i="25"/>
  <c r="J46" i="25"/>
  <c r="J45" i="25"/>
  <c r="J44" i="25"/>
  <c r="L31" i="31"/>
  <c r="L30" i="31"/>
  <c r="L29" i="31"/>
  <c r="K31" i="31"/>
  <c r="K30" i="31"/>
  <c r="K29" i="31"/>
  <c r="J31" i="31"/>
  <c r="J30" i="31"/>
  <c r="J29" i="31"/>
  <c r="M548" i="36"/>
  <c r="M547" i="36"/>
  <c r="M546" i="36"/>
  <c r="L548" i="36"/>
  <c r="L547" i="36"/>
  <c r="L546" i="36"/>
  <c r="K548" i="36"/>
  <c r="K547" i="36"/>
  <c r="K546" i="36"/>
  <c r="J548" i="36"/>
  <c r="J547" i="36"/>
  <c r="J546" i="36"/>
  <c r="J73" i="14"/>
  <c r="L587" i="7"/>
  <c r="K587" i="7"/>
  <c r="J587" i="7"/>
  <c r="L31" i="7"/>
  <c r="K31" i="7"/>
  <c r="J31" i="7"/>
  <c r="K15" i="22"/>
  <c r="K14" i="22"/>
  <c r="K13" i="22"/>
  <c r="J15" i="22"/>
  <c r="J14" i="22"/>
  <c r="J13" i="22"/>
  <c r="J40" i="29"/>
  <c r="J39" i="29"/>
  <c r="K55" i="28"/>
  <c r="K54" i="28"/>
  <c r="K53" i="28"/>
  <c r="K52" i="28"/>
  <c r="J55" i="28"/>
  <c r="J54" i="28"/>
  <c r="J53" i="28"/>
  <c r="L13" i="17"/>
  <c r="L12" i="17"/>
  <c r="L11" i="17"/>
  <c r="K13" i="17"/>
  <c r="K12" i="17"/>
  <c r="K11" i="17"/>
  <c r="J13" i="17"/>
  <c r="J12" i="17"/>
  <c r="J11" i="17"/>
  <c r="M15" i="15"/>
  <c r="M14" i="15"/>
  <c r="L15" i="15"/>
  <c r="L14" i="15"/>
  <c r="K15" i="15"/>
  <c r="K14" i="15"/>
  <c r="J15" i="15"/>
  <c r="J14" i="15"/>
  <c r="M59" i="19"/>
  <c r="M58" i="19"/>
  <c r="M57" i="19"/>
  <c r="L59" i="19"/>
  <c r="L58" i="19"/>
  <c r="L57" i="19"/>
  <c r="K59" i="19"/>
  <c r="K58" i="19"/>
  <c r="K57" i="19"/>
  <c r="J59" i="19"/>
  <c r="J58" i="19"/>
  <c r="J57" i="19"/>
  <c r="M44" i="19"/>
  <c r="M43" i="19"/>
  <c r="M42" i="19"/>
  <c r="L44" i="19"/>
  <c r="L43" i="19"/>
  <c r="L42" i="19"/>
  <c r="K44" i="19"/>
  <c r="K43" i="19"/>
  <c r="K42" i="19"/>
  <c r="J44" i="19"/>
  <c r="J43" i="19"/>
  <c r="J42" i="19"/>
  <c r="M29" i="27"/>
  <c r="M28" i="27"/>
  <c r="M27" i="27"/>
  <c r="L28" i="27"/>
  <c r="M295" i="36"/>
  <c r="M294" i="36"/>
  <c r="M293" i="36"/>
  <c r="L295" i="36"/>
  <c r="L294" i="36"/>
  <c r="L293" i="36"/>
  <c r="K295" i="36"/>
  <c r="K294" i="36"/>
  <c r="K293" i="36"/>
  <c r="J295" i="36"/>
  <c r="J294" i="36"/>
  <c r="J293" i="36"/>
  <c r="M37" i="24"/>
  <c r="M36" i="24"/>
  <c r="M35" i="24"/>
  <c r="L37" i="24"/>
  <c r="L36" i="24"/>
  <c r="L35" i="24"/>
  <c r="L34" i="24"/>
  <c r="K37" i="24"/>
  <c r="K36" i="24"/>
  <c r="K35" i="24"/>
  <c r="K34" i="24"/>
  <c r="J37" i="24"/>
  <c r="J36" i="24"/>
  <c r="J35" i="24"/>
  <c r="J34" i="24"/>
  <c r="J968" i="7"/>
  <c r="J967" i="7"/>
  <c r="J966" i="7"/>
  <c r="L358" i="13"/>
  <c r="L357" i="13"/>
  <c r="L356" i="13"/>
  <c r="L355" i="13"/>
  <c r="K358" i="13"/>
  <c r="K357" i="13"/>
  <c r="K356" i="13"/>
  <c r="K355" i="13"/>
  <c r="J358" i="13"/>
  <c r="J357" i="13"/>
  <c r="J356" i="13"/>
  <c r="J355" i="13"/>
  <c r="K15" i="39"/>
  <c r="K14" i="39"/>
  <c r="J15" i="39"/>
  <c r="J14" i="39"/>
  <c r="J46" i="26"/>
  <c r="J45" i="26"/>
  <c r="J44" i="26"/>
  <c r="K18" i="24"/>
  <c r="K17" i="24"/>
  <c r="K16" i="24"/>
  <c r="J18" i="24"/>
  <c r="J17" i="24"/>
  <c r="J16" i="24"/>
  <c r="K471" i="7"/>
  <c r="K470" i="7"/>
  <c r="K469" i="7"/>
  <c r="J471" i="7"/>
  <c r="J470" i="7"/>
  <c r="J469" i="7"/>
  <c r="M443" i="7"/>
  <c r="M442" i="7"/>
  <c r="M441" i="7"/>
  <c r="L443" i="7"/>
  <c r="L442" i="7"/>
  <c r="L441" i="7"/>
  <c r="K443" i="7"/>
  <c r="K442" i="7"/>
  <c r="K441" i="7"/>
  <c r="J441" i="7"/>
  <c r="K26" i="17"/>
  <c r="K25" i="17"/>
  <c r="K24" i="17"/>
  <c r="J26" i="17"/>
  <c r="J25" i="17"/>
  <c r="J24" i="17"/>
  <c r="L325" i="13"/>
  <c r="L324" i="13"/>
  <c r="L323" i="13"/>
  <c r="K325" i="13"/>
  <c r="K324" i="13"/>
  <c r="K323" i="13"/>
  <c r="J325" i="13"/>
  <c r="J324" i="13"/>
  <c r="J323" i="13"/>
  <c r="L20" i="18"/>
  <c r="L19" i="18"/>
  <c r="L18" i="18"/>
  <c r="K18" i="18"/>
  <c r="K20" i="18"/>
  <c r="J20" i="18"/>
  <c r="J19" i="18"/>
  <c r="J18" i="18"/>
  <c r="K93" i="26"/>
  <c r="K92" i="26"/>
  <c r="J93" i="26"/>
  <c r="J92" i="26"/>
  <c r="K27" i="29"/>
  <c r="K26" i="29"/>
  <c r="K25" i="29"/>
  <c r="J27" i="29"/>
  <c r="J26" i="29"/>
  <c r="J25" i="29"/>
  <c r="M441" i="25"/>
  <c r="M440" i="25"/>
  <c r="K440" i="25"/>
  <c r="L441" i="25"/>
  <c r="L440" i="25"/>
  <c r="K441" i="25"/>
  <c r="J441" i="25"/>
  <c r="J440" i="25"/>
  <c r="J26" i="14"/>
  <c r="J15" i="16"/>
  <c r="J14" i="16"/>
  <c r="J13" i="16"/>
  <c r="I15" i="16"/>
  <c r="I14" i="16"/>
  <c r="I13" i="16"/>
  <c r="N12" i="37"/>
  <c r="N11" i="37"/>
  <c r="N10" i="37"/>
  <c r="M12" i="37"/>
  <c r="M11" i="37"/>
  <c r="M10" i="37"/>
  <c r="L12" i="37"/>
  <c r="L11" i="37"/>
  <c r="L10" i="37"/>
  <c r="K12" i="37"/>
  <c r="K11" i="37"/>
  <c r="K10" i="37"/>
  <c r="J12" i="37"/>
  <c r="J11" i="37"/>
  <c r="J10" i="37"/>
  <c r="L186" i="36"/>
  <c r="L185" i="36"/>
  <c r="K186" i="36"/>
  <c r="K185" i="36"/>
  <c r="J186" i="36"/>
  <c r="J185" i="36"/>
  <c r="M327" i="36"/>
  <c r="K327" i="36"/>
  <c r="J327" i="36"/>
  <c r="L62" i="36"/>
  <c r="L61" i="36"/>
  <c r="L60" i="36"/>
  <c r="K62" i="36"/>
  <c r="K61" i="36"/>
  <c r="K60" i="36"/>
  <c r="J62" i="36"/>
  <c r="J61" i="36"/>
  <c r="J60" i="36"/>
  <c r="L43" i="36"/>
  <c r="L42" i="36"/>
  <c r="K43" i="36"/>
  <c r="K42" i="36"/>
  <c r="J43" i="36"/>
  <c r="J42" i="36"/>
  <c r="L29" i="36"/>
  <c r="L28" i="36"/>
  <c r="K29" i="36"/>
  <c r="K28" i="36"/>
  <c r="J29" i="36"/>
  <c r="J28" i="36"/>
  <c r="M368" i="25"/>
  <c r="M367" i="25"/>
  <c r="M366" i="25"/>
  <c r="L368" i="25"/>
  <c r="L367" i="25"/>
  <c r="L366" i="25"/>
  <c r="K368" i="25"/>
  <c r="K367" i="25"/>
  <c r="K366" i="25"/>
  <c r="J368" i="25"/>
  <c r="J367" i="25"/>
  <c r="J366" i="25"/>
  <c r="M337" i="25"/>
  <c r="M336" i="25"/>
  <c r="M335" i="25"/>
  <c r="M334" i="25"/>
  <c r="L337" i="25"/>
  <c r="L336" i="25"/>
  <c r="L335" i="25"/>
  <c r="L334" i="25"/>
  <c r="K337" i="25"/>
  <c r="K336" i="25"/>
  <c r="K335" i="25"/>
  <c r="K334" i="25"/>
  <c r="J337" i="25"/>
  <c r="J336" i="25"/>
  <c r="J335" i="25"/>
  <c r="J334" i="25"/>
  <c r="L462" i="25"/>
  <c r="K462" i="25"/>
  <c r="J462" i="25"/>
  <c r="L461" i="25"/>
  <c r="K461" i="25"/>
  <c r="J461" i="25"/>
  <c r="K60" i="21"/>
  <c r="K59" i="21"/>
  <c r="K58" i="21"/>
  <c r="M384" i="13"/>
  <c r="L384" i="13"/>
  <c r="K384" i="13"/>
  <c r="J384" i="13"/>
  <c r="M227" i="13"/>
  <c r="L227" i="13"/>
  <c r="K227" i="13"/>
  <c r="J227" i="13"/>
  <c r="L209" i="13"/>
  <c r="K209" i="13"/>
  <c r="J208" i="13"/>
  <c r="L403" i="7"/>
  <c r="L402" i="7"/>
  <c r="L401" i="7"/>
  <c r="K403" i="7"/>
  <c r="K402" i="7"/>
  <c r="K401" i="7"/>
  <c r="J403" i="7"/>
  <c r="J402" i="7"/>
  <c r="J401" i="7"/>
  <c r="J920" i="7"/>
  <c r="M569" i="7"/>
  <c r="N627" i="7"/>
  <c r="N626" i="7"/>
  <c r="N625" i="7"/>
  <c r="N624" i="7"/>
  <c r="J624" i="7"/>
  <c r="M627" i="7"/>
  <c r="M626" i="7"/>
  <c r="M625" i="7"/>
  <c r="M624" i="7"/>
  <c r="L627" i="7"/>
  <c r="L626" i="7"/>
  <c r="L625" i="7"/>
  <c r="L624" i="7"/>
  <c r="K627" i="7"/>
  <c r="K626" i="7"/>
  <c r="K625" i="7"/>
  <c r="K624" i="7"/>
  <c r="J627" i="7"/>
  <c r="J626" i="7"/>
  <c r="J625" i="7"/>
  <c r="N346" i="7"/>
  <c r="N345" i="7"/>
  <c r="N344" i="7"/>
  <c r="M345" i="7"/>
  <c r="M344" i="7"/>
  <c r="L346" i="7"/>
  <c r="L345" i="7"/>
  <c r="L344" i="7"/>
  <c r="K345" i="7"/>
  <c r="K344" i="7"/>
  <c r="J346" i="7"/>
  <c r="J345" i="7"/>
  <c r="J344" i="7"/>
  <c r="N347" i="7"/>
  <c r="M347" i="7"/>
  <c r="L347" i="7"/>
  <c r="K347" i="7"/>
  <c r="J347" i="7"/>
  <c r="N16" i="26"/>
  <c r="N15" i="26"/>
  <c r="N14" i="26"/>
  <c r="N13" i="26"/>
  <c r="J13" i="26"/>
  <c r="M16" i="26"/>
  <c r="M15" i="26"/>
  <c r="M14" i="26"/>
  <c r="M13" i="26"/>
  <c r="L16" i="26"/>
  <c r="L15" i="26"/>
  <c r="L14" i="26"/>
  <c r="L13" i="26"/>
  <c r="K15" i="26"/>
  <c r="J15" i="26"/>
  <c r="K16" i="26"/>
  <c r="K14" i="26"/>
  <c r="K13" i="26"/>
  <c r="J16" i="26"/>
  <c r="J14" i="26"/>
  <c r="N258" i="36"/>
  <c r="N257" i="36"/>
  <c r="N256" i="36"/>
  <c r="J256" i="36"/>
  <c r="M258" i="36"/>
  <c r="M257" i="36"/>
  <c r="M256" i="36"/>
  <c r="L258" i="36"/>
  <c r="L257" i="36"/>
  <c r="L256" i="36"/>
  <c r="K258" i="36"/>
  <c r="K257" i="36"/>
  <c r="K256" i="36"/>
  <c r="J257" i="36"/>
  <c r="J258" i="36"/>
  <c r="N99" i="38"/>
  <c r="N98" i="38"/>
  <c r="N97" i="38"/>
  <c r="M99" i="38"/>
  <c r="M98" i="38"/>
  <c r="M97" i="38"/>
  <c r="L99" i="38"/>
  <c r="L98" i="38"/>
  <c r="L97" i="38"/>
  <c r="K99" i="38"/>
  <c r="K98" i="38"/>
  <c r="K97" i="38"/>
  <c r="J99" i="38"/>
  <c r="J98" i="38"/>
  <c r="M17" i="38"/>
  <c r="M16" i="38"/>
  <c r="M15" i="38"/>
  <c r="L17" i="38"/>
  <c r="L16" i="38"/>
  <c r="L15" i="38"/>
  <c r="K17" i="38"/>
  <c r="K16" i="38"/>
  <c r="K15" i="38"/>
  <c r="J17" i="38"/>
  <c r="J16" i="38"/>
  <c r="K27" i="28"/>
  <c r="K26" i="28"/>
  <c r="K25" i="28"/>
  <c r="J27" i="28"/>
  <c r="J26" i="28"/>
  <c r="K13" i="14"/>
  <c r="K12" i="14"/>
  <c r="K11" i="14"/>
  <c r="J13" i="14"/>
  <c r="J12" i="14"/>
  <c r="J11" i="14"/>
  <c r="K29" i="21"/>
  <c r="K28" i="21"/>
  <c r="K27" i="21"/>
  <c r="J29" i="21"/>
  <c r="J28" i="21"/>
  <c r="J27" i="21"/>
  <c r="K32" i="26"/>
  <c r="K31" i="26"/>
  <c r="K30" i="26"/>
  <c r="J32" i="26"/>
  <c r="J31" i="26"/>
  <c r="J30" i="26"/>
  <c r="J15" i="21"/>
  <c r="J14" i="21"/>
  <c r="J13" i="21"/>
  <c r="J12" i="21"/>
  <c r="L51" i="30"/>
  <c r="L50" i="30"/>
  <c r="L49" i="30"/>
  <c r="K51" i="30"/>
  <c r="K50" i="30"/>
  <c r="K49" i="30"/>
  <c r="J51" i="30"/>
  <c r="J50" i="30"/>
  <c r="J49" i="30"/>
  <c r="M326" i="36"/>
  <c r="M325" i="36"/>
  <c r="L327" i="36"/>
  <c r="L326" i="36"/>
  <c r="L325" i="36"/>
  <c r="K326" i="36"/>
  <c r="K325" i="36"/>
  <c r="J326" i="36"/>
  <c r="J325" i="36"/>
  <c r="J41" i="14"/>
  <c r="J40" i="14"/>
  <c r="J39" i="14"/>
  <c r="J38" i="14"/>
  <c r="M164" i="30"/>
  <c r="M163" i="30"/>
  <c r="M162" i="30"/>
  <c r="M161" i="30"/>
  <c r="L164" i="30"/>
  <c r="L163" i="30"/>
  <c r="L162" i="30"/>
  <c r="L161" i="30"/>
  <c r="K164" i="30"/>
  <c r="K163" i="30"/>
  <c r="K162" i="30"/>
  <c r="K161" i="30"/>
  <c r="J164" i="30"/>
  <c r="J163" i="30"/>
  <c r="J162" i="30"/>
  <c r="J161" i="30"/>
  <c r="K85" i="28"/>
  <c r="K84" i="28"/>
  <c r="K83" i="28"/>
  <c r="K82" i="28"/>
  <c r="J84" i="28"/>
  <c r="J83" i="28"/>
  <c r="J82" i="28"/>
  <c r="K40" i="28"/>
  <c r="K39" i="28"/>
  <c r="K38" i="28"/>
  <c r="K37" i="28"/>
  <c r="J39" i="28"/>
  <c r="J38" i="28"/>
  <c r="J37" i="28"/>
  <c r="J60" i="21"/>
  <c r="J59" i="21"/>
  <c r="J58" i="21"/>
  <c r="K45" i="21"/>
  <c r="K44" i="21"/>
  <c r="K43" i="21"/>
  <c r="K42" i="21"/>
  <c r="J45" i="21"/>
  <c r="J44" i="21"/>
  <c r="J43" i="21"/>
  <c r="J42" i="21"/>
  <c r="L463" i="25"/>
  <c r="K463" i="25"/>
  <c r="J463" i="25"/>
  <c r="L78" i="26"/>
  <c r="L77" i="26"/>
  <c r="L76" i="26"/>
  <c r="L75" i="26"/>
  <c r="K77" i="26"/>
  <c r="K76" i="26"/>
  <c r="K75" i="26"/>
  <c r="J77" i="26"/>
  <c r="J76" i="26"/>
  <c r="J75" i="26"/>
  <c r="L62" i="26"/>
  <c r="L61" i="26"/>
  <c r="L60" i="26"/>
  <c r="L59" i="26"/>
  <c r="K61" i="26"/>
  <c r="K60" i="26"/>
  <c r="K59" i="26"/>
  <c r="J61" i="26"/>
  <c r="J60" i="26"/>
  <c r="J59" i="26"/>
  <c r="N16" i="20"/>
  <c r="N15" i="20"/>
  <c r="N14" i="20"/>
  <c r="M16" i="20"/>
  <c r="M15" i="20"/>
  <c r="M14" i="20"/>
  <c r="L14" i="20"/>
  <c r="L16" i="20"/>
  <c r="L15" i="20"/>
  <c r="K16" i="20"/>
  <c r="K15" i="20"/>
  <c r="K14" i="20"/>
  <c r="J16" i="20"/>
  <c r="J15" i="20"/>
  <c r="J14" i="20"/>
  <c r="M356" i="25"/>
  <c r="M355" i="25"/>
  <c r="M354" i="25"/>
  <c r="M353" i="25"/>
  <c r="L356" i="25"/>
  <c r="L355" i="25"/>
  <c r="L354" i="25"/>
  <c r="L353" i="25"/>
  <c r="K356" i="25"/>
  <c r="K355" i="25"/>
  <c r="K354" i="25"/>
  <c r="K353" i="25"/>
  <c r="J356" i="25"/>
  <c r="J355" i="25"/>
  <c r="J354" i="25"/>
  <c r="J353" i="25"/>
  <c r="M383" i="13"/>
  <c r="M382" i="13"/>
  <c r="L383" i="13"/>
  <c r="L382" i="13"/>
  <c r="K383" i="13"/>
  <c r="K382" i="13"/>
  <c r="J383" i="13"/>
  <c r="J382" i="13"/>
  <c r="J14" i="9"/>
  <c r="J13" i="9"/>
  <c r="J12" i="9"/>
  <c r="M328" i="7"/>
  <c r="M327" i="7"/>
  <c r="M326" i="7"/>
  <c r="K328" i="7"/>
  <c r="K327" i="7"/>
  <c r="K326" i="7"/>
  <c r="J328" i="7"/>
  <c r="J327" i="7"/>
  <c r="J326" i="7"/>
  <c r="L326" i="7"/>
  <c r="L28" i="9"/>
  <c r="L27" i="9"/>
  <c r="L26" i="9"/>
  <c r="K28" i="9"/>
  <c r="K27" i="9"/>
  <c r="K26" i="9"/>
  <c r="J28" i="9"/>
  <c r="J27" i="9"/>
  <c r="J26" i="9"/>
  <c r="L893" i="7"/>
  <c r="L892" i="7"/>
  <c r="L891" i="7"/>
  <c r="K893" i="7"/>
  <c r="K892" i="7"/>
  <c r="K891" i="7"/>
  <c r="J893" i="7"/>
  <c r="J892" i="7"/>
  <c r="J891" i="7"/>
  <c r="N241" i="25"/>
  <c r="N240" i="25"/>
  <c r="N239" i="25"/>
  <c r="M241" i="25"/>
  <c r="M240" i="25"/>
  <c r="M239" i="25"/>
  <c r="L241" i="25"/>
  <c r="L240" i="25"/>
  <c r="L239" i="25"/>
  <c r="K241" i="25"/>
  <c r="K240" i="25"/>
  <c r="K239" i="25"/>
  <c r="J241" i="25"/>
  <c r="J240" i="25"/>
  <c r="J239" i="25"/>
  <c r="K31" i="10"/>
  <c r="L31" i="10"/>
  <c r="L30" i="10"/>
  <c r="L29" i="10"/>
  <c r="K30" i="10"/>
  <c r="K29" i="10"/>
  <c r="J31" i="10"/>
  <c r="J30" i="10"/>
  <c r="M396" i="25"/>
  <c r="M395" i="25"/>
  <c r="L395" i="25"/>
  <c r="L396" i="25"/>
  <c r="K396" i="25"/>
  <c r="K395" i="25"/>
  <c r="J396" i="25"/>
  <c r="J395" i="25"/>
  <c r="N192" i="13"/>
  <c r="N191" i="13"/>
  <c r="N190" i="13"/>
  <c r="M192" i="13"/>
  <c r="M191" i="13"/>
  <c r="M190" i="13"/>
  <c r="L192" i="13"/>
  <c r="L191" i="13"/>
  <c r="L190" i="13"/>
  <c r="K192" i="13"/>
  <c r="K191" i="13"/>
  <c r="K190" i="13"/>
  <c r="J192" i="13"/>
  <c r="J191" i="13"/>
  <c r="J190" i="13"/>
  <c r="N172" i="13"/>
  <c r="N171" i="13"/>
  <c r="M172" i="13"/>
  <c r="M171" i="13"/>
  <c r="L172" i="13"/>
  <c r="L171" i="13"/>
  <c r="K172" i="13"/>
  <c r="K171" i="13"/>
  <c r="J172" i="13"/>
  <c r="J171" i="13"/>
  <c r="L146" i="36"/>
  <c r="L145" i="36"/>
  <c r="L144" i="36"/>
  <c r="L143" i="36"/>
  <c r="K146" i="36"/>
  <c r="K145" i="36"/>
  <c r="K144" i="36"/>
  <c r="K143" i="36"/>
  <c r="J146" i="36"/>
  <c r="J145" i="36"/>
  <c r="J144" i="36"/>
  <c r="M130" i="25"/>
  <c r="M129" i="25"/>
  <c r="M128" i="25"/>
  <c r="L130" i="25"/>
  <c r="L129" i="25"/>
  <c r="L128" i="25"/>
  <c r="K130" i="25"/>
  <c r="K129" i="25"/>
  <c r="K128" i="25"/>
  <c r="J130" i="25"/>
  <c r="J129" i="25"/>
  <c r="J128" i="25"/>
  <c r="M134" i="25"/>
  <c r="M133" i="25"/>
  <c r="M132" i="25"/>
  <c r="M131" i="25"/>
  <c r="L134" i="25"/>
  <c r="L133" i="25"/>
  <c r="L132" i="25"/>
  <c r="L131" i="25"/>
  <c r="K134" i="25"/>
  <c r="K133" i="25"/>
  <c r="K132" i="25"/>
  <c r="K131" i="25"/>
  <c r="J134" i="25"/>
  <c r="J133" i="25"/>
  <c r="J132" i="25"/>
  <c r="J131" i="25"/>
  <c r="M478" i="25"/>
  <c r="M477" i="25"/>
  <c r="M476" i="25"/>
  <c r="L478" i="25"/>
  <c r="L477" i="25"/>
  <c r="L476" i="25"/>
  <c r="K478" i="25"/>
  <c r="K477" i="25"/>
  <c r="K476" i="25"/>
  <c r="J478" i="25"/>
  <c r="J477" i="25"/>
  <c r="J476" i="25"/>
  <c r="K669" i="7"/>
  <c r="K668" i="7"/>
  <c r="K667" i="7"/>
  <c r="J669" i="7"/>
  <c r="J668" i="7"/>
  <c r="J667" i="7"/>
  <c r="K142" i="40"/>
  <c r="K141" i="40"/>
  <c r="K140" i="40"/>
  <c r="J142" i="40"/>
  <c r="J141" i="40"/>
  <c r="J140" i="40"/>
  <c r="M32" i="20"/>
  <c r="M31" i="20"/>
  <c r="M30" i="20"/>
  <c r="L32" i="20"/>
  <c r="L31" i="20"/>
  <c r="L30" i="20"/>
  <c r="K32" i="20"/>
  <c r="K31" i="20"/>
  <c r="K30" i="20"/>
  <c r="J32" i="20"/>
  <c r="J31" i="20"/>
  <c r="J30" i="20"/>
  <c r="M226" i="13"/>
  <c r="M225" i="13"/>
  <c r="L226" i="13"/>
  <c r="L225" i="13"/>
  <c r="K226" i="13"/>
  <c r="K225" i="13"/>
  <c r="J226" i="13"/>
  <c r="J225" i="13"/>
  <c r="L29" i="32"/>
  <c r="L28" i="32"/>
  <c r="L27" i="32"/>
  <c r="K29" i="32"/>
  <c r="K28" i="32"/>
  <c r="K27" i="32"/>
  <c r="J29" i="32"/>
  <c r="J28" i="32"/>
  <c r="J27" i="32"/>
  <c r="M430" i="25"/>
  <c r="M429" i="25"/>
  <c r="M428" i="25"/>
  <c r="L430" i="25"/>
  <c r="L429" i="25"/>
  <c r="L428" i="25"/>
  <c r="K430" i="25"/>
  <c r="K429" i="25"/>
  <c r="K428" i="25"/>
  <c r="J430" i="25"/>
  <c r="J429" i="25"/>
  <c r="J428" i="25"/>
  <c r="M403" i="36"/>
  <c r="M402" i="36"/>
  <c r="L402" i="36"/>
  <c r="L403" i="36"/>
  <c r="K402" i="36"/>
  <c r="J403" i="36"/>
  <c r="J402" i="36"/>
  <c r="M311" i="36"/>
  <c r="M310" i="36"/>
  <c r="M309" i="36"/>
  <c r="M308" i="36"/>
  <c r="L311" i="36"/>
  <c r="L310" i="36"/>
  <c r="L309" i="36"/>
  <c r="L308" i="36"/>
  <c r="K311" i="36"/>
  <c r="K310" i="36"/>
  <c r="K309" i="36"/>
  <c r="K308" i="36"/>
  <c r="J311" i="36"/>
  <c r="J310" i="36"/>
  <c r="J309" i="36"/>
  <c r="J308" i="36"/>
  <c r="M420" i="36"/>
  <c r="M419" i="36"/>
  <c r="M418" i="36"/>
  <c r="L420" i="36"/>
  <c r="L419" i="36"/>
  <c r="L418" i="36"/>
  <c r="K420" i="36"/>
  <c r="J420" i="36"/>
  <c r="K419" i="36"/>
  <c r="K418" i="36"/>
  <c r="J419" i="36"/>
  <c r="J418" i="36"/>
  <c r="J167" i="40"/>
  <c r="J166" i="40"/>
  <c r="J165" i="40"/>
  <c r="L553" i="7"/>
  <c r="L552" i="7"/>
  <c r="L551" i="7"/>
  <c r="K553" i="7"/>
  <c r="K552" i="7"/>
  <c r="K551" i="7"/>
  <c r="J552" i="7"/>
  <c r="J551" i="7"/>
  <c r="J611" i="7"/>
  <c r="J610" i="7"/>
  <c r="J609" i="7"/>
  <c r="M419" i="7"/>
  <c r="L419" i="7"/>
  <c r="M418" i="7"/>
  <c r="M417" i="7"/>
  <c r="M416" i="7"/>
  <c r="L418" i="7"/>
  <c r="L417" i="7"/>
  <c r="L416" i="7"/>
  <c r="K419" i="7"/>
  <c r="K418" i="7"/>
  <c r="K417" i="7"/>
  <c r="K416" i="7"/>
  <c r="J419" i="7"/>
  <c r="J418" i="7"/>
  <c r="J417" i="7"/>
  <c r="J416" i="7"/>
  <c r="L208" i="13"/>
  <c r="L207" i="13"/>
  <c r="K208" i="13"/>
  <c r="K207" i="13"/>
  <c r="J207" i="13"/>
  <c r="L528" i="7"/>
  <c r="L527" i="7"/>
  <c r="L526" i="7"/>
  <c r="L525" i="7"/>
  <c r="K528" i="7"/>
  <c r="K527" i="7"/>
  <c r="K526" i="7"/>
  <c r="K525" i="7"/>
  <c r="J528" i="7"/>
  <c r="J527" i="7"/>
  <c r="J526" i="7"/>
  <c r="J525" i="7"/>
  <c r="M724" i="7"/>
  <c r="M723" i="7"/>
  <c r="M722" i="7"/>
  <c r="L724" i="7"/>
  <c r="L722" i="7"/>
  <c r="K724" i="7"/>
  <c r="K723" i="7"/>
  <c r="K722" i="7"/>
  <c r="M725" i="7"/>
  <c r="L725" i="7"/>
  <c r="K725" i="7"/>
  <c r="J725" i="7"/>
  <c r="J724" i="7"/>
  <c r="J723" i="7"/>
  <c r="J722" i="7"/>
  <c r="L364" i="7"/>
  <c r="L363" i="7"/>
  <c r="L362" i="7"/>
  <c r="K364" i="7"/>
  <c r="K363" i="7"/>
  <c r="K362" i="7"/>
  <c r="J364" i="7"/>
  <c r="J363" i="7"/>
  <c r="J362" i="7"/>
  <c r="M921" i="7"/>
  <c r="M920" i="7"/>
  <c r="M919" i="7"/>
  <c r="M918" i="7"/>
  <c r="M922" i="7"/>
  <c r="L922" i="7"/>
  <c r="K922" i="7"/>
  <c r="L921" i="7"/>
  <c r="L920" i="7"/>
  <c r="L919" i="7"/>
  <c r="L918" i="7"/>
  <c r="K921" i="7"/>
  <c r="K920" i="7"/>
  <c r="K919" i="7"/>
  <c r="K918" i="7"/>
  <c r="J922" i="7"/>
  <c r="J921" i="7"/>
  <c r="J919" i="7"/>
  <c r="J918" i="7"/>
  <c r="M568" i="7"/>
  <c r="M567" i="7"/>
  <c r="L569" i="7"/>
  <c r="L568" i="7"/>
  <c r="L567" i="7"/>
  <c r="K569" i="7"/>
  <c r="K568" i="7"/>
  <c r="K567" i="7"/>
  <c r="M570" i="7"/>
  <c r="L570" i="7"/>
  <c r="K570" i="7"/>
  <c r="J570" i="7"/>
  <c r="J569" i="7"/>
  <c r="J568" i="7"/>
  <c r="J567" i="7"/>
  <c r="K877" i="7"/>
  <c r="K876" i="7"/>
  <c r="K875" i="7"/>
  <c r="J877" i="7"/>
  <c r="J876" i="7"/>
  <c r="J875" i="7"/>
  <c r="K687" i="7"/>
  <c r="K686" i="7"/>
  <c r="K685" i="7"/>
  <c r="J687" i="7"/>
  <c r="J686" i="7"/>
  <c r="J685" i="7"/>
  <c r="K862" i="7"/>
  <c r="K861" i="7"/>
  <c r="K860" i="7"/>
  <c r="K859" i="7"/>
  <c r="J862" i="7"/>
  <c r="J861" i="7"/>
  <c r="J860" i="7"/>
  <c r="J859" i="7"/>
  <c r="L495" i="7"/>
  <c r="L494" i="7"/>
  <c r="L493" i="7"/>
  <c r="L496" i="7"/>
  <c r="K496" i="7"/>
  <c r="K495" i="7"/>
  <c r="K494" i="7"/>
  <c r="K493" i="7"/>
  <c r="J496" i="7"/>
  <c r="J495" i="7"/>
  <c r="J494" i="7"/>
  <c r="J493" i="7"/>
  <c r="K114" i="7"/>
  <c r="K113" i="7"/>
  <c r="K112" i="7"/>
  <c r="K111" i="7"/>
  <c r="J114" i="7"/>
  <c r="J113" i="7"/>
  <c r="J112" i="7"/>
  <c r="J111" i="7"/>
  <c r="K386" i="7"/>
  <c r="K385" i="7"/>
  <c r="K384" i="7"/>
  <c r="K383" i="7"/>
  <c r="J386" i="7"/>
  <c r="J385" i="7"/>
  <c r="J384" i="7"/>
  <c r="J383" i="7"/>
  <c r="L404" i="7"/>
  <c r="K404" i="7"/>
  <c r="J404" i="7"/>
  <c r="K234" i="7"/>
  <c r="K233" i="7"/>
  <c r="K232" i="7"/>
  <c r="K231" i="7"/>
  <c r="J234" i="7"/>
  <c r="J233" i="7"/>
  <c r="J232" i="7"/>
  <c r="J231" i="7"/>
  <c r="L276" i="7"/>
  <c r="K276" i="7"/>
  <c r="J276" i="7"/>
  <c r="J275" i="7"/>
  <c r="L275" i="7"/>
  <c r="L274" i="7"/>
  <c r="L273" i="7"/>
  <c r="K275" i="7"/>
  <c r="K274" i="7"/>
  <c r="K273" i="7"/>
  <c r="J274" i="7"/>
  <c r="J273" i="7"/>
  <c r="K793" i="7"/>
  <c r="K792" i="7"/>
  <c r="K791" i="7"/>
  <c r="J793" i="7"/>
  <c r="J792" i="7"/>
  <c r="J791" i="7"/>
  <c r="L844" i="7"/>
  <c r="L843" i="7"/>
  <c r="L842" i="7"/>
  <c r="K844" i="7"/>
  <c r="K843" i="7"/>
  <c r="K842" i="7"/>
  <c r="J844" i="7"/>
  <c r="J843" i="7"/>
  <c r="J842" i="7"/>
  <c r="L829" i="7"/>
  <c r="L828" i="7"/>
  <c r="L827" i="7"/>
  <c r="L826" i="7"/>
  <c r="K829" i="7"/>
  <c r="K828" i="7"/>
  <c r="K827" i="7"/>
  <c r="K826" i="7"/>
  <c r="J829" i="7"/>
  <c r="J828" i="7"/>
  <c r="J827" i="7"/>
  <c r="J826" i="7"/>
  <c r="J780" i="7"/>
  <c r="K780" i="7"/>
  <c r="K779" i="7"/>
  <c r="K778" i="7"/>
  <c r="K777" i="7"/>
  <c r="J779" i="7"/>
  <c r="J778" i="7"/>
  <c r="J777" i="7"/>
  <c r="L704" i="7"/>
  <c r="L703" i="7"/>
  <c r="L702" i="7"/>
  <c r="L701" i="7"/>
  <c r="K704" i="7"/>
  <c r="K703" i="7"/>
  <c r="K702" i="7"/>
  <c r="K701" i="7"/>
  <c r="J701" i="7"/>
  <c r="J704" i="7"/>
  <c r="J703" i="7"/>
  <c r="J702" i="7"/>
  <c r="L84" i="7"/>
  <c r="K84" i="7"/>
  <c r="J84" i="7"/>
  <c r="L757" i="7"/>
  <c r="L756" i="7"/>
  <c r="L755" i="7"/>
  <c r="K757" i="7"/>
  <c r="J757" i="7"/>
  <c r="K756" i="7"/>
  <c r="K755" i="7"/>
  <c r="J756" i="7"/>
  <c r="J755" i="7"/>
  <c r="J314" i="7"/>
  <c r="J313" i="7"/>
  <c r="C5" i="6"/>
  <c r="C6" i="6"/>
  <c r="C11" i="6"/>
  <c r="C12" i="6"/>
  <c r="C13" i="6"/>
  <c r="C14" i="6"/>
  <c r="C15" i="6"/>
  <c r="C16" i="6"/>
  <c r="C17" i="6"/>
  <c r="C18" i="6"/>
  <c r="C19" i="6"/>
  <c r="C20" i="6"/>
  <c r="C26" i="6"/>
  <c r="C27" i="6"/>
  <c r="C28" i="6"/>
  <c r="C29" i="6"/>
  <c r="C30" i="6"/>
  <c r="C31" i="6"/>
  <c r="C32" i="6"/>
  <c r="C33" i="6"/>
  <c r="C39" i="6"/>
  <c r="C40" i="6"/>
  <c r="C41" i="6"/>
  <c r="C42" i="6"/>
  <c r="C43" i="6"/>
  <c r="C44" i="6"/>
  <c r="C45" i="6"/>
  <c r="C50" i="6"/>
  <c r="C51" i="6"/>
  <c r="C52" i="6"/>
  <c r="C53" i="6"/>
  <c r="C54" i="6"/>
  <c r="C55" i="6"/>
  <c r="C56" i="6"/>
  <c r="C57" i="6"/>
  <c r="C62" i="6"/>
  <c r="C63" i="6"/>
  <c r="C64" i="6"/>
  <c r="C69" i="6"/>
  <c r="C70" i="6"/>
  <c r="C71" i="6"/>
  <c r="C72" i="6"/>
  <c r="C73" i="6"/>
  <c r="C74" i="6"/>
  <c r="C79" i="6"/>
  <c r="C80" i="6"/>
  <c r="C81" i="6"/>
  <c r="C82" i="6"/>
  <c r="C83" i="6"/>
  <c r="C84" i="6"/>
  <c r="C85" i="6"/>
  <c r="C86" i="6"/>
  <c r="C87" i="6"/>
  <c r="C88" i="6"/>
  <c r="C89" i="6"/>
  <c r="C90" i="6"/>
  <c r="C91" i="6"/>
  <c r="C92" i="6"/>
  <c r="C93" i="6"/>
  <c r="C94" i="6"/>
  <c r="C95" i="6"/>
  <c r="C96" i="6"/>
  <c r="C97" i="6"/>
  <c r="C102" i="6"/>
  <c r="C103" i="6"/>
  <c r="C108" i="6"/>
  <c r="C109" i="6"/>
  <c r="C110" i="6"/>
  <c r="C116" i="6"/>
  <c r="C117" i="6"/>
  <c r="C122" i="6"/>
  <c r="C123" i="6"/>
  <c r="C124" i="6"/>
  <c r="C129" i="6"/>
  <c r="C130" i="6"/>
  <c r="C131" i="6"/>
  <c r="C132" i="6"/>
  <c r="C133" i="6"/>
  <c r="C134" i="6"/>
  <c r="C139" i="6"/>
  <c r="C140" i="6"/>
  <c r="C145" i="6"/>
  <c r="C150" i="6"/>
  <c r="C151" i="6"/>
  <c r="C152" i="6"/>
  <c r="C153" i="6"/>
  <c r="C158" i="6"/>
  <c r="C159" i="6"/>
  <c r="C160" i="6"/>
  <c r="C161" i="6"/>
  <c r="C162" i="6"/>
  <c r="C163" i="6"/>
  <c r="C164" i="6"/>
  <c r="C165" i="6"/>
  <c r="C166" i="6"/>
  <c r="C167" i="6"/>
  <c r="C172" i="6"/>
  <c r="C173" i="6"/>
  <c r="C174" i="6"/>
  <c r="C179" i="6"/>
  <c r="C180" i="6"/>
  <c r="C185" i="6"/>
  <c r="C186" i="6"/>
  <c r="C187" i="6"/>
  <c r="C192" i="6"/>
  <c r="C197" i="6"/>
  <c r="C198" i="6"/>
  <c r="C199" i="6"/>
  <c r="K49" i="40"/>
  <c r="M146" i="34"/>
  <c r="M145" i="34"/>
  <c r="M144" i="34"/>
  <c r="L146" i="34"/>
  <c r="L145" i="34"/>
  <c r="L144" i="34"/>
  <c r="K146" i="34"/>
  <c r="K145" i="34"/>
  <c r="K144" i="34"/>
  <c r="J146" i="34"/>
  <c r="J145" i="34"/>
  <c r="J144" i="34"/>
  <c r="K91" i="26"/>
  <c r="K90" i="26"/>
  <c r="J90" i="26"/>
  <c r="J91" i="26"/>
  <c r="J27" i="14"/>
  <c r="M85" i="38"/>
  <c r="J52" i="37"/>
  <c r="K52" i="37"/>
  <c r="L52" i="37"/>
  <c r="M52" i="37"/>
  <c r="J53" i="37"/>
  <c r="K53" i="37"/>
  <c r="L53" i="37"/>
  <c r="M53" i="37"/>
  <c r="J54" i="37"/>
  <c r="K54" i="37"/>
  <c r="L54" i="37"/>
  <c r="M54" i="37"/>
  <c r="J107" i="37"/>
  <c r="K107" i="37"/>
  <c r="L107" i="37"/>
  <c r="M107" i="37"/>
  <c r="J108" i="37"/>
  <c r="K108" i="37"/>
  <c r="L108" i="37"/>
  <c r="M108" i="37"/>
  <c r="J109" i="37"/>
  <c r="K109" i="37"/>
  <c r="L109" i="37"/>
  <c r="M109" i="37"/>
  <c r="K403" i="36"/>
  <c r="L516" i="36"/>
  <c r="K217" i="30"/>
  <c r="L217" i="30"/>
  <c r="M217" i="30"/>
  <c r="N217" i="30"/>
  <c r="J218" i="30"/>
  <c r="K218" i="30"/>
  <c r="L218" i="30"/>
  <c r="M218" i="30"/>
  <c r="N218" i="30"/>
  <c r="J219" i="30"/>
  <c r="K219" i="30"/>
  <c r="L219" i="30"/>
  <c r="M219" i="30"/>
  <c r="N219" i="30"/>
  <c r="K27" i="27"/>
  <c r="L27" i="27"/>
  <c r="J28" i="27"/>
  <c r="K28" i="27"/>
  <c r="J29" i="27"/>
  <c r="K29" i="27"/>
  <c r="L29" i="27"/>
  <c r="J62" i="26"/>
  <c r="K62" i="26"/>
  <c r="J78" i="26"/>
  <c r="K78" i="26"/>
  <c r="J49" i="25"/>
  <c r="K49" i="25"/>
  <c r="L49" i="25"/>
  <c r="M49" i="25"/>
  <c r="J25" i="14"/>
  <c r="J74" i="14"/>
  <c r="J75" i="14"/>
  <c r="J94" i="13"/>
  <c r="K94" i="13"/>
  <c r="L94" i="13"/>
  <c r="M94" i="13"/>
  <c r="J209" i="13"/>
  <c r="J56" i="12"/>
  <c r="L56" i="12"/>
  <c r="J110" i="12"/>
  <c r="K110" i="12"/>
  <c r="L110" i="12"/>
  <c r="M110" i="12"/>
  <c r="J111" i="12"/>
  <c r="K111" i="12"/>
  <c r="L111" i="12"/>
  <c r="M111" i="12"/>
  <c r="J112" i="12"/>
  <c r="K112" i="12"/>
  <c r="L112" i="12"/>
  <c r="M112" i="12"/>
  <c r="J113" i="12"/>
  <c r="K113" i="12"/>
  <c r="L113" i="12"/>
  <c r="M113" i="12"/>
  <c r="K11" i="8"/>
  <c r="J14" i="7"/>
  <c r="K14" i="7"/>
  <c r="J15" i="7"/>
  <c r="K15" i="7"/>
  <c r="K144" i="7"/>
  <c r="J183" i="7"/>
  <c r="K183" i="7"/>
  <c r="L183" i="7"/>
  <c r="M183" i="7"/>
  <c r="L327" i="7"/>
  <c r="L328" i="7"/>
  <c r="J442" i="7"/>
  <c r="J443" i="7"/>
  <c r="J454" i="7"/>
  <c r="K454" i="7"/>
  <c r="J455" i="7"/>
  <c r="K455" i="7"/>
  <c r="J456" i="7"/>
  <c r="K456" i="7"/>
  <c r="J688" i="7"/>
  <c r="K688" i="7"/>
  <c r="J742" i="7"/>
  <c r="K742" i="7"/>
</calcChain>
</file>

<file path=xl/sharedStrings.xml><?xml version="1.0" encoding="utf-8"?>
<sst xmlns="http://schemas.openxmlformats.org/spreadsheetml/2006/main" count="8438" uniqueCount="2259">
  <si>
    <t xml:space="preserve">Hotel Facilities: Airconditioned throughout, Greek &amp; Mediterranean gourmet restaurants, Sushi bar, Lounge bar, Pool bar, Swimming pool, Childrens pool, Spa center, Business center, Parking
Room Facilities: Satellite T/V, CD/DVD player, Internet access, Direct - dial phone, Mini bar, Hairdryer, Safe. </t>
  </si>
  <si>
    <t>Plaza Resort</t>
  </si>
  <si>
    <t>52nd Km Athens Sounio Road, Anavyssos</t>
  </si>
  <si>
    <t>135 Standard Room(s)</t>
  </si>
  <si>
    <t>4 km. from Mykonos Town, on Platis Gialos Beach, 4 km. from the airport</t>
  </si>
  <si>
    <t>Alexandros - Airotel</t>
  </si>
  <si>
    <t>8, Timoleontos Vassou street, Athens</t>
  </si>
  <si>
    <t>96 Standard Room(s)</t>
  </si>
  <si>
    <t>Suitable for the Disabled.</t>
  </si>
  <si>
    <t xml:space="preserve">  SAMOS …………………………………………….. </t>
  </si>
  <si>
    <t xml:space="preserve">  SANTORINI ………………………………………… </t>
  </si>
  <si>
    <t xml:space="preserve">  SKIATHOS …………………………………………. </t>
  </si>
  <si>
    <t xml:space="preserve">  PAROS ……………………………………………..</t>
  </si>
  <si>
    <t>58, Pindou Str.</t>
  </si>
  <si>
    <t>103 Standard Rooms, 1 Suite</t>
  </si>
  <si>
    <t>45 Standard Rooms</t>
  </si>
  <si>
    <t>255 Standard Rooms, 20 Suites</t>
  </si>
  <si>
    <t>136 Standard Rooms, 9 Suites, 6 Villas</t>
  </si>
  <si>
    <t>Town, Mykonos</t>
  </si>
  <si>
    <t>24 Standard Rooms, 1 Suite</t>
  </si>
  <si>
    <t>Agios Stefanos</t>
  </si>
  <si>
    <t>102 Standard Rooms</t>
  </si>
  <si>
    <t>13, Filellinon Str.</t>
  </si>
  <si>
    <t>From</t>
  </si>
  <si>
    <t>To</t>
  </si>
  <si>
    <t xml:space="preserve">Port </t>
  </si>
  <si>
    <t>All town hotels or V.V.</t>
  </si>
  <si>
    <t>Agia Marina hotels or V.V.</t>
  </si>
  <si>
    <t xml:space="preserve">El. Venizelos Airport </t>
  </si>
  <si>
    <t xml:space="preserve">Athens Hotels/Bus Stations or V.V. </t>
  </si>
  <si>
    <t xml:space="preserve">Port of Piraeus or V.V. </t>
  </si>
  <si>
    <t xml:space="preserve">Port of Rafina or V.V. </t>
  </si>
  <si>
    <t xml:space="preserve">Piraeus Port </t>
  </si>
  <si>
    <t>Rafina Port</t>
  </si>
  <si>
    <t>Athens Hotels</t>
  </si>
  <si>
    <t xml:space="preserve">Glyfada or V.V. </t>
  </si>
  <si>
    <t xml:space="preserve">Vouliagmeni or V.V. </t>
  </si>
  <si>
    <t xml:space="preserve">Lagonissi/Anavyssos or V.V. </t>
  </si>
  <si>
    <t xml:space="preserve">Corinthos/Loutraki or V.V. </t>
  </si>
  <si>
    <t xml:space="preserve">Sounio or V.V. </t>
  </si>
  <si>
    <t>Piraeus Port</t>
  </si>
  <si>
    <t xml:space="preserve">Airport </t>
  </si>
  <si>
    <t>Agrostoli/Lassi/Svoronata or V.V.</t>
  </si>
  <si>
    <t>Lakithra/Kourkoumelata/Davlata or V.V.</t>
  </si>
  <si>
    <t>Skala/Poros/Assos/Ag.Efimia/Xi or V.V.</t>
  </si>
  <si>
    <t>Sami Port</t>
  </si>
  <si>
    <t xml:space="preserve">Karavomylos/Sami or V.V. </t>
  </si>
  <si>
    <t xml:space="preserve">Lixouri/Assos/Xi-Lixouri/Fiskardo/Skala or V.V. </t>
  </si>
  <si>
    <t xml:space="preserve">Pessada Port </t>
  </si>
  <si>
    <t xml:space="preserve">Argostoli/Svoronata/Spartia/Kourkoumelata/Lassi/Lourdas or V.V. </t>
  </si>
  <si>
    <t>Skala/Sami/Karavomylos or V.V.</t>
  </si>
  <si>
    <t>Lixouri/Xi/Assos or V.V.</t>
  </si>
  <si>
    <t>Poros Port</t>
  </si>
  <si>
    <t>Argostoli/Skala/Pessada/Spartia/Svoronata/Lordas/Trapezaki or V.V.</t>
  </si>
  <si>
    <t>Xi/Sami/Lixouri/Lassi/Karavomylos/Assos or V.V.</t>
  </si>
  <si>
    <t xml:space="preserve">Argostoli Port </t>
  </si>
  <si>
    <t xml:space="preserve">Lassii/Kourkoumelata/Davgata/Svoronata or V.V. </t>
  </si>
  <si>
    <t xml:space="preserve">Fiskardo or V.V. </t>
  </si>
  <si>
    <t>Lordas/Trapezaki/Zola/Spartia/Pessada/Lixouri/Katelios/Sami/Karavomylos or V.V.</t>
  </si>
  <si>
    <t>KourkoumelataLassi/Ag.Efimia/Argostoli/Pessada/Svoronata/Spartia/Davgata/Lordas/Trapezaki or V.V.</t>
  </si>
  <si>
    <t>Lordas/Trapezaki/Spartia/Pessada/Sami/Karavomylos/Lixouri/Ag.Efimia/Skala/Poros/Xi/Assos or V.V.</t>
  </si>
  <si>
    <t>Airport / Port</t>
  </si>
  <si>
    <t xml:space="preserve">Hotel Facilities: Bar, Breakfast-Lounge area, Flat screen TV at breakfast-Lounge area, NOVA satellite TV access, Internet Access, Adult pool (sweet water), Child's pool (sweet water) 
Room Facilities: A/C, Flat screen TV, DVD, Direct dial telephone, Private bathroom with bathtub, Fridge, Kitchen equipment, Internet Access </t>
  </si>
  <si>
    <t>A1</t>
  </si>
  <si>
    <t xml:space="preserve">Hotel Facilities: 24hour Reception, Swimming Pool, Kids Swimming Pool, Bar, Pool Bar, Living Room, Internet Point WiFi, PlayStation 3, Breakfast Buffet, Free Parking, Garden, Luggage Storage, Restaurant, Piano Restaurant, Safety Deposit Box, Spa &amp; Wellness Centre 
Room Facilities: Air-conditioning, Bathroom, Cable TV, Mini-bar, Safety Deposit Box, Satellite TV, Telephone, CD / DVD Player, Hair Dryer </t>
  </si>
  <si>
    <t>01/05-10/06</t>
  </si>
  <si>
    <t>40, Apollonos street, Athens, Vouliagmeni</t>
  </si>
  <si>
    <t>Standard Room</t>
  </si>
  <si>
    <t>BB</t>
  </si>
  <si>
    <t>Athens Lotus</t>
  </si>
  <si>
    <t>Metaxourgio</t>
  </si>
  <si>
    <t>31 Standard Room(s)</t>
  </si>
  <si>
    <t>24/09-20/10</t>
  </si>
  <si>
    <t>11/09-23/09</t>
  </si>
  <si>
    <t>01/07-15/07</t>
  </si>
  <si>
    <t>26/07-20/08</t>
  </si>
  <si>
    <t>01/12-31/12</t>
  </si>
  <si>
    <t>01/11-30/11</t>
  </si>
  <si>
    <t>Notes: Supplement for Sea View Euro 15,00 per night</t>
  </si>
  <si>
    <t>10/10-31/10</t>
  </si>
  <si>
    <t>25, Ag.Dimitriou Str., Thessaloniki</t>
  </si>
  <si>
    <t>26/08-30/09</t>
  </si>
  <si>
    <t>21/07-25/08</t>
  </si>
  <si>
    <t>11/05-31/05</t>
  </si>
  <si>
    <t>Standard Room G.V.</t>
  </si>
  <si>
    <t>01/05-15/05</t>
  </si>
  <si>
    <t>01/07-21/07</t>
  </si>
  <si>
    <t>25/04-31/05</t>
  </si>
  <si>
    <t>23/07-24/08</t>
  </si>
  <si>
    <t>Stanley</t>
  </si>
  <si>
    <t>1, Odysseus street, Athens</t>
  </si>
  <si>
    <t>Cat. 5*</t>
  </si>
  <si>
    <t>Athenian Callirhoe Exclusive Hotel</t>
  </si>
  <si>
    <t>66 Standard Room(s), 3 Suite(s), 10 Junior Suite(s)</t>
  </si>
  <si>
    <t>01/01-31/01</t>
  </si>
  <si>
    <t>Stratos Vassilikos - Airotel</t>
  </si>
  <si>
    <t>Cat. 4*</t>
  </si>
  <si>
    <t>A5</t>
  </si>
  <si>
    <t>V2</t>
  </si>
  <si>
    <r>
      <t>V3</t>
    </r>
    <r>
      <rPr>
        <sz val="10"/>
        <rFont val="Arial"/>
        <family val="2"/>
        <charset val="161"/>
      </rPr>
      <t xml:space="preserve"> </t>
    </r>
  </si>
  <si>
    <t>V4</t>
  </si>
  <si>
    <t>V5</t>
  </si>
  <si>
    <t xml:space="preserve">ή </t>
  </si>
  <si>
    <r>
      <t>ή</t>
    </r>
    <r>
      <rPr>
        <sz val="10"/>
        <rFont val="Arial"/>
        <family val="2"/>
        <charset val="161"/>
      </rPr>
      <t xml:space="preserve"> Apartment for 2 Pax</t>
    </r>
  </si>
  <si>
    <r>
      <t>ή</t>
    </r>
    <r>
      <rPr>
        <sz val="10"/>
        <rFont val="Arial"/>
        <family val="2"/>
        <charset val="161"/>
      </rPr>
      <t xml:space="preserve"> Apartment for 3 Pax</t>
    </r>
  </si>
  <si>
    <r>
      <t>ή</t>
    </r>
    <r>
      <rPr>
        <sz val="10"/>
        <rFont val="Arial"/>
        <family val="2"/>
        <charset val="161"/>
      </rPr>
      <t xml:space="preserve"> Apartment for 4 Pax</t>
    </r>
  </si>
  <si>
    <r>
      <t>ή</t>
    </r>
    <r>
      <rPr>
        <sz val="10"/>
        <rFont val="Arial"/>
        <family val="2"/>
        <charset val="161"/>
      </rPr>
      <t xml:space="preserve"> Apartment for 5 Pax</t>
    </r>
  </si>
  <si>
    <r>
      <t>ή</t>
    </r>
    <r>
      <rPr>
        <sz val="10"/>
        <rFont val="Arial"/>
        <family val="2"/>
        <charset val="161"/>
      </rPr>
      <t xml:space="preserve"> Villa for 2 Pax</t>
    </r>
  </si>
  <si>
    <r>
      <t>ή</t>
    </r>
    <r>
      <rPr>
        <sz val="10"/>
        <rFont val="Arial"/>
        <family val="2"/>
        <charset val="161"/>
      </rPr>
      <t xml:space="preserve"> Villa for 3 Pax</t>
    </r>
  </si>
  <si>
    <r>
      <t>ή</t>
    </r>
    <r>
      <rPr>
        <sz val="10"/>
        <rFont val="Arial"/>
        <family val="2"/>
        <charset val="161"/>
      </rPr>
      <t xml:space="preserve"> Villa for 4 Pax</t>
    </r>
  </si>
  <si>
    <r>
      <t>ή</t>
    </r>
    <r>
      <rPr>
        <sz val="10"/>
        <rFont val="Arial"/>
        <family val="2"/>
        <charset val="161"/>
      </rPr>
      <t xml:space="preserve"> Villa for 5 Pax</t>
    </r>
  </si>
  <si>
    <t></t>
  </si>
  <si>
    <t xml:space="preserve">  Our Bank Details ………………………………….. </t>
  </si>
  <si>
    <t xml:space="preserve">  ATHENS ………………………………………….. </t>
  </si>
  <si>
    <t xml:space="preserve">  CORFU …………………………………………….</t>
  </si>
  <si>
    <t xml:space="preserve">  CRETE ……………………………………………..</t>
  </si>
  <si>
    <t xml:space="preserve">  IOS …………………………………………………. </t>
  </si>
  <si>
    <t xml:space="preserve">  KOS …………………………………………………</t>
  </si>
  <si>
    <t xml:space="preserve">  MYKONOS ………………………………………… </t>
  </si>
  <si>
    <t>Rooms 67 , Suites 5</t>
  </si>
  <si>
    <t>Rooms 25</t>
  </si>
  <si>
    <t>Rooms 74</t>
  </si>
  <si>
    <t>Rooms 42 , Suites 2</t>
  </si>
  <si>
    <t>01/08-31/08</t>
  </si>
  <si>
    <t>Mykonos, Rohari</t>
  </si>
  <si>
    <t>Notes: Rates are for "Run of the House" rooms.</t>
  </si>
  <si>
    <t>Athens Cypria</t>
  </si>
  <si>
    <t>Standard Lake View Room</t>
  </si>
  <si>
    <t>Rooms 256</t>
  </si>
  <si>
    <t>Rooms 115</t>
  </si>
  <si>
    <t>Mykonos, Elia Beach</t>
  </si>
  <si>
    <t>01/08-24/08</t>
  </si>
  <si>
    <t>01/05-07/06</t>
  </si>
  <si>
    <t>Skopelos Holidays</t>
  </si>
  <si>
    <t>Skopelos Village</t>
  </si>
  <si>
    <t>Dionyssos</t>
  </si>
  <si>
    <t>Rigas</t>
  </si>
  <si>
    <t>Skopelos, Gyftolakas area</t>
  </si>
  <si>
    <t>Skopelos</t>
  </si>
  <si>
    <t>Crete, Limi Hersonissos</t>
  </si>
  <si>
    <t>346 Standard Rooms</t>
  </si>
  <si>
    <t>385 Standard Rooms</t>
  </si>
  <si>
    <t>102 Bungalows, 52 Suites, 4 Villas</t>
  </si>
  <si>
    <t>50 Suites, 26 Family Suites, 3 Superior Suites</t>
  </si>
  <si>
    <t>128 Standard Rooms, 38 Suites, 105 Studios, 50 Apts,1 Villa</t>
  </si>
  <si>
    <t xml:space="preserve">403 Standard Rooms, 116 Bungalows, 42 Annex </t>
  </si>
  <si>
    <t>320 Standard Rooms</t>
  </si>
  <si>
    <t>312 Standard Rooms</t>
  </si>
  <si>
    <t>121 Standard Rooms</t>
  </si>
  <si>
    <t>Hotel Facilities: Main Restaurant, Bar, Cafeteria, TV Room, Wellness center, Indoor Swimming Pool, Laundry services, Parking
Room Facilities: A/C, Direct dial phone, Hairdryer, Satellite &amp; Pay TV, Internet, Safe, Mini bar, Internet access</t>
  </si>
  <si>
    <t>35 Standard Rooms, 1 Junior Suite, 1 Family Suite</t>
  </si>
  <si>
    <t>78 Standard Rooms</t>
  </si>
  <si>
    <t>76 Standard Rooms, 4 Suites, 4 Junior Suites</t>
  </si>
  <si>
    <t>72 Standard Rooms, 4 Executive Rooms</t>
  </si>
  <si>
    <t>Hotel Facilities:  Bar, Snack bar, Swimming Pool, TV room, Safe boxes, Mini market, Tennis, Table tennis   
Room Facilities: A/C, Direct dial phone, Music, Hairdryer, Satellite TV</t>
  </si>
  <si>
    <t>3, Salaminos &amp; Karatsou Str. Thessaloniki</t>
  </si>
  <si>
    <t>Hotel Facilities: A/C, 3 Restaurant, Bar, Pool Bar, 24h Room Service, Tennis court, Beach volley, Bussiness center, Garage
Room Facilities: Mini bar, Direct Dial phone, Laptop size safe, balcony</t>
  </si>
  <si>
    <t>Hotel Facilities: 24h Room Service, Main Restaurant, Café snack bar, Internet corner, Laundry &amp; Cleaning Service, Outdoor swimming pool
Room Facilities: Direct dial phone, Mini bar, Safe, Hairdryer</t>
  </si>
  <si>
    <t>11, Eleftherias Square, Heraklio</t>
  </si>
  <si>
    <t>Sensimar Minos Palace</t>
  </si>
  <si>
    <t>Hotel Facilities: Mini Market, Main bar, Main restaurant, Restaurant a la carte, Room Service, Swimming Pool, games Room, Fitness center, Cleaning &amp; Laundry services, Internet corner, Car rental
Room Facilities: Direct dial phone, Satellite TV, Radio, Safe, Hairdryer</t>
  </si>
  <si>
    <t>Ag. Nikolaos</t>
  </si>
  <si>
    <t>Yria</t>
  </si>
  <si>
    <t>Paros, Parasporos</t>
  </si>
  <si>
    <t>Rooms 102 , Suites 3</t>
  </si>
  <si>
    <t>Tzekos Villas</t>
  </si>
  <si>
    <t>Rooms 21</t>
  </si>
  <si>
    <t>09/06-06/07</t>
  </si>
  <si>
    <t>29/09-31/10</t>
  </si>
  <si>
    <t>114, Michalakopoulou street, Athens</t>
  </si>
  <si>
    <t>Titania</t>
  </si>
  <si>
    <t>52, Panepistimiou street, Athens</t>
  </si>
  <si>
    <t>375 Standard Room(s), 21 Suite(s)</t>
  </si>
  <si>
    <t>21/05-10/06</t>
  </si>
  <si>
    <t>20/09-09/10</t>
  </si>
  <si>
    <t>11/06-10/07</t>
  </si>
  <si>
    <t>26/08-19/09</t>
  </si>
  <si>
    <t>Acropole</t>
  </si>
  <si>
    <t>Arion</t>
  </si>
  <si>
    <t>Fedriades</t>
  </si>
  <si>
    <t>1, Apollonos Str.</t>
  </si>
  <si>
    <t>2 km. from Naoussa, 11 km. from Parikia Town, on Kolymbithres Beach</t>
  </si>
  <si>
    <t>Junior Suite Garden View</t>
  </si>
  <si>
    <t>Holiday Sun</t>
  </si>
  <si>
    <t>Paros, Pounda</t>
  </si>
  <si>
    <t>Hotel Facilities: 24 hour reception, daily maid service, room service, TV lounge, indoor bar, breakfast room with American buffet breakfast, restaurant, 3 swimming pools, children’s pool, pool/snack bar, tennis court, small gym, sauna, conference room for up to 70 people, free wireless internet access, internet corner at the reception, money exchange, laundry service
Room Facilities: air conditioning, telephone, satellite TV, safe box, hairdryer, radio, marble bathroom with bathtub, mini bar on request and private balcony or terrace most with pool view</t>
  </si>
  <si>
    <t>16/07-26/08</t>
  </si>
  <si>
    <t>01/06-20/07</t>
  </si>
  <si>
    <t>21/07-31/08</t>
  </si>
  <si>
    <t>Notes: Children under 13 years old are not accepted</t>
  </si>
  <si>
    <t>Nine Muses</t>
  </si>
  <si>
    <t>Albatros</t>
  </si>
  <si>
    <t>43, Kifissias avenue, Athens</t>
  </si>
  <si>
    <t>Rooms 73</t>
  </si>
  <si>
    <t>Dionysos</t>
  </si>
  <si>
    <t>Rithymna Beach Aquila Hotel</t>
  </si>
  <si>
    <t>Adelianos Kambos</t>
  </si>
  <si>
    <t>01/10-14/10</t>
  </si>
  <si>
    <t>04/06-01/07</t>
  </si>
  <si>
    <t>17/09-30/09</t>
  </si>
  <si>
    <t>27/08-16/09</t>
  </si>
  <si>
    <t xml:space="preserve">Knossos Beach </t>
  </si>
  <si>
    <t>Kokkini Hani, Heraklio</t>
  </si>
  <si>
    <t>01/10-30/11</t>
  </si>
  <si>
    <t>Suites of the Gods Spa Hotel</t>
  </si>
  <si>
    <t>100 m. from the Beach</t>
  </si>
  <si>
    <t>01/05-31/10</t>
  </si>
  <si>
    <t>Aldemar Royal Mare &amp; Thalasso</t>
  </si>
  <si>
    <t>29/08-25/09</t>
  </si>
  <si>
    <t>6km. from Rhodes Town, 200 m. from Kalithea Beach</t>
  </si>
  <si>
    <t>Hotel Facilities: Indoor and outdoor restaurant, Pool, Kid's pool, Pool deck with long chairs and umbrellas, Bar, Indoor and outdoor café, Fitness center, Sauna, Jacuzzi, Hamam, TV room, Living room, Children's play area, Parking area, Garage, Hair saloon
Room Facilities: Private bath with a hair dryer, Refrigerator, Mini bar, Satellite TV, living room, sitting area, Balcony/veranda with marvelous sea and mountain view, phone, music system, safe deposit box, Internet access, Free Baby Cot</t>
  </si>
  <si>
    <t>01/04-08/06</t>
  </si>
  <si>
    <t>09/06-13/07</t>
  </si>
  <si>
    <t>14/07-31/08</t>
  </si>
  <si>
    <t>13/06-24/07</t>
  </si>
  <si>
    <t>26/08-11/09</t>
  </si>
  <si>
    <t>20/04-09/06</t>
  </si>
  <si>
    <t>23/09-15/10</t>
  </si>
  <si>
    <t>01/09-22/09</t>
  </si>
  <si>
    <t>15/04-31/05</t>
  </si>
  <si>
    <t>19-23, Parthenonos street, Athens</t>
  </si>
  <si>
    <t>01/07-30/09</t>
  </si>
  <si>
    <t>5 km. from Athens centre, 5 km. from the airport</t>
  </si>
  <si>
    <t>19, Patission street, Athens, Omonia</t>
  </si>
  <si>
    <t>99 Standard Room(s)</t>
  </si>
  <si>
    <t>Kirini Suites &amp; Spa</t>
  </si>
  <si>
    <t>Standard Room G.V</t>
  </si>
  <si>
    <t>Standard Room S.V</t>
  </si>
  <si>
    <t>01/07-20/07</t>
  </si>
  <si>
    <t>01/01-31/12</t>
  </si>
  <si>
    <t>Zafolia</t>
  </si>
  <si>
    <t>87-89, Alexandras Avenue, Athens</t>
  </si>
  <si>
    <t>24 Single Room(s), 155 Double Room(s), 6 Executive Room(s), 6 Suite(s)</t>
  </si>
  <si>
    <t xml:space="preserve">Hotel Facilities: Room Service, Outdoor heated swimming pool, Mini market, Safe boxes, Sea sports, Tennis, Table tennis, WiFi internet access
Room Facilities: 3 channel music, Satellite TV, Mini bar, Direct dial phone, Bath or shower </t>
  </si>
  <si>
    <t>Koukounaries</t>
  </si>
  <si>
    <t>25/08-07/09</t>
  </si>
  <si>
    <t>Dabasis</t>
  </si>
  <si>
    <t>Kivo</t>
  </si>
  <si>
    <t>Skiathos, Town</t>
  </si>
  <si>
    <t>78 Standard Rooms, 2 Suites</t>
  </si>
  <si>
    <t>60 Standard Rooms</t>
  </si>
  <si>
    <t>31 Standard Rooms</t>
  </si>
  <si>
    <t>63 Standard Rooms, 2 Suites</t>
  </si>
  <si>
    <t>132 Standard Rooms, 18 Suites</t>
  </si>
  <si>
    <t>01/05-09/06</t>
  </si>
  <si>
    <t>21/09-31/10</t>
  </si>
  <si>
    <t>16/05-31/05</t>
  </si>
  <si>
    <t>01/07-14/07</t>
  </si>
  <si>
    <t>Orfeas</t>
  </si>
  <si>
    <t>01/09-21/09</t>
  </si>
  <si>
    <t>26 km. from Heraklion Town, 800m. from the village, on Hersonissos Beach</t>
  </si>
  <si>
    <t>Aegean Architecture.</t>
  </si>
  <si>
    <t>Hall for Evening Entertainment.</t>
  </si>
  <si>
    <t>Elounda Bay</t>
  </si>
  <si>
    <t>Crete, Elounda</t>
  </si>
  <si>
    <t>in Fira center</t>
  </si>
  <si>
    <t>Traditional Architecture, providing all modern comforts.</t>
  </si>
  <si>
    <t>QD</t>
  </si>
  <si>
    <t>10, Syngrou avenue, Athens</t>
  </si>
  <si>
    <t>106 Standard Room(s)</t>
  </si>
  <si>
    <t>Astir of Paros</t>
  </si>
  <si>
    <t>Paros, Kolymbithres</t>
  </si>
  <si>
    <t>Mykonos, Mykonos Town</t>
  </si>
  <si>
    <t>Dates:</t>
  </si>
  <si>
    <t>10, Agiou Nikolaou &amp; Iliou streets, Athens, Vouliagmeni</t>
  </si>
  <si>
    <t>276 Standard Room(s), 1 Presidential Suite(s), 6 Suite(s)</t>
  </si>
  <si>
    <t>Divani Apollon Palace</t>
  </si>
  <si>
    <t>Royal Olympic</t>
  </si>
  <si>
    <t>St George Lycabettus</t>
  </si>
  <si>
    <t>28-34, Athanassiou Diakou street, Athens</t>
  </si>
  <si>
    <t>288 Standard Room(s), 10 Suite(s)</t>
  </si>
  <si>
    <t>15/09-31/10</t>
  </si>
  <si>
    <t>26/09-10/10</t>
  </si>
  <si>
    <t>29/08-11/09</t>
  </si>
  <si>
    <t>Golden Age</t>
  </si>
  <si>
    <t>57, Michalakopoulou street, Athens</t>
  </si>
  <si>
    <t>114 Standard Room(s), 8 Suite(s)</t>
  </si>
  <si>
    <t>Mykonos, Vrissi</t>
  </si>
  <si>
    <t>06/10-31/10</t>
  </si>
  <si>
    <t>01/06-30/06</t>
  </si>
  <si>
    <t>15/09-30/09</t>
  </si>
  <si>
    <t>20/04-31/05</t>
  </si>
  <si>
    <t>01/10-10/10</t>
  </si>
  <si>
    <t>300 m. from Mykonos Town, on Megali Ammos Beach</t>
  </si>
  <si>
    <t>Superior Suite</t>
  </si>
  <si>
    <t>Master Suite</t>
  </si>
  <si>
    <t>Rooms 38</t>
  </si>
  <si>
    <t>Rooms 49 , Suites 3</t>
  </si>
  <si>
    <t>Saint John Villas &amp; Spa</t>
  </si>
  <si>
    <t>Ag. Ioannis</t>
  </si>
  <si>
    <t>08/07-28/07</t>
  </si>
  <si>
    <t>16/05-10/07</t>
  </si>
  <si>
    <t>21/08-30/09</t>
  </si>
  <si>
    <t>Aquarium</t>
  </si>
  <si>
    <t>27/09-31/10</t>
  </si>
  <si>
    <t>16/05-10/06</t>
  </si>
  <si>
    <t>11/09-24/09</t>
  </si>
  <si>
    <t>16/07-31/07</t>
  </si>
  <si>
    <t>Grand Beach</t>
  </si>
  <si>
    <t>New Aeolos</t>
  </si>
  <si>
    <t>Standard S.V.Room</t>
  </si>
  <si>
    <t>Standard G.V.Room</t>
  </si>
  <si>
    <t>96 Standard Rooms</t>
  </si>
  <si>
    <t>6 Junior Suites, 18 Executive rooms and 69 Regular rooms</t>
  </si>
  <si>
    <t>of: “Ovadias Tours" by either Bank/Draft cheque</t>
  </si>
  <si>
    <t>or by Bank Transfer to one of the following Bank Accounts.</t>
  </si>
  <si>
    <t>Hotel Facilities: reception, twice daily maid service, room service, internet facilities, fax service, valet, bellboy service, welcome basket, open air lounge area, in-house laundry &amp; pressing service, open air Gastronome restaurant, private dining, outdoor cocktail bar, 2 outdoor swimming pool, sunbathing deck with panoramic views of the volcano and neighbouring islands, private area with sun chairs, unique cave spa facilities &amp; services, Holistic &amp; therapeutic wellness treatments, secretarial service, private parking and Shuttle bus service to hotels private beach in Perivolos
Room Facilities: air conditioning, direct dial phone, mini bar, satellite TV, CD &amp; DVD player, internet access, safe box, hair dryer, bathrobes, slippers, stone built bath tub in bedroom area, separate shower room and WC and veranda with picture perfect view of the Aegean and volcano</t>
  </si>
  <si>
    <t>9 Standard Rooms</t>
  </si>
  <si>
    <t>23 Standard Rooms, 4 Studios, 2 Apts</t>
  </si>
  <si>
    <t>249 Standard Rooms, 9 Suites</t>
  </si>
  <si>
    <t>38 Standard Rooms</t>
  </si>
  <si>
    <t>Vasilias Beach, Skiathos</t>
  </si>
  <si>
    <t>Mouses</t>
  </si>
  <si>
    <t>13 Standard Rooms, 19 Apts, 8 Bungalows</t>
  </si>
  <si>
    <t>52 Standard Rooms</t>
  </si>
  <si>
    <t>43 Standard Rooms, 38 Studios, 16 Apts</t>
  </si>
  <si>
    <t>30 Standard Rooms</t>
  </si>
  <si>
    <t>49 Standard Rooms</t>
  </si>
  <si>
    <t>130 Standard Rooms, 3 Suites, 3 Junior Suites, 2 Executive Suites</t>
  </si>
  <si>
    <t>The rates include taxi service and meet &amp; greet at the airport or hotel.</t>
  </si>
  <si>
    <t>NOTES: Maximum number of Guests per Taxi: Three (3).</t>
  </si>
  <si>
    <t>V</t>
  </si>
  <si>
    <t>IV</t>
  </si>
  <si>
    <r>
      <rPr>
        <b/>
        <sz val="10"/>
        <rFont val="Arial"/>
        <family val="2"/>
        <charset val="161"/>
      </rPr>
      <t>NOTES:</t>
    </r>
    <r>
      <rPr>
        <sz val="10"/>
        <rFont val="Arial"/>
        <family val="2"/>
        <charset val="161"/>
      </rPr>
      <t xml:space="preserve"> Maximum number of Guests per Taxi: Three (3).</t>
    </r>
  </si>
  <si>
    <t>The rates include taxi service and meet &amp; greet at The airport or hotel</t>
  </si>
  <si>
    <t>VI</t>
  </si>
  <si>
    <t>VII</t>
  </si>
  <si>
    <t>46-47</t>
  </si>
  <si>
    <t>52-53</t>
  </si>
  <si>
    <t>60-69</t>
  </si>
  <si>
    <r>
      <t xml:space="preserve">Hotel Facilities: Airconditioned throughout, </t>
    </r>
    <r>
      <rPr>
        <sz val="10"/>
        <rFont val="Arial"/>
        <family val="2"/>
        <charset val="161"/>
      </rPr>
      <t>Restaurant a la carte, J-Lounge, Swimming Pool, 24h Room services, Travel assistance, Limousine service, Laundry &amp; Dry cleaning services, Parking</t>
    </r>
    <r>
      <rPr>
        <i/>
        <sz val="10"/>
        <rFont val="Arial"/>
        <family val="2"/>
        <charset val="161"/>
      </rPr>
      <t xml:space="preserve">
Room Facilities: </t>
    </r>
    <r>
      <rPr>
        <sz val="10"/>
        <rFont val="Arial"/>
        <family val="2"/>
        <charset val="161"/>
      </rPr>
      <t>Direct-dial phone, Mini Bar, Satellite/pay TV, CD/DVD player, Broadband internet access, Data port for fax/modem, Hairdryer, Safe.</t>
    </r>
  </si>
  <si>
    <r>
      <t xml:space="preserve">Hotel Facilities: </t>
    </r>
    <r>
      <rPr>
        <sz val="10"/>
        <rFont val="Arial"/>
        <family val="2"/>
        <charset val="161"/>
      </rPr>
      <t>A/C throughout, Bar, Central Heating, Conference /Banquet Facilities, Lounge, Restaurant, Room Service</t>
    </r>
    <r>
      <rPr>
        <i/>
        <sz val="10"/>
        <rFont val="Arial"/>
        <family val="2"/>
        <charset val="161"/>
      </rPr>
      <t xml:space="preserve">
Room Facilities: </t>
    </r>
    <r>
      <rPr>
        <sz val="10"/>
        <rFont val="Arial"/>
        <family val="2"/>
        <charset val="161"/>
      </rPr>
      <t>Air-condition, Direct-dial phone, Hairdryer, Mini Bar, Pay TV, Safe Box, Satellite TV, Voice Mail</t>
    </r>
  </si>
  <si>
    <t>Hotel Facilities: Restaurant, Pool/Beach Restaurant/Bar, Main bar, Mini market, Outdoor swimming pool, Children's pool, Gym, Baby sitting, Billiards, Internet corner, Parking
Room Facilities: Heating, Hairdryer, Fridge, Safe, Direct dial phone, Satellite TV, Internet access, Mini bar[on request]</t>
  </si>
  <si>
    <t>Diana Palace</t>
  </si>
  <si>
    <t>Argassi</t>
  </si>
  <si>
    <t>Hotel Facilities: Swimming pool, 2 Bars, Snack bar, Buffet breakfast, Gym, Mini golf, Children's playground, Animation program, Room service, Recreation roomParking
Room Facilities: Satellite TV, Safe, Direct dial phone, Mini bar, Music, Hairdryer</t>
  </si>
  <si>
    <t>5, Diomias street, Athens</t>
  </si>
  <si>
    <t>395 Standard Room(s)</t>
  </si>
  <si>
    <t>Children Under 16 Years Old Are NOT Accepted.</t>
  </si>
  <si>
    <t>01/04-31/05</t>
  </si>
  <si>
    <t>16/05-15/06</t>
  </si>
  <si>
    <t>16/09-30/09</t>
  </si>
  <si>
    <t>01/10-20/10</t>
  </si>
  <si>
    <t>18/09-30/09</t>
  </si>
  <si>
    <t>Rodos Palace</t>
  </si>
  <si>
    <t>Ialyssos Avenue, Rhodes, Ixia</t>
  </si>
  <si>
    <t>Kresten Palace</t>
  </si>
  <si>
    <t>30/06-20/07</t>
  </si>
  <si>
    <t>25/09-31/10</t>
  </si>
  <si>
    <t>26/08-24/09</t>
  </si>
  <si>
    <t>Naxos Palace</t>
  </si>
  <si>
    <t>Hotel Facilities: Swimming pool, Garden, Hydromassage, Pool bar, Restaurant, Bar, Snack Bar, Sauna, Gymnasium, Private parking, Laundry, Conference Center, 24 hours reception, Car &amp; bike rental, Horse riding, Transportation to &amp; from port and airport
Room Facilities: Air condition, Sattelite TV, Direct Dial phone, Mini bar, Private bathroom, Safe box</t>
  </si>
  <si>
    <t>05/09-20/09</t>
  </si>
  <si>
    <t>11/07-18/07</t>
  </si>
  <si>
    <t>26/08-04/09</t>
  </si>
  <si>
    <t>Naxos</t>
  </si>
  <si>
    <t>Astir of Naxos</t>
  </si>
  <si>
    <t>Hotel Facilities: Swimming pool, Cafe bar, TV lounge, Kids pool, Snack bar, Internet service, Children playground, Living room, Mail service, Baby sitting (on request), Dining room, Fax service, Parking, Meeting room, Safety deposit boxes, Currency exchange, Breakfast (buffet), Laundry service,  Air-conditioning, Room service
Room Facilities: Air-conditioning, Satelite TV, Internet access, Telephone, Hair dryer, Mini fridge</t>
  </si>
  <si>
    <t>Crowne Plaza</t>
  </si>
  <si>
    <t>Polis Grand</t>
  </si>
  <si>
    <t xml:space="preserve">Athens Gate </t>
  </si>
  <si>
    <t>receive a copy of your Bank order by fax.</t>
  </si>
  <si>
    <t>You are kindly requested to send all your payments to the order</t>
  </si>
  <si>
    <t>2,5 km. from Parikia Town, on Souvlia Beach</t>
  </si>
  <si>
    <t>Casa Delfino</t>
  </si>
  <si>
    <t>in the Old Town that surrounds the Venetian Harbour of Chania</t>
  </si>
  <si>
    <t>32, Kallirois Avenue &amp; Petmeza Street, N.Kosmos</t>
  </si>
  <si>
    <t>01/07-27/08</t>
  </si>
  <si>
    <t>Leto</t>
  </si>
  <si>
    <t>Balcony Overlooking Mykonos Port &amp;the Sea.</t>
  </si>
  <si>
    <t>A3</t>
  </si>
  <si>
    <t>Manoula’s Beach</t>
  </si>
  <si>
    <t>Mykonos, Agios Ioannis</t>
  </si>
  <si>
    <t>5 km. from Mykonos Town, on Agios Ioannis Beach</t>
  </si>
  <si>
    <t>Notes: Above Rates Are NOT Valid For Italian Market.</t>
  </si>
  <si>
    <t>Mykonos Palace</t>
  </si>
  <si>
    <t>Rooms 243</t>
  </si>
  <si>
    <t>Rooms 50</t>
  </si>
  <si>
    <t>500 m. from Fira center</t>
  </si>
  <si>
    <t>48 Standard Room(s)</t>
  </si>
  <si>
    <t>Plaka</t>
  </si>
  <si>
    <t>7, Kapnikareas &amp; Mitropoleos streets, Athens</t>
  </si>
  <si>
    <t>67 Standard Room(s)</t>
  </si>
  <si>
    <t>Ixia</t>
  </si>
  <si>
    <t>on Hersonissos Beach</t>
  </si>
  <si>
    <t>01/01-31/05</t>
  </si>
  <si>
    <t>Hotel Facilities: 24h Room service, Safe, Laundry &amp; cleaning Service, Baby sitting, WiFi Internet access
Room Facilities: A/C, Mini bar, Direct dial phone, Satellite TV, Radio, Hairdryer, Bath</t>
  </si>
  <si>
    <t>Anemolia</t>
  </si>
  <si>
    <t>Arachova</t>
  </si>
  <si>
    <t>Hotel Facilities: Central Heating, 2 Restaurants, 2 Lounges, Sauna, Gym, Video games room, Mini market, Room service, Indoor heated swimming room, Parking
Room Facilities: Direct dial phone, Hairdryer, Radio, Satellite TV, Mini fridge, Balcony</t>
  </si>
  <si>
    <t>Arachova Inn</t>
  </si>
  <si>
    <t>Hotel Facilities: Reception, American Buffet, Lounge TV, Parking, Elevator, Play room, Room service
Room Facilities: TV, Bathroom, Balcony with view, Heating, Daily cleaning, Direct dial phone, Closet</t>
  </si>
  <si>
    <t>Exclusive Suites with Private Heated Swimming Pool.</t>
  </si>
  <si>
    <t>Royal Suites with Indoor &amp; Outdoor Pools, Private Butler, Pianist &amp; GYM with Trainer.</t>
  </si>
  <si>
    <t>Rooms 74 , Suites 6</t>
  </si>
  <si>
    <t>in Heraklion Town</t>
  </si>
  <si>
    <t>11/06-15/07</t>
  </si>
  <si>
    <t>01/05-20/05</t>
  </si>
  <si>
    <t>26/08-10/09</t>
  </si>
  <si>
    <t>21/07-20/08</t>
  </si>
  <si>
    <t>12-14 Assomaton Street</t>
  </si>
  <si>
    <t>57 Standard Room(s)</t>
  </si>
  <si>
    <t>Dorian Inn</t>
  </si>
  <si>
    <t>15-19, Pireos Street</t>
  </si>
  <si>
    <t>5 Single(s) &amp; 112 Double Standard Room(s), 29 Suite(s)</t>
  </si>
  <si>
    <t>on the Cliff Top, overlooking the Volcano &amp; the Sunset, 3,5 km. from Fira Town</t>
  </si>
  <si>
    <t>During winter period Snack Bar &amp; Swimming Pool are NOT AVAILABLE.</t>
  </si>
  <si>
    <t>on the Cliffs of Firostefani, overlooking the Sea &amp; the Volcano, 1 km. from Fira Town</t>
  </si>
  <si>
    <t>Traditional Villa-Apartments.</t>
  </si>
  <si>
    <t>Notes: Children Under 18 Years Old Are NOT Accepted.</t>
  </si>
  <si>
    <t>Rhodes, Ialyssos</t>
  </si>
  <si>
    <t>800 m. from Fira Town</t>
  </si>
  <si>
    <t>Margi</t>
  </si>
  <si>
    <t>A unique Suite with Private Heated Outdoor Pool &amp; Gym .</t>
  </si>
  <si>
    <t>Elounda Beach</t>
  </si>
  <si>
    <t>4 km. from Mykonos Town, 200 m. from Platis Gialos Beach</t>
  </si>
  <si>
    <t>Savoy</t>
  </si>
  <si>
    <t>93, Iroon Polytechniou Avenue, Piraeus</t>
  </si>
  <si>
    <t>68 Standard Room(s), 3 Suite(s)</t>
  </si>
  <si>
    <t>1 km. from Fira center</t>
  </si>
  <si>
    <t>with Volcano view, 100 m. from Fira center</t>
  </si>
  <si>
    <t>Zannos Melathron</t>
  </si>
  <si>
    <t>Santorini, Pyrgos</t>
  </si>
  <si>
    <t>overlooking the entire island</t>
  </si>
  <si>
    <t>Bungalows 214 , Vip Bungalows 20 , Family Rooms 107</t>
  </si>
  <si>
    <t>Rooms 140</t>
  </si>
  <si>
    <t>Location</t>
  </si>
  <si>
    <t>Facilities</t>
  </si>
  <si>
    <t>Address</t>
  </si>
  <si>
    <t xml:space="preserve">Capacity </t>
  </si>
  <si>
    <t>Remarks</t>
  </si>
  <si>
    <t>10 m. from the Beach</t>
  </si>
  <si>
    <t>21/09-10/10</t>
  </si>
  <si>
    <t>26/08-20/09</t>
  </si>
  <si>
    <t>15/07-25/08</t>
  </si>
  <si>
    <t>Cretan Dream Royal Beach</t>
  </si>
  <si>
    <t>Kato Stalos</t>
  </si>
  <si>
    <t>16/07-25/08</t>
  </si>
  <si>
    <t>Porto Platanias Beach Resort</t>
  </si>
  <si>
    <t>Platania, Chania</t>
  </si>
  <si>
    <t>Acropolis Select</t>
  </si>
  <si>
    <t>overlooking the Sea &amp; the Volcano, 13 km. from Fira Town</t>
  </si>
  <si>
    <t>Blue Palace</t>
  </si>
  <si>
    <t>Elounda, Lassithi</t>
  </si>
  <si>
    <t>Rooms 297 , Bungalows 81</t>
  </si>
  <si>
    <t>81 Standard Room(s), 7 Suite(s)</t>
  </si>
  <si>
    <t>Santorini, Karterados</t>
  </si>
  <si>
    <t>Notes: Sea View Supplement ONLY in DOUBLE Rooms: USD 15.- per Room per Night.</t>
  </si>
  <si>
    <t>With view of the Venetian Castle at the Old Port, in Heraklion Town</t>
  </si>
  <si>
    <t>Crete, Santa Marina -Chania</t>
  </si>
  <si>
    <t>Myconian Imperial Hotel &amp; Thalasso Center</t>
  </si>
  <si>
    <t>Elia Beach</t>
  </si>
  <si>
    <t>Rooms 103, Suites 9</t>
  </si>
  <si>
    <t>Classical Vouliagmeni Suites</t>
  </si>
  <si>
    <t>8, Panos &amp; Chlois Streets, Vouliagmeni</t>
  </si>
  <si>
    <t>30 Standard Room(s), 5 Suite(s)</t>
  </si>
  <si>
    <t>Kipriotis Village</t>
  </si>
  <si>
    <t>30 m. from the Beach</t>
  </si>
  <si>
    <t>NJV Athens Plaza</t>
  </si>
  <si>
    <t>Vassilissis Georgiou A’ &amp; Stadiou streets, Athens, Syntagma</t>
  </si>
  <si>
    <t>154 Standard Room(s), 28 Suite(s)</t>
  </si>
  <si>
    <r>
      <t>Hotel Facilities:</t>
    </r>
    <r>
      <rPr>
        <sz val="10"/>
        <rFont val="Arial"/>
        <family val="2"/>
        <charset val="161"/>
      </rPr>
      <t xml:space="preserve"> Airconditioning, Central heating, American buffet breakfast, Restaurant, Roof garden bar, Lounge bar, Rooftop swimming pool, Internet corner, Wi-Fi internet access, Laundry, Room service. </t>
    </r>
    <r>
      <rPr>
        <i/>
        <sz val="10"/>
        <rFont val="Arial"/>
        <family val="2"/>
        <charset val="161"/>
      </rPr>
      <t xml:space="preserve">
Room Facilities: TV, </t>
    </r>
    <r>
      <rPr>
        <sz val="10"/>
        <rFont val="Arial"/>
        <family val="2"/>
        <charset val="161"/>
      </rPr>
      <t xml:space="preserve">Direct dial phone, Fridge, Hairdryer, Safe </t>
    </r>
  </si>
  <si>
    <r>
      <t>Hotel Facilities:</t>
    </r>
    <r>
      <rPr>
        <sz val="10"/>
        <rFont val="Arial"/>
        <family val="2"/>
        <charset val="161"/>
      </rPr>
      <t xml:space="preserve"> Roof garden bar restaurant, Restaurant bar, Non smoking guest rooms, Internet corner, Wi-Fi station </t>
    </r>
    <r>
      <rPr>
        <i/>
        <sz val="10"/>
        <rFont val="Arial"/>
        <family val="2"/>
        <charset val="161"/>
      </rPr>
      <t xml:space="preserve">
Room Facilities: </t>
    </r>
    <r>
      <rPr>
        <sz val="10"/>
        <rFont val="Arial"/>
        <family val="2"/>
        <charset val="161"/>
      </rPr>
      <t xml:space="preserve">Airconditioning, Soundprouf windows, Satellite TV, Direct dial phone, Mini bar, Safe box, Hairdryer </t>
    </r>
  </si>
  <si>
    <r>
      <t>Hotel Facilities:</t>
    </r>
    <r>
      <rPr>
        <sz val="10"/>
        <rFont val="Arial"/>
        <family val="2"/>
        <charset val="161"/>
      </rPr>
      <t xml:space="preserve"> Restaurant, Bar, Roof garden, Parking </t>
    </r>
    <r>
      <rPr>
        <i/>
        <sz val="10"/>
        <rFont val="Arial"/>
        <family val="2"/>
        <charset val="161"/>
      </rPr>
      <t xml:space="preserve">
Room Facilities: </t>
    </r>
    <r>
      <rPr>
        <sz val="10"/>
        <rFont val="Arial"/>
        <family val="2"/>
        <charset val="161"/>
      </rPr>
      <t xml:space="preserve">Airconditioning, TV, Mini bar </t>
    </r>
  </si>
  <si>
    <r>
      <t>Hotel Facilities:</t>
    </r>
    <r>
      <rPr>
        <sz val="10"/>
        <rFont val="Arial"/>
        <family val="2"/>
        <charset val="161"/>
      </rPr>
      <t xml:space="preserve"> Restaurant, Bar, Roof garden with swimming pool, Internet corner, Room services, Parking </t>
    </r>
    <r>
      <rPr>
        <i/>
        <sz val="10"/>
        <rFont val="Arial"/>
        <family val="2"/>
        <charset val="161"/>
      </rPr>
      <t xml:space="preserve">
Room Facilities: </t>
    </r>
    <r>
      <rPr>
        <sz val="10"/>
        <rFont val="Arial"/>
        <family val="2"/>
        <charset val="161"/>
      </rPr>
      <t>Airconditioning, Heating, Satellite TV, Mini fridge, Direct dial phone, Balcony</t>
    </r>
  </si>
  <si>
    <r>
      <t>Hotel Facilities:</t>
    </r>
    <r>
      <rPr>
        <sz val="10"/>
        <rFont val="Arial"/>
        <family val="2"/>
        <charset val="161"/>
      </rPr>
      <t xml:space="preserve"> Bar, Lounge</t>
    </r>
    <r>
      <rPr>
        <i/>
        <sz val="10"/>
        <rFont val="Arial"/>
        <family val="2"/>
        <charset val="161"/>
      </rPr>
      <t xml:space="preserve">
Room Facilities: </t>
    </r>
    <r>
      <rPr>
        <sz val="10"/>
        <rFont val="Arial"/>
        <family val="2"/>
        <charset val="161"/>
      </rPr>
      <t>Air-condition, Color TV, Direct-dial phone, Radio</t>
    </r>
  </si>
  <si>
    <r>
      <t xml:space="preserve">Hotel Facilities: </t>
    </r>
    <r>
      <rPr>
        <sz val="10"/>
        <rFont val="Arial"/>
        <family val="2"/>
        <charset val="161"/>
      </rPr>
      <t>A/C throughout, Bar, Central Heating, Convention Facilities, Restaurant, Roof Garden, Trade Showroom</t>
    </r>
    <r>
      <rPr>
        <i/>
        <sz val="10"/>
        <rFont val="Arial"/>
        <family val="2"/>
        <charset val="161"/>
      </rPr>
      <t xml:space="preserve">
Room Facilities: </t>
    </r>
    <r>
      <rPr>
        <sz val="10"/>
        <rFont val="Arial"/>
        <family val="2"/>
        <charset val="161"/>
      </rPr>
      <t>Air-condition, Direct-dial phone, Fridge, Hairdryer, Safe Box, TV</t>
    </r>
  </si>
  <si>
    <r>
      <t xml:space="preserve">Hotel Facilities: </t>
    </r>
    <r>
      <rPr>
        <sz val="10"/>
        <rFont val="Arial"/>
        <family val="2"/>
        <charset val="161"/>
      </rPr>
      <t>A/C throughout, Café Bar, Central Heating, Restaurant, American buffet breakfast, English &amp; Greek press stand, Room services, Safe, Laundry services, Parking</t>
    </r>
    <r>
      <rPr>
        <i/>
        <sz val="10"/>
        <rFont val="Arial"/>
        <family val="2"/>
        <charset val="161"/>
      </rPr>
      <t xml:space="preserve">
Room Facilities: </t>
    </r>
    <r>
      <rPr>
        <sz val="10"/>
        <rFont val="Arial"/>
        <family val="2"/>
        <charset val="161"/>
      </rPr>
      <t>Direct-dial phone, Fridge, Hairdryer, Modem outlet, Radio, Satellite TV, Mini bar, Balcony of terrace.</t>
    </r>
  </si>
  <si>
    <t>90 Deluxe bfr Bgls, 3 Villas with private pool, 13 Suites with private pool, 4 Junior suites, 10 Executive suites, 1 Ambassador suite,  1 Royal suite, 1 Honeymmon suite, 99 Olympic: rooms, 15 Suites</t>
  </si>
  <si>
    <t>Danae</t>
  </si>
  <si>
    <r>
      <t xml:space="preserve">Hotel Facilities: </t>
    </r>
    <r>
      <rPr>
        <sz val="10"/>
        <rFont val="Arial"/>
        <family val="2"/>
        <charset val="161"/>
      </rPr>
      <t>2 Swimming Pools, 2 Tennis Courts, A/C throughout, Bowling, Central Heating, Conference Hall, Convention Facilities, Health Club, Pool
Bar, Room Service, Safe Deposit Boxes, Sauna, Sea Sports, Shops, Snack Bar, Table Tennis, TV Room</t>
    </r>
    <r>
      <rPr>
        <i/>
        <sz val="10"/>
        <rFont val="Arial"/>
        <family val="2"/>
        <charset val="161"/>
      </rPr>
      <t xml:space="preserve">
Room Facilities: </t>
    </r>
    <r>
      <rPr>
        <sz val="10"/>
        <rFont val="Arial"/>
        <family val="2"/>
        <charset val="161"/>
      </rPr>
      <t>Air-condition, Color TV, Mini Bar, Music, Telephone</t>
    </r>
  </si>
  <si>
    <r>
      <t xml:space="preserve">Hotel Facilities: </t>
    </r>
    <r>
      <rPr>
        <sz val="10"/>
        <rFont val="Arial"/>
        <family val="2"/>
        <charset val="161"/>
      </rPr>
      <t>2 Restaurants, 2 Swimming Pools, A/C throughout, Baby Sitting, Conference Facilities, Executive suites, Ice Cream Parlour, Laundry
Service, Piano Bar, Room Service, Shops, VIP Club Service</t>
    </r>
    <r>
      <rPr>
        <i/>
        <sz val="10"/>
        <rFont val="Arial"/>
        <family val="2"/>
        <charset val="161"/>
      </rPr>
      <t xml:space="preserve">
Room Facilities: </t>
    </r>
    <r>
      <rPr>
        <sz val="10"/>
        <rFont val="Arial"/>
        <family val="2"/>
        <charset val="161"/>
      </rPr>
      <t>Direct-dial phone, Hairdryer, Mini Bar, Radio, Satellite TV, Video</t>
    </r>
  </si>
  <si>
    <r>
      <t xml:space="preserve">Hotel Facilities: </t>
    </r>
    <r>
      <rPr>
        <sz val="10"/>
        <rFont val="Arial"/>
        <family val="2"/>
        <charset val="161"/>
      </rPr>
      <t>2 Snack-Bars, 2 Sundy Beaches, 2 Tennis Courts, A/C throughout, Beach Tavern, Boutique, Central Heating, Children’s Club, Children’s
Playground, Children’s Pool, Conference Room, Entertainment Team, Fitness Centre, Games Rooms, Gym, Hairdresser, Jewelry Shop, Main Restaurant,
Massage, Mountain Bikes, Piano Bar, Private Marina, Restaurant a La Carte, Room Service, Swimming Pool, Water Sports</t>
    </r>
    <r>
      <rPr>
        <i/>
        <sz val="10"/>
        <rFont val="Arial"/>
        <family val="2"/>
        <charset val="161"/>
      </rPr>
      <t xml:space="preserve">
Room Facilities: </t>
    </r>
    <r>
      <rPr>
        <sz val="10"/>
        <rFont val="Arial"/>
        <family val="2"/>
        <charset val="161"/>
      </rPr>
      <t>Air-condition, Color TV, Hairdryer, Mini Bar, Music, Safe Box, Telephone</t>
    </r>
  </si>
  <si>
    <r>
      <t xml:space="preserve">Hotel Facilities: </t>
    </r>
    <r>
      <rPr>
        <sz val="10"/>
        <rFont val="Arial"/>
        <family val="2"/>
        <charset val="161"/>
      </rPr>
      <t>3 Tennis courts, 4 Lounges, A/C throughout, Animation, Beach Snack Bar, Central Heating, Children’s Pool, Main Restaurant, Night Club,
Pool Bar, Pool Restaurant, Restaurant a La Carte, Sea-water Swimming Pool, Tavern, Water Sports</t>
    </r>
    <r>
      <rPr>
        <i/>
        <sz val="10"/>
        <rFont val="Arial"/>
        <family val="2"/>
        <charset val="161"/>
      </rPr>
      <t xml:space="preserve">
Room Facilities: </t>
    </r>
    <r>
      <rPr>
        <sz val="10"/>
        <rFont val="Arial"/>
        <family val="2"/>
        <charset val="161"/>
      </rPr>
      <t>Air-condition, Hairdryer, Mini Bar, Music, Safe Box, Satellite Color TV, Telephone</t>
    </r>
  </si>
  <si>
    <t>21, Bouboulinas Str., Nafplio</t>
  </si>
  <si>
    <t>Hotel Facilities: Bar, Restaurant, Cafeteria
Room Facilities: A/C, TV, Direct dial phone, Mini bar</t>
  </si>
  <si>
    <t>Superior room</t>
  </si>
  <si>
    <t>Pelican Bay Art Hotel</t>
  </si>
  <si>
    <t>Eri</t>
  </si>
  <si>
    <t>1,5 km. from the port, 800 m. from Livadia Beach</t>
  </si>
  <si>
    <t>11/07-25/08</t>
  </si>
  <si>
    <t>01/10-31/10</t>
  </si>
  <si>
    <t>01/09-20/09</t>
  </si>
  <si>
    <t>19/09-30/09</t>
  </si>
  <si>
    <t xml:space="preserve">On the private beach of Lagonissi - Sounio road </t>
  </si>
  <si>
    <t>Deluxe Sea View Room</t>
  </si>
  <si>
    <t>Rooms7 , Junior Suites 6 , Honeymoon Suites 2 , Vip Suite 1</t>
  </si>
  <si>
    <t>Senior Suite</t>
  </si>
  <si>
    <t>Suites 42</t>
  </si>
  <si>
    <t>Rooms 33 , Suites 9</t>
  </si>
  <si>
    <t>800 m. from Mykonos Town</t>
  </si>
  <si>
    <t>Traditional Aegean Architecture.</t>
  </si>
  <si>
    <t>Mykonos, Agios Stefanos</t>
  </si>
  <si>
    <t>Room 1 , Studios 8 , Suites 9 , Honeymoon Suite 1 , Villa 1</t>
  </si>
  <si>
    <t>01/09-31/12</t>
  </si>
  <si>
    <t>Loutraki, on the beach</t>
  </si>
  <si>
    <t>Patmos Paradise</t>
  </si>
  <si>
    <t>Patmos</t>
  </si>
  <si>
    <t>Skala</t>
  </si>
  <si>
    <t>Best Western Poros Image</t>
  </si>
  <si>
    <t>Neorio</t>
  </si>
  <si>
    <t>New Aegli</t>
  </si>
  <si>
    <t>Divani</t>
  </si>
  <si>
    <t xml:space="preserve">  General Information &amp; Conditions ………………..</t>
  </si>
  <si>
    <t xml:space="preserve">  Glossary …………………………………………….</t>
  </si>
  <si>
    <t xml:space="preserve">  Transfer Rates ………………………………………</t>
  </si>
  <si>
    <t>Rooms 82</t>
  </si>
  <si>
    <t>01/06 - 30/06</t>
  </si>
  <si>
    <t>01/09 - 30/09</t>
  </si>
  <si>
    <t>25/09-01/10</t>
  </si>
  <si>
    <t>28/08-24/09</t>
  </si>
  <si>
    <t>24/07-27/08</t>
  </si>
  <si>
    <t>01/11-31/12</t>
  </si>
  <si>
    <t>01/05-30/06</t>
  </si>
  <si>
    <t>01/07-31/08</t>
  </si>
  <si>
    <t>Astor</t>
  </si>
  <si>
    <t>16, Karageorgi Servias street, Athens</t>
  </si>
  <si>
    <t>131 Standard Room(s)</t>
  </si>
  <si>
    <t>S2</t>
  </si>
  <si>
    <t>16/06-15/07</t>
  </si>
  <si>
    <t>01/09-15/09</t>
  </si>
  <si>
    <t>01/04-15/05</t>
  </si>
  <si>
    <t>Junior Suite</t>
  </si>
  <si>
    <t>11/09-30/09</t>
  </si>
  <si>
    <t>16/07-31/08</t>
  </si>
  <si>
    <t>Hotel Facilities: A/C, 24h Room Service, Main Restaurant, Main Bar, Pool Restaurant, Pool Bar, 2 Tennis court, Mini market, Basket, Volley, Sauna, Hammam, Hairdressing, Children's pool &amp; playground
Room Facilities: Direct Dial Phone, Satellite TV, Mini bar, Balcony or terrace</t>
  </si>
  <si>
    <t>67th Km of Athens, Sounio</t>
  </si>
  <si>
    <t>Grecotel Cape Sounio</t>
  </si>
  <si>
    <t>153 Standard Rooms</t>
  </si>
  <si>
    <t>2, Posidonos Str., Edipsos, Evia</t>
  </si>
  <si>
    <t>Hotel Facilities: 24h Room Service, Internet access, Wellness &amp; Beauty center, Body care, Facial treatments, Restaurant, Bar, Spa &amp; Medical wellness
Room Facilities: A/C, Phone, Hairdryer, Satellite TV, Safe, Mini Bar</t>
  </si>
  <si>
    <t>Angelica VIP Boutique</t>
  </si>
  <si>
    <t>Bratsera Traditional Settlement</t>
  </si>
  <si>
    <t>Hotel Facilities: Central heating, Swimming pool, Jacuzzi, Garden, Snack bar, Room service, WiFi Internet access, TV lounge
Room Facilities: A/V, Satellite TV, Fridge, Hairdryer, Safe</t>
  </si>
  <si>
    <t>Tombazi Str., Hydra</t>
  </si>
  <si>
    <t xml:space="preserve">  RHODES …………………………………………… </t>
  </si>
  <si>
    <t>2 km. from Elounda, 79 km. from Heraklion Town, on the Beach</t>
  </si>
  <si>
    <t>Suites are also equipped with Jacuzzi, CD, VCR, or DVD Player &amp; PC Modem Outlet, TV in Bath.</t>
  </si>
  <si>
    <t>Exclusive Suites with Heated Swimming Pool.</t>
  </si>
  <si>
    <t>on the Beach</t>
  </si>
  <si>
    <t>Lato</t>
  </si>
  <si>
    <t>15, Epimenidou st., Crete, Heraklion</t>
  </si>
  <si>
    <t>5 kms from Rhodes Town, 100 m. from Ixia Beach</t>
  </si>
  <si>
    <t>Traditional Palatial settlement.</t>
  </si>
  <si>
    <t>Patras Palace</t>
  </si>
  <si>
    <t>Porto Rio Casino</t>
  </si>
  <si>
    <t>15, Othonos Amalias Str.</t>
  </si>
  <si>
    <t>Hotel Facilities: A/C, Central Heating, 2 Bars, Restaurant, Roof Garden, Room Service, Meeting Room, Parking
Room Facilities:Satellite TV, Direct dial phone, Internet access, Mini bar, Hairdryer</t>
  </si>
  <si>
    <t>Rio, on the beach</t>
  </si>
  <si>
    <t>Hotel Facilities: Central Heating, TV Room, Restaurant, Pool bar, Snack bar, Tennis court, Beach volley, Mini market, Spa, Gym, Laundry &amp; Cleaning service, Casino, Open parking
Room Facilities:Mini bar, Direct dial phone, Satellite TV, Safe, Music, free WiFi internet</t>
  </si>
  <si>
    <t>18, Ag.Nikolaou Str.</t>
  </si>
  <si>
    <t>Hotel Facilities: Restaurant, Bar
Room Facilities: Color TV, A/C, Direct Dial Phone, Hairdryer, Bath or Shower</t>
  </si>
  <si>
    <t>Hotel Facilities: 24h Room service, Cafeteria, Night bar, Restaurant, Outdoor swimming pool, Gift shop, Roof garden restaurant, Wi-Fi internet access, Laundry &amp; Cleaning services, Parking
Room Facilities: Direct dial phone, Wi-Fi internet access, Satellite / Pay TV</t>
  </si>
  <si>
    <t>City &amp; Central Spa</t>
  </si>
  <si>
    <t>11,  Komninos Str., Thessaloniki</t>
  </si>
  <si>
    <t>Hotel Facilities: 24h Room Service, Café, Restaurant, Spa facilities, Fitness center, Hammam, Solarium, Secreterial services, Internet access, Laundry &amp; Valet services
Room Facilities: Direct dial phone, Mini bar, Satellite TV, A/C, Coffee/Tea machine, Hairdryer</t>
  </si>
  <si>
    <t>Skiathos Palace</t>
  </si>
  <si>
    <t>Theoxenia</t>
  </si>
  <si>
    <t>Mykonos, Ornos</t>
  </si>
  <si>
    <t>Aldemar Cretan Village</t>
  </si>
  <si>
    <t>Myconian Architecture, overlooking Myconos Town &amp; the Sea, surrounded by gardens.</t>
  </si>
  <si>
    <t>Naxos, Agios Georgios</t>
  </si>
  <si>
    <t>Rooms 104 , Junior Suites 27</t>
  </si>
  <si>
    <t>Rooms 181</t>
  </si>
  <si>
    <t>Santa Marina Plaza</t>
  </si>
  <si>
    <t>3 km. from Parikia Town, 80 m. from Parasporos Beach</t>
  </si>
  <si>
    <t>Traditional Architecture village of 20.000 sq.m.</t>
  </si>
  <si>
    <t>Maisonette</t>
  </si>
  <si>
    <t>Aegeon</t>
  </si>
  <si>
    <t>Paros, Parikia</t>
  </si>
  <si>
    <t>01/07-10/09</t>
  </si>
  <si>
    <t>27/08-05/10</t>
  </si>
  <si>
    <t>Notes: All Rates Valid for MINIMUM 3 NIGHTS stay.</t>
  </si>
  <si>
    <t>4 Kms from Mykonos Town, On Agios Yiannis Beach</t>
  </si>
  <si>
    <t>Private Jacuzzi and Steam Bath Available in All EXECUTIVE Rooms. Private Swimming Pool Available in EXECUTIVE Suites.</t>
  </si>
  <si>
    <t>Mykonos, Platis Gialos</t>
  </si>
  <si>
    <t>26/05-22/06</t>
  </si>
  <si>
    <t>23/06-20/07</t>
  </si>
  <si>
    <t>25/08-14/09</t>
  </si>
  <si>
    <t>21/07-24/08</t>
  </si>
  <si>
    <t>Mediterranean Beach Resort</t>
  </si>
  <si>
    <t>Laganas, on the beach</t>
  </si>
  <si>
    <t>Hotel facilities: 24 hour reception, TV lounge, room service, daily maid service, free internet access, fax service, dry cleaning service, Gourmet restaurant,  open air lounge, lounge bar, outdoor pool  with Jacuzzi, pool bar, Spa, outdoor restaurant, indoor café and outdoor café, luggage service and parking.      
Room facilities: hairdryer, mini bar, refrigerator, kitchen (utensils provided upon request), satellite TV, music, air conditioning, safe box, direct dial phone, bathroom with Jacuzzi, bathrobes</t>
  </si>
  <si>
    <r>
      <t xml:space="preserve">Hotel Facilities: </t>
    </r>
    <r>
      <rPr>
        <sz val="10"/>
        <rFont val="Arial"/>
        <family val="2"/>
        <charset val="161"/>
      </rPr>
      <t>Air-Condition, Cafeteria, Central Heating, Conference Facilities, Fireplace, Main Bar, Restaurant, Roof Garden, Room Service, Sauna, Snack Bar, Sun terrace, Swimming Pool, TV Lounge</t>
    </r>
    <r>
      <rPr>
        <i/>
        <sz val="10"/>
        <rFont val="Arial"/>
        <family val="2"/>
        <charset val="161"/>
      </rPr>
      <t xml:space="preserve">
Room Facilities:</t>
    </r>
    <r>
      <rPr>
        <sz val="10"/>
        <rFont val="Arial"/>
        <family val="2"/>
        <charset val="161"/>
      </rPr>
      <t xml:space="preserve"> Balcony, Direct-dial phone, Hairdryer, Mini Bar, Safe Box, TV</t>
    </r>
  </si>
  <si>
    <r>
      <t xml:space="preserve">Hotel Facilities: 24r Reception, Main </t>
    </r>
    <r>
      <rPr>
        <sz val="10"/>
        <rFont val="Arial"/>
        <family val="2"/>
        <charset val="161"/>
      </rPr>
      <t>Restaurant, Beach Bar, Outdoor Swimming Pool, Roof garden Bar</t>
    </r>
    <r>
      <rPr>
        <i/>
        <sz val="10"/>
        <rFont val="Arial"/>
        <family val="2"/>
        <charset val="161"/>
      </rPr>
      <t xml:space="preserve">
Room Facilities: A/C, </t>
    </r>
    <r>
      <rPr>
        <sz val="10"/>
        <rFont val="Arial"/>
        <family val="2"/>
        <charset val="161"/>
      </rPr>
      <t>Hairdryer, Marble Bath, Mini Fridge, Safe, Satellite TV</t>
    </r>
  </si>
  <si>
    <r>
      <t xml:space="preserve">Hotel Facilities: </t>
    </r>
    <r>
      <rPr>
        <sz val="10"/>
        <rFont val="Arial"/>
        <family val="2"/>
        <charset val="161"/>
      </rPr>
      <t>A/C, Main Restaurant, Restaurant a la carte, Taverna, Self service restaurant, Cafeteria, Lobby bar, Beach Bar, Sauna, D iving center, 3 Outdoor Swimming Pool, Water Sports, Mini market, Parking</t>
    </r>
    <r>
      <rPr>
        <i/>
        <sz val="10"/>
        <rFont val="Arial"/>
        <family val="2"/>
        <charset val="161"/>
      </rPr>
      <t xml:space="preserve">
Room Facilities: </t>
    </r>
    <r>
      <rPr>
        <sz val="10"/>
        <rFont val="Arial"/>
        <family val="2"/>
        <charset val="161"/>
      </rPr>
      <t>Balcony or Terrace, Hairdryer, Fridge or mini bar, Safe, Satellite TV, Direct dial phone</t>
    </r>
  </si>
  <si>
    <r>
      <t>Hotel Facilities:</t>
    </r>
    <r>
      <rPr>
        <sz val="10"/>
        <rFont val="Arial"/>
        <family val="2"/>
        <charset val="161"/>
      </rPr>
      <t xml:space="preserve"> 3 Fresh-Water Swimming Pools, 4 Tennis Courts, A/C throughout, Animation Programme, Bar, Beach Bar, Children’s Playground, Children’s Pool, Disco Club, Giant Waterslide, Hairdresser, Jewelry Shop, Kafenion, Kindergarden, Mini Golf, Mini Market, Open Air Amphitheatrer, Pool Bar, Restaurant, Safe Deposit Boxes, Snack Bar, Souvenir Shop, Table Tennis, Tavern, Volley, Water Sports</t>
    </r>
    <r>
      <rPr>
        <i/>
        <sz val="10"/>
        <rFont val="Arial"/>
        <family val="2"/>
        <charset val="161"/>
      </rPr>
      <t xml:space="preserve">
Room Facilities: </t>
    </r>
    <r>
      <rPr>
        <sz val="10"/>
        <rFont val="Arial"/>
        <family val="2"/>
        <charset val="161"/>
      </rPr>
      <t>Direct-dial phone, Fridge, Hairdryer, TV</t>
    </r>
  </si>
  <si>
    <t>46, V.Paulou &amp; Friderikis St.</t>
  </si>
  <si>
    <t>Hotel Facilities: A/C, Central Heating, Bar, Restaurant, Games Room, WiFi internet access, Fax/Copier/Printer services, Postal Sevices, 24h Room Services, 24h Reception
Room Facilities:Satellite TV, Music, Direct dial phone, Hairdryer, Baby cot, Iron, Safe, Balcony with view, Bath or Shower</t>
  </si>
  <si>
    <t>Completely renovated.</t>
  </si>
  <si>
    <t>Atrium Palace</t>
  </si>
  <si>
    <t xml:space="preserve">Kalathos,Lindos </t>
  </si>
  <si>
    <t>6 km. from Corfu Town, on Kontokali Beach</t>
  </si>
  <si>
    <t>Standard Bay View Room</t>
  </si>
  <si>
    <t>Bungalow Garden View</t>
  </si>
  <si>
    <t>Notes: Four Bedded Rooms are Available ONLY In Bungalows.</t>
  </si>
  <si>
    <t>30/08-19/09</t>
  </si>
  <si>
    <t>03/10-31/10</t>
  </si>
  <si>
    <t>4 km. from Mykonos Town, on Platis Gialos Beach</t>
  </si>
  <si>
    <t>Corfu, Kanoni</t>
  </si>
  <si>
    <t>Santorini Princess</t>
  </si>
  <si>
    <t>Hotel Facilities: Central heating, Bar, Mediterranean cuisine restaurant, Swimming pool, TV lounge
Room Facilities: Direct dial phone, Mini bar</t>
  </si>
  <si>
    <t>Club Hotel Casino Loutraki</t>
  </si>
  <si>
    <t>Poseidon Resort</t>
  </si>
  <si>
    <t>48, Akti Poseidonos, Loutraki</t>
  </si>
  <si>
    <t>20 km. from Corfu Town, 100 m. from Agios Ioannis Beach, Moraitika</t>
  </si>
  <si>
    <t>Corfu, Nissaki</t>
  </si>
  <si>
    <t>Villas include Jacuzzi, Steam Bath, Walk -In Closets.</t>
  </si>
  <si>
    <t>Rooms 11 , Junior Suites 42 , Executive Suites 4</t>
  </si>
  <si>
    <t>Rooms 87</t>
  </si>
  <si>
    <t>01/06-30/09</t>
  </si>
  <si>
    <t>01/04-31/10</t>
  </si>
  <si>
    <t>01/09-31/10</t>
  </si>
  <si>
    <t>Aegeon Beach</t>
  </si>
  <si>
    <t>68th Km Athens Sounio Road</t>
  </si>
  <si>
    <t>45 Standard Room(s), 6 Suite(s)</t>
  </si>
  <si>
    <t>Rooms 35</t>
  </si>
  <si>
    <t>10/06-07/07</t>
  </si>
  <si>
    <t>08/07-21/07</t>
  </si>
  <si>
    <t>Iria Beach Art Hotel</t>
  </si>
  <si>
    <t>Naxos, Agia Anna</t>
  </si>
  <si>
    <t>Rooms 23</t>
  </si>
  <si>
    <t>Skiathos, Achladies</t>
  </si>
  <si>
    <t>4 km. from Skiathos Town, 500 m. from Achladies Beach</t>
  </si>
  <si>
    <t>Petinos Beach</t>
  </si>
  <si>
    <t>Alkistis</t>
  </si>
  <si>
    <t>Rhodes, Rhodes Town</t>
  </si>
  <si>
    <t>Philippos</t>
  </si>
  <si>
    <t>3, Mitseon street, Athens</t>
  </si>
  <si>
    <t>Notes: Air-Condition Is Available Only For The Period 01/07-31/08</t>
  </si>
  <si>
    <t>Plaza</t>
  </si>
  <si>
    <t>47, Kazantzaki Str., Aegina</t>
  </si>
  <si>
    <t>Daios</t>
  </si>
  <si>
    <t>Grand Palace</t>
  </si>
  <si>
    <t>Holiday Inn</t>
  </si>
  <si>
    <t>Les Lazaristes</t>
  </si>
  <si>
    <t>Mediterranean Palace</t>
  </si>
  <si>
    <t>Anatolia</t>
  </si>
  <si>
    <t>Capsis</t>
  </si>
  <si>
    <t>Davitel Tobacco</t>
  </si>
  <si>
    <t>Sun Beach</t>
  </si>
  <si>
    <t>Mandrino</t>
  </si>
  <si>
    <t>Metropolitan</t>
  </si>
  <si>
    <t>Telioni</t>
  </si>
  <si>
    <r>
      <t>Hotel Facilities: Room Services, Pool Bar, Swimming Pool, Restaurant, Garden, Bar, Parking 
Room Facilities:</t>
    </r>
    <r>
      <rPr>
        <sz val="10"/>
        <rFont val="Arial"/>
        <family val="2"/>
        <charset val="161"/>
      </rPr>
      <t xml:space="preserve"> Satellite TV, Direct dial phone, Radio, Bath or Shower</t>
    </r>
  </si>
  <si>
    <r>
      <t>Hotel Facilities: Centra heating, Gym, Roof garden, Bar, Piano restaurant, Kaundry &amp; Cleaning services, WiFi internet access, Room service, Parking
Room Facilities: A/C, Satellite / Pay TV, Safe, Hairdryer, Radio, Mini bar, CD player, Video</t>
    </r>
    <r>
      <rPr>
        <sz val="10"/>
        <rFont val="Arial"/>
        <family val="2"/>
        <charset val="161"/>
      </rPr>
      <t xml:space="preserve"> </t>
    </r>
  </si>
  <si>
    <r>
      <t xml:space="preserve">Hotel Facilities: </t>
    </r>
    <r>
      <rPr>
        <sz val="10"/>
        <rFont val="Arial"/>
        <family val="2"/>
        <charset val="161"/>
      </rPr>
      <t>3 Swimming Pools, 3 Taverns, 5 Tennis Courts, A/C throughout, Bar, Basketball Court, Cafeteria, Children’s Pool, Conference Hall, Disco
Club, Gym, Hair Salon, Hammam, Health Club, Jacuzzi, Mini Golf, Mini Market, Parking, Pool Bar, Safe Deposit Boxes, Sauna, Sea Sports, Shops, Shuttle
Service, Snack Bar, Solarium, Table Tennis, Tennis Court, Volley</t>
    </r>
    <r>
      <rPr>
        <i/>
        <sz val="10"/>
        <rFont val="Arial"/>
        <family val="2"/>
        <charset val="161"/>
      </rPr>
      <t xml:space="preserve">
Room Facilities: </t>
    </r>
    <r>
      <rPr>
        <sz val="10"/>
        <rFont val="Arial"/>
        <family val="2"/>
        <charset val="161"/>
      </rPr>
      <t>Air-condition, Color TV, Direct-dial phone, Hairdryer, Mini Fridge, Music</t>
    </r>
  </si>
  <si>
    <t>14 km. from Fira Town, 800 m. from Perissa Village, 200 m. from Perivolos Beach, 10 km. from the airport</t>
  </si>
  <si>
    <t>Santorini Palace</t>
  </si>
  <si>
    <t>Parthenon - Airotel</t>
  </si>
  <si>
    <t>6, Makri street, Athens</t>
  </si>
  <si>
    <t>79 Standard Room(s)</t>
  </si>
  <si>
    <t>72 Standard Room(s)</t>
  </si>
  <si>
    <t>Hotel Facilities: Central heating, Restaurant, Bar, Pool bar, Swimming pool, WiFi Internet aceess
Room Facilities: A/C, TV, Radio, Safe, Hairdryer, Fridge, Direct dial phone</t>
  </si>
  <si>
    <t>Sani</t>
  </si>
  <si>
    <t>Hotel Facilities: 16 restaurants &amp; gourmet restaurants, 15 Bars, Swimming pools, 2 Sani spas, 2 Hairdressing salons, Children's mini club, Teenager's club, Oper air cinema, Art gallery 
Room Facilities: A/C, Satellite TV, CD &amp; DVD Player, Mini bar, Fridge, Direct dial phone</t>
  </si>
  <si>
    <t>Porto Carras Meliton</t>
  </si>
  <si>
    <t>Aristoteles Beach</t>
  </si>
  <si>
    <t>Hotel Facilities: 24h Room Service, Massage, Spa, Baby sitting, Boutique
Room Facilities: A/C, Satellite / pay TV, Internet access, Radio, Safe, Mini bar</t>
  </si>
  <si>
    <t>Hotel Facilities: 24h Room service, Free internet access, Safe, Doctor, Parling, TV games, Tennis, Basket, Chess, Swimming pool
Room Facilities: A/C, Mini fridge, Satellite TV, Radio, Safe, Baby cot, Hairdryer</t>
  </si>
  <si>
    <t>Sithonia, Chalkidiki</t>
  </si>
  <si>
    <t>Thermae Sylla Spa</t>
  </si>
  <si>
    <t>Esperides</t>
  </si>
  <si>
    <t>1, Akti Miaouli street, Rhodes, Ixia</t>
  </si>
  <si>
    <t>Cat. 3*</t>
  </si>
  <si>
    <t>23 km. from Corfu Town, on Nissaki Beach</t>
  </si>
  <si>
    <t>Mykonos, Megali Ammos</t>
  </si>
  <si>
    <t>50 m. from the Beach</t>
  </si>
  <si>
    <t>Manousos</t>
  </si>
  <si>
    <t>IV – V – VI</t>
  </si>
  <si>
    <t>I</t>
  </si>
  <si>
    <t>INFORMATION</t>
  </si>
  <si>
    <t>CONDITIONS</t>
  </si>
  <si>
    <t>Pages</t>
  </si>
  <si>
    <t>Hotels Price List</t>
  </si>
  <si>
    <t>II</t>
  </si>
  <si>
    <t>III</t>
  </si>
  <si>
    <t>Grand Resort Lagonissi</t>
  </si>
  <si>
    <t>40 km from Athens in Lagonissi</t>
  </si>
  <si>
    <t>Jason Inn</t>
  </si>
  <si>
    <t>All destinations</t>
  </si>
  <si>
    <t>Caldera's Lilium Villa</t>
  </si>
  <si>
    <t>21/09-30/09</t>
  </si>
  <si>
    <t xml:space="preserve">Cat. 5*    </t>
  </si>
  <si>
    <t>Cat. 2*</t>
  </si>
  <si>
    <t xml:space="preserve"> Cat. 3*</t>
  </si>
  <si>
    <t>Mediterranee</t>
  </si>
  <si>
    <t>When payment is made by Bank Transfer, it is important that we</t>
  </si>
  <si>
    <t>GLOSSARY</t>
  </si>
  <si>
    <t>BOARD BASIS</t>
  </si>
  <si>
    <t>RATE TYPE</t>
  </si>
  <si>
    <t>ACCOMMODATION TYPE</t>
  </si>
  <si>
    <r>
      <t xml:space="preserve">BB </t>
    </r>
    <r>
      <rPr>
        <sz val="10"/>
        <rFont val="Arial"/>
        <family val="2"/>
        <charset val="161"/>
      </rPr>
      <t/>
    </r>
  </si>
  <si>
    <r>
      <t>HB</t>
    </r>
    <r>
      <rPr>
        <sz val="10"/>
        <rFont val="Arial"/>
        <family val="2"/>
        <charset val="161"/>
      </rPr>
      <t/>
    </r>
  </si>
  <si>
    <r>
      <t>FB</t>
    </r>
    <r>
      <rPr>
        <sz val="10"/>
        <rFont val="Symbol"/>
        <family val="1"/>
        <charset val="2"/>
      </rPr>
      <t/>
    </r>
  </si>
  <si>
    <r>
      <t>AI</t>
    </r>
    <r>
      <rPr>
        <sz val="10"/>
        <rFont val="Symbol"/>
        <family val="1"/>
        <charset val="2"/>
      </rPr>
      <t xml:space="preserve"> </t>
    </r>
  </si>
  <si>
    <r>
      <t>RR</t>
    </r>
    <r>
      <rPr>
        <sz val="10"/>
        <rFont val="Arial"/>
        <family val="2"/>
        <charset val="161"/>
      </rPr>
      <t/>
    </r>
  </si>
  <si>
    <r>
      <t>ή</t>
    </r>
    <r>
      <rPr>
        <sz val="10"/>
        <rFont val="Arial"/>
        <family val="2"/>
        <charset val="161"/>
      </rPr>
      <t xml:space="preserve"> Bed &amp; Breakfast</t>
    </r>
  </si>
  <si>
    <r>
      <t xml:space="preserve">ή </t>
    </r>
    <r>
      <rPr>
        <sz val="10"/>
        <rFont val="Arial"/>
        <family val="2"/>
        <charset val="161"/>
      </rPr>
      <t>Half Board</t>
    </r>
  </si>
  <si>
    <r>
      <t xml:space="preserve">ή </t>
    </r>
    <r>
      <rPr>
        <sz val="10"/>
        <rFont val="Arial"/>
        <family val="2"/>
        <charset val="161"/>
      </rPr>
      <t>Full Board</t>
    </r>
  </si>
  <si>
    <r>
      <t>ή</t>
    </r>
    <r>
      <rPr>
        <sz val="10"/>
        <rFont val="Arial"/>
        <family val="2"/>
        <charset val="161"/>
      </rPr>
      <t xml:space="preserve"> All Inclusive</t>
    </r>
  </si>
  <si>
    <r>
      <t>ή</t>
    </r>
    <r>
      <rPr>
        <sz val="10"/>
        <rFont val="Arial"/>
        <family val="2"/>
        <charset val="161"/>
      </rPr>
      <t xml:space="preserve"> Room Only</t>
    </r>
  </si>
  <si>
    <t>PP</t>
  </si>
  <si>
    <t>S1</t>
  </si>
  <si>
    <r>
      <t>S2</t>
    </r>
    <r>
      <rPr>
        <sz val="10"/>
        <rFont val="Arial"/>
        <family val="2"/>
        <charset val="161"/>
      </rPr>
      <t xml:space="preserve"> </t>
    </r>
  </si>
  <si>
    <t>S3</t>
  </si>
  <si>
    <t>S4</t>
  </si>
  <si>
    <t>S5</t>
  </si>
  <si>
    <t>Cavo Tagoo</t>
  </si>
  <si>
    <t>Aquis Silva Beach</t>
  </si>
  <si>
    <r>
      <t xml:space="preserve">Hotel Facilities: </t>
    </r>
    <r>
      <rPr>
        <sz val="10"/>
        <rFont val="Arial"/>
        <family val="2"/>
        <charset val="161"/>
      </rPr>
      <t>Air-Condition, Air-Condition in common areas, Bar, Parking, Restaurant, Safe Deposit Boxes, Snack Bar, Swimming Pool, TV Room</t>
    </r>
    <r>
      <rPr>
        <i/>
        <sz val="10"/>
        <rFont val="Arial"/>
        <family val="2"/>
        <charset val="161"/>
      </rPr>
      <t xml:space="preserve">
Room Facilities: </t>
    </r>
    <r>
      <rPr>
        <sz val="10"/>
        <rFont val="Arial"/>
        <family val="2"/>
        <charset val="161"/>
      </rPr>
      <t>Hairdryer, Mini Bar, Music, Satellite Color TV, Telephone</t>
    </r>
  </si>
  <si>
    <t>256 Standard Rooms, 3 Executive Suites, 2 Presidential Suites</t>
  </si>
  <si>
    <t>164 Standard Rooms, 4 Suites, 8 Junior Suites</t>
  </si>
  <si>
    <t>39 Standard Rooms, 9 Junior Suites, 15 Suites, 1 Penthouse Corner</t>
  </si>
  <si>
    <t>111 Standard Rooms, 7 Suites</t>
  </si>
  <si>
    <t>80 Standard Rooms, 7 Junior Suites, 2 Grand Suites</t>
  </si>
  <si>
    <t>394 Standard Rooms, 3 Suites, 10  AMEA Rooms</t>
  </si>
  <si>
    <t>102 Standard Rooms, 23 Suites</t>
  </si>
  <si>
    <t>57 Standard Rooms, 3 Suites</t>
  </si>
  <si>
    <t>124 Standard Rooms, 2 Suites</t>
  </si>
  <si>
    <t>72 Standard Rooms</t>
  </si>
  <si>
    <t>109 Standard Rooms, 7 Suites</t>
  </si>
  <si>
    <t>86 Standard Rooms</t>
  </si>
  <si>
    <t>93 Standard Rooms, 15 Family Rooms, 9 Maisonettes, 1 Suite</t>
  </si>
  <si>
    <t>70 Standard Rooms, 15 Apts, 35 Studios</t>
  </si>
  <si>
    <t>Rooms 30 , Suites 10</t>
  </si>
  <si>
    <t>President</t>
  </si>
  <si>
    <t>Sofitel Athens Airport Hotel</t>
  </si>
  <si>
    <t>El.Venizelos Airport, Athens</t>
  </si>
  <si>
    <t>332 Room(s), 13 Suite(s)</t>
  </si>
  <si>
    <t>Rooms 46</t>
  </si>
  <si>
    <t>Grand - Rhodes</t>
  </si>
  <si>
    <t>Sea View Room</t>
  </si>
  <si>
    <t>Rooms 786</t>
  </si>
  <si>
    <t>Rooms 30 , Suites 30</t>
  </si>
  <si>
    <t>01/10-30/10</t>
  </si>
  <si>
    <t>Sheraton Rhodos Resort</t>
  </si>
  <si>
    <t>37-39, Falirou street, Athens</t>
  </si>
  <si>
    <t>Crete, Chania</t>
  </si>
  <si>
    <t>on Ixia Beach</t>
  </si>
  <si>
    <t>700 m. from Ixia Beach</t>
  </si>
  <si>
    <t>Belair Beach</t>
  </si>
  <si>
    <t>25/07-25/08</t>
  </si>
  <si>
    <t>Myconian Ambassador</t>
  </si>
  <si>
    <t>Royal Myconian Resort &amp; Thalasso Center</t>
  </si>
  <si>
    <t>Myconian K Hotels &amp; Thalasso Spa</t>
  </si>
  <si>
    <r>
      <t xml:space="preserve">Hotel Facilities: </t>
    </r>
    <r>
      <rPr>
        <sz val="10"/>
        <rFont val="Arial"/>
        <family val="2"/>
        <charset val="161"/>
      </rPr>
      <t>Air-Condition, Parking, Restaurant, Room Service, Central heating, Roof garden, Swimming pool, Snack bar, Sauna, Business center.</t>
    </r>
    <r>
      <rPr>
        <i/>
        <sz val="10"/>
        <rFont val="Arial"/>
        <family val="2"/>
        <charset val="161"/>
      </rPr>
      <t xml:space="preserve">
Room Facilities: Direct dial phone, </t>
    </r>
    <r>
      <rPr>
        <sz val="10"/>
        <rFont val="Arial"/>
        <family val="2"/>
        <charset val="161"/>
      </rPr>
      <t>Mini Bar, Safe, Internet access, Satellite TV</t>
    </r>
  </si>
  <si>
    <r>
      <t xml:space="preserve">Hotel Facilities: </t>
    </r>
    <r>
      <rPr>
        <sz val="10"/>
        <rFont val="Arial"/>
        <family val="2"/>
        <charset val="161"/>
      </rPr>
      <t>A/C throughout, Baby Sitting, Bar, Dry Cleaning, Gym, Restaurant, Room Service</t>
    </r>
    <r>
      <rPr>
        <i/>
        <sz val="10"/>
        <rFont val="Arial"/>
        <family val="2"/>
        <charset val="161"/>
      </rPr>
      <t xml:space="preserve">
Room Facilities: </t>
    </r>
    <r>
      <rPr>
        <sz val="10"/>
        <rFont val="Arial"/>
        <family val="2"/>
        <charset val="161"/>
      </rPr>
      <t>Direct-dial phone, Hairdryer, Mini Bar, Pay TV, Safe Box, Satellite TV</t>
    </r>
  </si>
  <si>
    <t>2.5 km. from Ios Town, 50 m. from Mylopotas Beach</t>
  </si>
  <si>
    <t>Complex of 6 Separate Buildings Among Gardens.</t>
  </si>
  <si>
    <t>Far Out</t>
  </si>
  <si>
    <t>01/06-10/07</t>
  </si>
  <si>
    <t>11/07-31/08</t>
  </si>
  <si>
    <t>01/04-30/04</t>
  </si>
  <si>
    <t>16/09-15/10</t>
  </si>
  <si>
    <t>26/08-15/09</t>
  </si>
  <si>
    <t>11/10-31/10</t>
  </si>
  <si>
    <t>01/08-20/08</t>
  </si>
  <si>
    <t>01/05-31/05</t>
  </si>
  <si>
    <t>01/03-30/04</t>
  </si>
  <si>
    <t>Superior Room</t>
  </si>
  <si>
    <t>Akis</t>
  </si>
  <si>
    <t>Alkyon</t>
  </si>
  <si>
    <t>Skiathos, Skiathos Town</t>
  </si>
  <si>
    <t>Divani Acropolis Palace</t>
  </si>
  <si>
    <t>242 Standard Room(s), 11 Suite(s)</t>
  </si>
  <si>
    <t>50, Michalakopoulou street, Athens</t>
  </si>
  <si>
    <t>2, Kleomenous street , Athens, Kolonaki</t>
  </si>
  <si>
    <t>157 Standard Room(s), 10 Suite(s)</t>
  </si>
  <si>
    <t>Studios 50 , Apartments 15</t>
  </si>
  <si>
    <t>01/07-23/07</t>
  </si>
  <si>
    <t>17/06-07/07</t>
  </si>
  <si>
    <t>Ibiscus</t>
  </si>
  <si>
    <t>17, Nissyrou street, Rhodes, Rhodes Town</t>
  </si>
  <si>
    <t>Situated across the road from the sandy beach of Rhodes Town,</t>
  </si>
  <si>
    <t>9 km. from Mykonos Town, 50 m. from Elia Beach</t>
  </si>
  <si>
    <t>15/05-31/05</t>
  </si>
  <si>
    <t>Cliff Side</t>
  </si>
  <si>
    <t>Aegean Plaza</t>
  </si>
  <si>
    <t>Kamari</t>
  </si>
  <si>
    <t>Notes: Children Under 13 Years Old Are NOT Accepted.</t>
  </si>
  <si>
    <t>Vedema</t>
  </si>
  <si>
    <t>Santorini, Megalohori</t>
  </si>
  <si>
    <t>10 km. from Fira Town, 2 km. from the Beach, 5 km. from the airport</t>
  </si>
  <si>
    <t>Rooms 125</t>
  </si>
  <si>
    <t>Rooms 248</t>
  </si>
  <si>
    <t xml:space="preserve">Amphitryon </t>
  </si>
  <si>
    <t>Spiliadou Str., Nafplio</t>
  </si>
  <si>
    <t>Corfu, Dassia</t>
  </si>
  <si>
    <t>Antonios</t>
  </si>
  <si>
    <t>Best Western Europa</t>
  </si>
  <si>
    <t>Ilis</t>
  </si>
  <si>
    <t>1, Solomou Str., Hersonissos</t>
  </si>
  <si>
    <t>150 Standard Rooms, 12 Maisonettes</t>
  </si>
  <si>
    <t>23 Standard Rooms,92 Bungalows, 18 Suites</t>
  </si>
  <si>
    <t>49 Standard Rooms, 2 Suites</t>
  </si>
  <si>
    <t>Hotel Facilities: A/C, Swimming Pool, Dining Room, TV Lounge
Room Facilities: Satellite TV, View to Olympia valley</t>
  </si>
  <si>
    <t>Hotel Facilities: Breakfast, Swimming Pool, Coffee shop, TV Room, Businness facilities, Secretary service, Safe, Parking
Room Facilities: A/C, Satellite TV, Direct dial phone, Bath or Shower</t>
  </si>
  <si>
    <t>22/09-31/10</t>
  </si>
  <si>
    <t>01/09-14/09</t>
  </si>
  <si>
    <t>30/04-03/06</t>
  </si>
  <si>
    <t>20/08-09/09</t>
  </si>
  <si>
    <t>Koukounaries, Skiathos</t>
  </si>
  <si>
    <t>01/07-26/07</t>
  </si>
  <si>
    <t>26/08-31/08</t>
  </si>
  <si>
    <t>Creta Maris</t>
  </si>
  <si>
    <t>Electra Palace</t>
  </si>
  <si>
    <t>18, Nikodimou street, Athens</t>
  </si>
  <si>
    <t>Emmantina</t>
  </si>
  <si>
    <t>33, Vassileos Georgiou avenue, Athens, Glyfada</t>
  </si>
  <si>
    <t>80 Standard Room(s)</t>
  </si>
  <si>
    <t>Daedalus</t>
  </si>
  <si>
    <t>Attica Holiday Inn</t>
  </si>
  <si>
    <t>40.2Km Attica Avenue</t>
  </si>
  <si>
    <t>192 Standard Room(s), 2 Suite(s)</t>
  </si>
  <si>
    <t>Egnatia</t>
  </si>
  <si>
    <t>139, 7th Merarhias Str.</t>
  </si>
  <si>
    <t>01/10-31/12</t>
  </si>
  <si>
    <t>28/08-14/09</t>
  </si>
  <si>
    <t>Standard S.V. Room</t>
  </si>
  <si>
    <t>01/07-25/07</t>
  </si>
  <si>
    <t>27/08-15/09</t>
  </si>
  <si>
    <t>26/07-26/08</t>
  </si>
  <si>
    <t>Rooms 68 , Suites 2</t>
  </si>
  <si>
    <t>Rooms 100 , Suites 6 , Presidential Suite 1</t>
  </si>
  <si>
    <t>Rooms 103 , Suites 8 , Presidential Suite 1</t>
  </si>
  <si>
    <t>Studios 8 , Apartments 8</t>
  </si>
  <si>
    <t>1 km. from Mykonos Town</t>
  </si>
  <si>
    <t>Mykonos Bay</t>
  </si>
  <si>
    <t>Standard Room S.V.</t>
  </si>
  <si>
    <t>22/07-31/08</t>
  </si>
  <si>
    <t>22/07-25/08</t>
  </si>
  <si>
    <t>01/09-30/09</t>
  </si>
  <si>
    <t>16/10-31/10</t>
  </si>
  <si>
    <t>4 km. from Rhodes Town, 50 m. from Ixia Beach</t>
  </si>
  <si>
    <t>Rodos Park</t>
  </si>
  <si>
    <t>12, Riga Fereou Street, Rhodes, Ixia</t>
  </si>
  <si>
    <t>Rooms 52 , Suites 3</t>
  </si>
  <si>
    <r>
      <t xml:space="preserve">Hotel Facilities: </t>
    </r>
    <r>
      <rPr>
        <sz val="10"/>
        <rFont val="Arial"/>
        <family val="2"/>
        <charset val="161"/>
      </rPr>
      <t>Air-Condition in common areas, Bar, Mini Market, Parking, Pool Bar, Restaurant, Safe Deposit Boxes, Snack Bar, Swimming Pool</t>
    </r>
    <r>
      <rPr>
        <i/>
        <sz val="10"/>
        <rFont val="Arial"/>
        <family val="2"/>
        <charset val="161"/>
      </rPr>
      <t xml:space="preserve">
Room Facilities: </t>
    </r>
    <r>
      <rPr>
        <sz val="10"/>
        <rFont val="Arial"/>
        <family val="2"/>
        <charset val="161"/>
      </rPr>
      <t>Air-condition, Hairdryer, Mini Fridge, Music, Satellite Color TV, Telephone</t>
    </r>
  </si>
  <si>
    <r>
      <t xml:space="preserve">Hotel Facilities: </t>
    </r>
    <r>
      <rPr>
        <sz val="10"/>
        <rFont val="Arial"/>
        <family val="2"/>
        <charset val="161"/>
      </rPr>
      <t>3 Hole Mashie Golf Course, Air-Condition in common areas, Art Gallery, Baby Sitting, Bar, Beach Volley, Children’s Pool, Conference Room, Gardens, Gourmet Restaurant, Gym, Health Club, Horseback Riding, Massage, Parking, Pool Bar, Restaurant, Room Service, Safe Box, Sauna, Shops, Snack Bar, Swimming Pool, Tennis Court, TV Room, Water Sports</t>
    </r>
    <r>
      <rPr>
        <i/>
        <sz val="10"/>
        <rFont val="Arial"/>
        <family val="2"/>
        <charset val="161"/>
      </rPr>
      <t xml:space="preserve">
Room Facilities: </t>
    </r>
    <r>
      <rPr>
        <sz val="10"/>
        <rFont val="Arial"/>
        <family val="2"/>
        <charset val="161"/>
      </rPr>
      <t>Air Condition upon request, Balcony or Veranda, Desk, Direct-dial phone, Hairdryer, Marble Bath, Mini Bar, Satellite TV, Video</t>
    </r>
  </si>
  <si>
    <r>
      <t xml:space="preserve">Hotel Facilities: </t>
    </r>
    <r>
      <rPr>
        <sz val="10"/>
        <rFont val="Arial"/>
        <family val="2"/>
        <charset val="161"/>
      </rPr>
      <t>Bar, Billiards, Conference Facilities, Fully Airconditioned, Gym, Health Club, Mini Golf, Mini Market, Pool Snack Bar, Restaurant, Safe Box,
Sauna, Sea Sports, Swimming Pool, Tennis Court, TV Room</t>
    </r>
    <r>
      <rPr>
        <i/>
        <sz val="10"/>
        <rFont val="Arial"/>
        <family val="2"/>
        <charset val="161"/>
      </rPr>
      <t xml:space="preserve">
Room Facilities: </t>
    </r>
    <r>
      <rPr>
        <sz val="10"/>
        <rFont val="Arial"/>
        <family val="2"/>
        <charset val="161"/>
      </rPr>
      <t>Air-condition, Hairdryer, Mini Bar, Music, Satellite Color TV, Telephone</t>
    </r>
  </si>
  <si>
    <r>
      <t xml:space="preserve">Hotel Facilities: </t>
    </r>
    <r>
      <rPr>
        <sz val="10"/>
        <rFont val="Arial"/>
        <family val="2"/>
        <charset val="161"/>
      </rPr>
      <t>Baby Sitting, Bar, Children’s Pool, Gift Shop, Pool Bar, Restaurant, Safe Box, Snack Bar, Swimming Pool, TV Room</t>
    </r>
    <r>
      <rPr>
        <i/>
        <sz val="10"/>
        <rFont val="Arial"/>
        <family val="2"/>
        <charset val="161"/>
      </rPr>
      <t xml:space="preserve">
Room Facilities:</t>
    </r>
    <r>
      <rPr>
        <sz val="10"/>
        <rFont val="Arial"/>
        <family val="2"/>
        <charset val="161"/>
      </rPr>
      <t xml:space="preserve"> 2-Channel Music, Air-condition, Balcony or Veranda, Direct-dial phone, Fridge</t>
    </r>
  </si>
  <si>
    <r>
      <t xml:space="preserve">Hotel Facilities: </t>
    </r>
    <r>
      <rPr>
        <sz val="10"/>
        <rFont val="Arial"/>
        <family val="2"/>
        <charset val="161"/>
      </rPr>
      <t>Bar, Children’s Playground, Children’s Pool, Conference Hall, Gardens, Health Club, Pool Bar, Restaurant, Shops, Snack Bar, Swimming
Pool, Tennis Court, TV Lounge</t>
    </r>
    <r>
      <rPr>
        <i/>
        <sz val="10"/>
        <rFont val="Arial"/>
        <family val="2"/>
        <charset val="161"/>
      </rPr>
      <t xml:space="preserve">
Room Facilities: </t>
    </r>
    <r>
      <rPr>
        <sz val="10"/>
        <rFont val="Arial"/>
        <family val="2"/>
        <charset val="161"/>
      </rPr>
      <t>3-Channel Music, Balcony or Terrace, Direct-dial phone, Hairdryer, Mini Bar</t>
    </r>
  </si>
  <si>
    <r>
      <t>Hotel Facilities:</t>
    </r>
    <r>
      <rPr>
        <sz val="10"/>
        <rFont val="Arial"/>
        <family val="2"/>
        <charset val="161"/>
      </rPr>
      <t xml:space="preserve"> Bar, Gardens, Safe Deposit Boxes, TV Room</t>
    </r>
    <r>
      <rPr>
        <i/>
        <sz val="10"/>
        <rFont val="Arial"/>
        <family val="2"/>
        <charset val="161"/>
      </rPr>
      <t xml:space="preserve">
Room Facilities: </t>
    </r>
    <r>
      <rPr>
        <sz val="10"/>
        <rFont val="Arial"/>
        <family val="2"/>
        <charset val="161"/>
      </rPr>
      <t>Air-condition, Direct-dial phone, Hairdryer, Music, Satellite Color TV</t>
    </r>
  </si>
  <si>
    <r>
      <t xml:space="preserve">Hotel Facilities: </t>
    </r>
    <r>
      <rPr>
        <sz val="10"/>
        <rFont val="Arial"/>
        <family val="2"/>
        <charset val="161"/>
      </rPr>
      <t>Bar, Pool Bar, Restaurant, Safe Deposit Boxes, Swimming Pool, Tennis Court, TV Room</t>
    </r>
    <r>
      <rPr>
        <i/>
        <sz val="10"/>
        <rFont val="Arial"/>
        <family val="2"/>
        <charset val="161"/>
      </rPr>
      <t xml:space="preserve">
Room Facilities:</t>
    </r>
    <r>
      <rPr>
        <sz val="10"/>
        <rFont val="Arial"/>
        <family val="2"/>
        <charset val="161"/>
      </rPr>
      <t xml:space="preserve"> Air-condition, Color TV, Hairdryer, Music, Telephone</t>
    </r>
  </si>
  <si>
    <r>
      <t xml:space="preserve">Hotel Facilities: </t>
    </r>
    <r>
      <rPr>
        <sz val="10"/>
        <rFont val="Arial"/>
        <family val="2"/>
        <charset val="161"/>
      </rPr>
      <t>Air-Condition in common areas, Bar, Pool Bar, Safe Deposit Boxes, Snack Bar, Swimming Pool, TV Room</t>
    </r>
    <r>
      <rPr>
        <i/>
        <sz val="10"/>
        <rFont val="Arial"/>
        <family val="2"/>
        <charset val="161"/>
      </rPr>
      <t xml:space="preserve">
Room Facilities: </t>
    </r>
    <r>
      <rPr>
        <sz val="10"/>
        <rFont val="Arial"/>
        <family val="2"/>
        <charset val="161"/>
      </rPr>
      <t>Air-condition, Satellite Color TV, Telephone</t>
    </r>
  </si>
  <si>
    <r>
      <t xml:space="preserve">Hotel Facilities: </t>
    </r>
    <r>
      <rPr>
        <sz val="10"/>
        <rFont val="Arial"/>
        <family val="2"/>
        <charset val="161"/>
      </rPr>
      <t>Bar, Pool Bar, Snack Bar, Swimming Pool, TV Room</t>
    </r>
    <r>
      <rPr>
        <i/>
        <sz val="10"/>
        <rFont val="Arial"/>
        <family val="2"/>
        <charset val="161"/>
      </rPr>
      <t xml:space="preserve">
Room Facilities: </t>
    </r>
    <r>
      <rPr>
        <sz val="10"/>
        <rFont val="Arial"/>
        <family val="2"/>
        <charset val="161"/>
      </rPr>
      <t>Air-condition, Telephone</t>
    </r>
  </si>
  <si>
    <r>
      <t>Hotel Facilities: Buffet breakfast, Bar-Café, Swimming pool, Tennis, 24h Reception, Sauna, Satellite TV lounge, Free Wi-Fi Internet access, Room service, Safe boxes, Parking
Room Facilities:</t>
    </r>
    <r>
      <rPr>
        <sz val="10"/>
        <rFont val="Arial"/>
        <family val="2"/>
        <charset val="161"/>
      </rPr>
      <t xml:space="preserve"> A/C, Heating, Direct dial phone, Music outlet, Satellite TV, Fridge, Hairdryer, Balcony</t>
    </r>
  </si>
  <si>
    <r>
      <t>Hotel Facilities: Reception, Main bar, Swimming pool, Pool bar, Wi-Fi internet access
Room Facilities:</t>
    </r>
    <r>
      <rPr>
        <sz val="10"/>
        <rFont val="Arial"/>
        <family val="2"/>
        <charset val="161"/>
      </rPr>
      <t xml:space="preserve"> A/C, Bath or Shower, Hairdryer, Direct dial phone, TV, Mini bar, Balcony with view</t>
    </r>
  </si>
  <si>
    <r>
      <t>Hotel Facilities: Breakfast room, Main restaurant, Gym, Sauna, TV room, Mini market, Jewellery, Baby sitting, Swimming pool, Room service, Internet access, Table tennis, Laundry-Dry cleaning-Pressing services, Parking
Room Facilities:</t>
    </r>
    <r>
      <rPr>
        <sz val="10"/>
        <rFont val="Arial"/>
        <family val="2"/>
        <charset val="161"/>
      </rPr>
      <t xml:space="preserve"> A/C, Heating, Fridge, Mini bar, Safe, Satellite / Pay TV, Radio, Direct dial phone, Bath, Hairdryer</t>
    </r>
  </si>
  <si>
    <r>
      <t>Hotel Facilities: Central heating, Lounge bar, Pool bar, Restaurant, Beach bar, Cafeteria, Swimming pool, Sea sports, Animation program, Internet corner, Basket, Children's playground, Business corner, Parking
Room Facilities:</t>
    </r>
    <r>
      <rPr>
        <sz val="10"/>
        <rFont val="Arial"/>
        <family val="2"/>
        <charset val="161"/>
      </rPr>
      <t xml:space="preserve"> A/C, Wi-Fi Internet access, Direct dial phone, Mini bar, Fridge, Safe, Balcony with sea view</t>
    </r>
  </si>
  <si>
    <t>Galaxy</t>
  </si>
  <si>
    <t>67, Demokratias Avenue, Crete, Heraklion</t>
  </si>
  <si>
    <t>Marin Dream</t>
  </si>
  <si>
    <t>12, Doukos Bofor st., Crete, Heraklion</t>
  </si>
  <si>
    <t>44 Standard Room(s)</t>
  </si>
  <si>
    <t>London</t>
  </si>
  <si>
    <t>38 Posidonnos Avenue</t>
  </si>
  <si>
    <t>01/01-28/02</t>
  </si>
  <si>
    <t>Best Western Museum</t>
  </si>
  <si>
    <t>3.5 km. from Kos Town, 100 m. from Psalidi Beach, 25 km. from the airport</t>
  </si>
  <si>
    <t xml:space="preserve">147 Rooms, 19 Suites  </t>
  </si>
  <si>
    <t>Standard G.V. Room</t>
  </si>
  <si>
    <t>Standard Sea View Room</t>
  </si>
  <si>
    <t>N/A</t>
  </si>
  <si>
    <t>Rooms 98</t>
  </si>
  <si>
    <t>8 km. from Skiathos Town, on Agia Paraskevi Beach</t>
  </si>
  <si>
    <t>Atrium</t>
  </si>
  <si>
    <t>Skiathos, Platanias</t>
  </si>
  <si>
    <t>9 km. from Skiathos Town, 100 m. from Platanias Beach</t>
  </si>
  <si>
    <t>Notes: Air-Condition is Available Only For The Period 1/7-31/8.</t>
  </si>
  <si>
    <t>25 km. from Heraklion Town, 2 km. from Hersonissos, on Anissaras Beach</t>
  </si>
  <si>
    <t>4 Private Pools with the Seafront &amp; VIP Bungalows.</t>
  </si>
  <si>
    <t>101 rooms are connected by a covered corridor to the SPA Center.</t>
  </si>
  <si>
    <t>Studio</t>
  </si>
  <si>
    <t>Apartment</t>
  </si>
  <si>
    <t>Mykonos, Tagoo</t>
  </si>
  <si>
    <t>Kivotos Club</t>
  </si>
  <si>
    <t>Rooms 39</t>
  </si>
  <si>
    <t>Rooms 100</t>
  </si>
  <si>
    <t>All rooms with telephone line-fax-internet connection with e-mail.</t>
  </si>
  <si>
    <t>Notes: Executive Suite Consists of 2 Bedrooms, 2 Bathrooms and 1 Living Room.</t>
  </si>
  <si>
    <t>186 Standard Rooms, 2 Suites, 5 Junior Suites</t>
  </si>
  <si>
    <t>Hotel Facilities: Aphrodite ( International cuisine ), Polynisian restaurant, Sushi Bar, Oyster Bar, Jetty bar, Italian restaurant, Ouzerri, La Piscine, ( Snack/Pool bar ), Veranta lobby bar, Veghera Bar, Outdoor Swimming Pool, Water Sports, Scuba Diving Center, Tennis, Basket, Beach Volley, Mini Golf, Mini Soccer, Childrens' playng ground,Haiddressing. Conference &amp; Banqueting facilities for up to 2000 persons  
Room Facilities: Rooms/Bgls/Villas/Suites all with A/C, Satelite T/V, Video ( on call ), DVD player, t/v Internet access, Direct - dial phone, Voice mail, Mini bar, Safe,Hairdryer, Bathrobes</t>
  </si>
  <si>
    <t>90 Standard Rooms</t>
  </si>
  <si>
    <t>516 Standard Room(s)</t>
  </si>
  <si>
    <t>28, Ag. Konstantinou Str., Omonia</t>
  </si>
  <si>
    <t>56 Standard Rooms</t>
  </si>
  <si>
    <t>9, Chiou Str., Metaxourgio</t>
  </si>
  <si>
    <t>59 Standard Rooms</t>
  </si>
  <si>
    <t>61 Standard Rooms, 26 Executive Rooms, 16 Suites</t>
  </si>
  <si>
    <t>42 Standard Rooms</t>
  </si>
  <si>
    <t>Lassi</t>
  </si>
  <si>
    <t>226 Standard Rooms,1 Suite</t>
  </si>
  <si>
    <t>480 Standard Rooms, 93 Junior Suites, 64 Suites</t>
  </si>
  <si>
    <t>475 Standard Rooms</t>
  </si>
  <si>
    <t>Afytos Ouranoupolis, Chalkidiki</t>
  </si>
  <si>
    <t>24 Standard Rooms</t>
  </si>
  <si>
    <t>396 Standard Rooms</t>
  </si>
  <si>
    <t>150 m. from the Beach</t>
  </si>
  <si>
    <t>3 Apartments with Kitchenette.</t>
  </si>
  <si>
    <t>Suite</t>
  </si>
  <si>
    <t>Meal</t>
  </si>
  <si>
    <t>Amalia</t>
  </si>
  <si>
    <t xml:space="preserve"> Cat. 5*</t>
  </si>
  <si>
    <t xml:space="preserve"> Cat. 4*</t>
  </si>
  <si>
    <t>10, Amalias Avenue, Syntagma</t>
  </si>
  <si>
    <t>01/01-31/03</t>
  </si>
  <si>
    <t>01/04-30/06</t>
  </si>
  <si>
    <t>01/01-30/04</t>
  </si>
  <si>
    <t>72, Poseidonos Ave, P. Faliro</t>
  </si>
  <si>
    <t>Hersonissos Village</t>
  </si>
  <si>
    <t>Hotel Facilities: 
Room Facilities: Television, Safe, Hairdryer</t>
  </si>
  <si>
    <t>11, Litous Street.</t>
  </si>
  <si>
    <t>Superior Rooms 196 , Superior Bungalows 20 , Exec. Bngl Suites 20</t>
  </si>
  <si>
    <t>Rooms 100 , Bungalows 20 , Suites 10 , Bungalows Suites 32 , Island Villas 14</t>
  </si>
  <si>
    <t>Crete, Elounda beach</t>
  </si>
  <si>
    <t>Agla</t>
  </si>
  <si>
    <t>35, Apol. Amerikis Street, Rhodes, Rhodes Town</t>
  </si>
  <si>
    <t>Surrounded by olive groves.</t>
  </si>
  <si>
    <t>2 km. from Ios Town, 200 m. from Mylopotas Beach</t>
  </si>
  <si>
    <t>Cycladic Architecture, overlooking Mylopotas Beach.</t>
  </si>
  <si>
    <t>Bus Service (every 10 minutes) in front of the hotel.</t>
  </si>
  <si>
    <t>Far Out Village</t>
  </si>
  <si>
    <t>2 km. from Ios Town, on Mylopotas Beach</t>
  </si>
  <si>
    <t>Ios Palace</t>
  </si>
  <si>
    <t>Grande Bretagne</t>
  </si>
  <si>
    <t>Hilton</t>
  </si>
  <si>
    <t>46, Vass. Sophias Avenue, Ilissia</t>
  </si>
  <si>
    <t>on the way to Pyrgos, right on the Cliff with Volcano View, 2 km. from Fira Town.</t>
  </si>
  <si>
    <t>Katikies</t>
  </si>
  <si>
    <t>Naxos Holidays</t>
  </si>
  <si>
    <t>800 m. from Naxos Town, 400 m. from Agios Georgios Beach</t>
  </si>
  <si>
    <t>with Volcano View</t>
  </si>
  <si>
    <t>02/07-22/07</t>
  </si>
  <si>
    <t>23/07-19/08</t>
  </si>
  <si>
    <t>184 Standard Rooms</t>
  </si>
  <si>
    <t>40 Standard Rooms, 2 Suites</t>
  </si>
  <si>
    <t>23 Standard Rooms</t>
  </si>
  <si>
    <t>22 Standard Rooms, 2 Suites</t>
  </si>
  <si>
    <t>108 Standard Rooms, 4 Junior Suites, 2 Executive Suites, 1 Presidential Suite</t>
  </si>
  <si>
    <t>43 Andrea Miaouli, Hydra</t>
  </si>
  <si>
    <t>5 Standard Rooms, 16 Superior Rooms</t>
  </si>
  <si>
    <t>3 Standard Rooms, 3 Suites, 1 Family Room</t>
  </si>
  <si>
    <t>194 Standard Rooms</t>
  </si>
  <si>
    <t>2nd Km National Road Kalambaka - Ioannina, Kastraki</t>
  </si>
  <si>
    <t>60 Standard Rooms, 3 Suites</t>
  </si>
  <si>
    <t>173 Standard Rooms</t>
  </si>
  <si>
    <t>National Road Trikala - Ioannina, Kalambaka</t>
  </si>
  <si>
    <t>165 Standard Rooms</t>
  </si>
  <si>
    <t>50 Standard Rooms</t>
  </si>
  <si>
    <r>
      <t xml:space="preserve">Hotel Facilities: </t>
    </r>
    <r>
      <rPr>
        <sz val="10"/>
        <rFont val="Arial"/>
        <family val="2"/>
        <charset val="161"/>
      </rPr>
      <t>A/C throughout, Baby Sitting, Bar, Central Heating, Children’s Playground, Children’s Pool, Conference Hall, Electronic Games, Hairdresser,
Health Club, Mini Market, Restaurant, Room Service, Safe Deposit Boxes, Sauna, Shops, Snack Bar, Swimming Pool, TV Lounge</t>
    </r>
    <r>
      <rPr>
        <i/>
        <sz val="10"/>
        <rFont val="Arial"/>
        <family val="2"/>
        <charset val="161"/>
      </rPr>
      <t xml:space="preserve">
Room Facilities:</t>
    </r>
    <r>
      <rPr>
        <sz val="10"/>
        <rFont val="Arial"/>
        <family val="2"/>
        <charset val="161"/>
      </rPr>
      <t xml:space="preserve"> Balcony, Hairdryer, Heating, Mini Bar, Music, Satellite Color TV, Sound-proofing, Telephone</t>
    </r>
  </si>
  <si>
    <r>
      <t xml:space="preserve">Hotel Facilities: </t>
    </r>
    <r>
      <rPr>
        <sz val="10"/>
        <rFont val="Arial"/>
        <family val="2"/>
        <charset val="161"/>
      </rPr>
      <t>Air-Condition in common areas, Bar, Conference Hall, Pool Bar, Safe Deposit Boxes, Sauna, Snack Bar, Swimming Pool, Table Tennis, TV Room</t>
    </r>
    <r>
      <rPr>
        <i/>
        <sz val="10"/>
        <rFont val="Arial"/>
        <family val="2"/>
        <charset val="161"/>
      </rPr>
      <t xml:space="preserve">
Room Facilities: </t>
    </r>
    <r>
      <rPr>
        <sz val="10"/>
        <rFont val="Arial"/>
        <family val="2"/>
        <charset val="161"/>
      </rPr>
      <t>Air-condition, Hairdryer, Mini Bar, Music, Satellite Color TV, Telephone</t>
    </r>
  </si>
  <si>
    <r>
      <t xml:space="preserve">Hotel Facilities: </t>
    </r>
    <r>
      <rPr>
        <sz val="10"/>
        <rFont val="Arial"/>
        <family val="2"/>
        <charset val="161"/>
      </rPr>
      <t>A/C throughout, Central Heating, Children’s Playground, Craft Shops, Gift Shop, Greek Ouzeri, Greek Tavern, Hairdresser, Meeting Room,
Mini Club, Mini Market, Parking, Pool Bar, Restaurant, Snack Bar, Swimming Pool, Tennis Court, TV Lounge, Volley, Water Skiing</t>
    </r>
    <r>
      <rPr>
        <i/>
        <sz val="10"/>
        <rFont val="Arial"/>
        <family val="2"/>
        <charset val="161"/>
      </rPr>
      <t xml:space="preserve">
Room Facilities:</t>
    </r>
    <r>
      <rPr>
        <sz val="10"/>
        <rFont val="Arial"/>
        <family val="2"/>
        <charset val="161"/>
      </rPr>
      <t xml:space="preserve"> Air-condition, Hairdryer, Mini Fridge, Music, Satellite Color TV, Telephone</t>
    </r>
  </si>
  <si>
    <t>Town, Karfas, Kambos</t>
  </si>
  <si>
    <t>Vrontados, Megas Limnionas, Ag. Ermioni, Ag.Ioannis</t>
  </si>
  <si>
    <t>Mesta, Emborios</t>
  </si>
  <si>
    <t xml:space="preserve">Port or Airport </t>
  </si>
  <si>
    <t xml:space="preserve">Kanoni/Corfu Town or V.V. </t>
  </si>
  <si>
    <t xml:space="preserve">Alikes/Perama/Kontokali or V.V. </t>
  </si>
  <si>
    <t xml:space="preserve">Gouvia/Dassia/Komeno/Benitses or V.V. </t>
  </si>
  <si>
    <t xml:space="preserve">Paleokastritsa/Nissaki or V.V. </t>
  </si>
  <si>
    <t xml:space="preserve">Messongi/Moraitika/Ag. Ioannis/Ermones/Glyfada/Ag.Gordis or V.V. </t>
  </si>
  <si>
    <t xml:space="preserve">Argirades/Sidari/Roda/Acharavi/Kassiopi or V.V. </t>
  </si>
  <si>
    <t>Heraklion Port or Airport</t>
  </si>
  <si>
    <t>Heraklion Town</t>
  </si>
  <si>
    <t>Ammoudara/Kokkini Hani/Gouves</t>
  </si>
  <si>
    <t>Hersonissos/Analipsi/Aghia Pelagia</t>
  </si>
  <si>
    <t>Mallia/Stalis</t>
  </si>
  <si>
    <t>Sissi/Bali</t>
  </si>
  <si>
    <t>Aghios Nikolaos /Panormo</t>
  </si>
  <si>
    <t>Elounda/Kalo Chorio/Rethymno Town</t>
  </si>
  <si>
    <t xml:space="preserve">Ierapetra/Ag. Galini </t>
  </si>
  <si>
    <t>Georgioupolis/Makri Gialos/Istron</t>
  </si>
  <si>
    <t xml:space="preserve">Chania Town/Port </t>
  </si>
  <si>
    <t>Maleme/Kolymbari/Stavros</t>
  </si>
  <si>
    <t>Ag.Marina/Kalamaki/Platanias/Chania Airport</t>
  </si>
  <si>
    <t>Chania Port or Airport</t>
  </si>
  <si>
    <t xml:space="preserve">Chania Town/Stavros </t>
  </si>
  <si>
    <t>Ag.Marina/Platanias/Kalamaki/Kalyves/Stalos/Maleme</t>
  </si>
  <si>
    <t>Kolymbari/Georgioupolis</t>
  </si>
  <si>
    <t>Rethymnon</t>
  </si>
  <si>
    <t>Adelianos Kampos</t>
  </si>
  <si>
    <t xml:space="preserve">Heraklion Town </t>
  </si>
  <si>
    <t>Heraklion Airport</t>
  </si>
  <si>
    <t>Port</t>
  </si>
  <si>
    <t xml:space="preserve">Port area/Ios Town or V.V. </t>
  </si>
  <si>
    <t xml:space="preserve">Mylopotas or V.V. </t>
  </si>
  <si>
    <t xml:space="preserve">All destinations or V.V. </t>
  </si>
  <si>
    <t xml:space="preserve">All destinations except Kos Town or V.V. </t>
  </si>
  <si>
    <t xml:space="preserve">Kos Town or V.V. </t>
  </si>
  <si>
    <r>
      <rPr>
        <b/>
        <sz val="10"/>
        <rFont val="Arial"/>
        <family val="2"/>
        <charset val="161"/>
      </rPr>
      <t>NOTE:</t>
    </r>
    <r>
      <rPr>
        <sz val="10"/>
        <rFont val="Arial"/>
        <family val="2"/>
        <charset val="161"/>
      </rPr>
      <t xml:space="preserve"> All above rates are per PERSON per way</t>
    </r>
  </si>
  <si>
    <t>All destinations except Agrari/Kalafatis/Elia/Paradise/Super Paradise or V.V</t>
  </si>
  <si>
    <t>Agrari/Kalafatis/Elia/Paradise/Super Paradise V.V</t>
  </si>
  <si>
    <r>
      <rPr>
        <b/>
        <sz val="10"/>
        <rFont val="Arial"/>
        <family val="2"/>
        <charset val="161"/>
      </rPr>
      <t>NOTE:</t>
    </r>
    <r>
      <rPr>
        <sz val="10"/>
        <rFont val="Arial"/>
        <family val="2"/>
        <charset val="161"/>
      </rPr>
      <t xml:space="preserve"> All above rates are per PERSON per way.</t>
    </r>
  </si>
  <si>
    <t xml:space="preserve">Naxos Town/Aghios Georgios or V.V. </t>
  </si>
  <si>
    <t xml:space="preserve">Aghios Prokopios/Stelida/Aghia Anna or V.V. </t>
  </si>
  <si>
    <t xml:space="preserve">Mikri Vigla/Kastraki/Chateau Zevgoli or V.V. </t>
  </si>
  <si>
    <r>
      <rPr>
        <b/>
        <sz val="10"/>
        <rFont val="Arial"/>
        <family val="2"/>
        <charset val="161"/>
      </rPr>
      <t xml:space="preserve">NOTE: </t>
    </r>
    <r>
      <rPr>
        <sz val="10"/>
        <rFont val="Arial"/>
        <family val="2"/>
        <charset val="161"/>
      </rPr>
      <t>All above rates are per PERSON per way</t>
    </r>
  </si>
  <si>
    <t>Airport</t>
  </si>
  <si>
    <t xml:space="preserve">Parikia/Parasporos/Aliki/Pounta or V.V. </t>
  </si>
  <si>
    <t xml:space="preserve">Naoussa/Lefkes/Dryos/Pisso Livadi/Chrysi Akti/St. Maria/Logaras or V.V. </t>
  </si>
  <si>
    <t xml:space="preserve">Parikia or V.V. </t>
  </si>
  <si>
    <r>
      <t xml:space="preserve">Hotel Facilities: </t>
    </r>
    <r>
      <rPr>
        <sz val="10"/>
        <rFont val="Arial"/>
        <family val="2"/>
        <charset val="161"/>
      </rPr>
      <t>Laundry Service, Pool Bar, Safe Deposit Boxes, Snack Bar, Swimming Pool</t>
    </r>
    <r>
      <rPr>
        <i/>
        <sz val="10"/>
        <rFont val="Arial"/>
        <family val="2"/>
        <charset val="161"/>
      </rPr>
      <t xml:space="preserve">
Room Facilities: </t>
    </r>
    <r>
      <rPr>
        <sz val="10"/>
        <rFont val="Arial"/>
        <family val="2"/>
        <charset val="161"/>
      </rPr>
      <t>Air-condition, Direct-dial phone, Hairdryer, Kitchenette, Mini Fridge, Music, Telephone, Terrace</t>
    </r>
  </si>
  <si>
    <t>Bus station in front of the hotel. Busses every 30 minutes.</t>
  </si>
  <si>
    <t>Rhodes, Lindos</t>
  </si>
  <si>
    <t>Lindos Mare</t>
  </si>
  <si>
    <t>Rooms 164</t>
  </si>
  <si>
    <t>Rooms 301</t>
  </si>
  <si>
    <t>Rooms 197</t>
  </si>
  <si>
    <t>Rooms 216</t>
  </si>
  <si>
    <t>Rooms 110 , Junior Suites 40</t>
  </si>
  <si>
    <t>Rooms 144 , Junior Suites 10</t>
  </si>
  <si>
    <t>Plaza Best Western</t>
  </si>
  <si>
    <t>7, Ierou Lochou, Rhodes, Rhodes Town</t>
  </si>
  <si>
    <t>300 m. from Eli Beach</t>
  </si>
  <si>
    <t>Meteora</t>
  </si>
  <si>
    <t>Theopetra</t>
  </si>
  <si>
    <t xml:space="preserve">Naoussa/Lefkes/Parasporos/Pounta or V.V. </t>
  </si>
  <si>
    <t xml:space="preserve">Dryos/Pisso Livadi/Chryssi Akti/St. Maria/Logaras or V.V. </t>
  </si>
  <si>
    <t xml:space="preserve">Aliki/Airport or V.V. </t>
  </si>
  <si>
    <t xml:space="preserve">Port  </t>
  </si>
  <si>
    <t xml:space="preserve">Skala or V.V. </t>
  </si>
  <si>
    <t>Grikos/Kampos or V.V.</t>
  </si>
  <si>
    <t>Rates</t>
  </si>
  <si>
    <t xml:space="preserve">Rhodes Town/Ixia/Ialyssos or V.V. </t>
  </si>
  <si>
    <t>Kallithea/Faliraki/Koskinou/Reni or V.V.</t>
  </si>
  <si>
    <t xml:space="preserve">Kolymbia/Archangelos/Afandou or V.V. </t>
  </si>
  <si>
    <t xml:space="preserve">Lindos/Pefkos/Lardos/Kiotari or V.V. </t>
  </si>
  <si>
    <t>Pythagorion/Potokaki/Puntes or V.V.</t>
  </si>
  <si>
    <t>Samos Town/Posidonio/Kerveli/Psili Ammos/Kokkari/Ag. Konstantinos or V.V.</t>
  </si>
  <si>
    <t>Karlovassi/Kampos Marathokampos/Balos/Limnionas or V.V.</t>
  </si>
  <si>
    <t xml:space="preserve">Samos Port </t>
  </si>
  <si>
    <t>Samos Town/Kalami or V.V.</t>
  </si>
  <si>
    <t>Pythagorion/Kokkari/Karlovassi/Puntes/Psili Ammos/Kerveli/Possidonio or V.V.</t>
  </si>
  <si>
    <t>Limnionas/Kampos Marathokampos or V.V.</t>
  </si>
  <si>
    <t xml:space="preserve">Pythagorion Port </t>
  </si>
  <si>
    <t xml:space="preserve">Pythagorion or V.V. </t>
  </si>
  <si>
    <t xml:space="preserve">Kokkari or V.V. </t>
  </si>
  <si>
    <t xml:space="preserve">Karlovassi Port </t>
  </si>
  <si>
    <t xml:space="preserve">Karlovassi or V.V. </t>
  </si>
  <si>
    <t xml:space="preserve">Kampos Marathokampos/Balos or V.V. </t>
  </si>
  <si>
    <t>Port  or Airport</t>
  </si>
  <si>
    <t>All destinations except Oia/Perissa/Vlychada/Perivolos V.V.</t>
  </si>
  <si>
    <t>Oia or V.V</t>
  </si>
  <si>
    <t>Perisa/Vlychada/Perivolos or V.V</t>
  </si>
  <si>
    <t xml:space="preserve">All destinations except Aghia Paraskevi/Koukounaries or V.V. </t>
  </si>
  <si>
    <t xml:space="preserve">Aghia Paraskevi/Koukounaries or V.V. </t>
  </si>
  <si>
    <t xml:space="preserve">Skopelos Town or V.V. </t>
  </si>
  <si>
    <t xml:space="preserve">Stafylos or V.V. </t>
  </si>
  <si>
    <t>Panormos or V.V.</t>
  </si>
  <si>
    <t xml:space="preserve">Thessaloniki or V.V. </t>
  </si>
  <si>
    <t xml:space="preserve">Laganas/Kalamaki/Argassi/Zante Town/Tsivili or V.V. </t>
  </si>
  <si>
    <t>Vassilikos/Alykes/Alykanas/Keri/Lithakia/Kipseli/Tsamis/Porto Koukla or V.V.</t>
  </si>
  <si>
    <t xml:space="preserve">Skinari Port/Volimes or V.V. </t>
  </si>
  <si>
    <t>NOTE: All above rates are per PERSON per way</t>
  </si>
  <si>
    <t xml:space="preserve">Hotel facilities: Outdoor infinity-edge pool, Pool Bar, Gourmet Restaurant Wine Cave
Room facilities: A/C, Satellite TV, Safe, Direct dial phone, Mini bar, Hairdryer
</t>
  </si>
  <si>
    <t>74 Standard Rooms</t>
  </si>
  <si>
    <t>65 Standard Rooms</t>
  </si>
  <si>
    <t>14Km from Skiathos</t>
  </si>
  <si>
    <t>Megali  Ammos</t>
  </si>
  <si>
    <t>20 Standard Rooms</t>
  </si>
  <si>
    <t>7 Standard Rooms</t>
  </si>
  <si>
    <t>241 Standard Rooms, 29 Suites, 7 De Lux Villas, 5 Executive Villas, 5 Superior Villas, 2 Presidential Villas</t>
  </si>
  <si>
    <t>405 Standard Rooms</t>
  </si>
  <si>
    <t>211 Standard Rooms, 69 Grand Suites &amp; Maisonettes</t>
  </si>
  <si>
    <t>Ixia Beach</t>
  </si>
  <si>
    <t>333 Standard Rooms, 33 Junior Suites, 7 1Bedroom Suites</t>
  </si>
  <si>
    <t>Haritou Square, Rhodes, Rhodes Town</t>
  </si>
  <si>
    <t>95 Standard Rooms</t>
  </si>
  <si>
    <t>145 Standard Rooms, 136 Family Rooms with Kitchenettes</t>
  </si>
  <si>
    <t>124 Standard Rooms</t>
  </si>
  <si>
    <t>Oia</t>
  </si>
  <si>
    <t>19 Suites</t>
  </si>
  <si>
    <t>6 Standard Rooms, 1 Master Suite, 3 Maisonettes</t>
  </si>
  <si>
    <t>18 Suites</t>
  </si>
  <si>
    <t xml:space="preserve">Santorini, Perivolas </t>
  </si>
  <si>
    <t>71 Standard Rooms, 14 Suites &amp; Maisonettes</t>
  </si>
  <si>
    <t>Imerovigli</t>
  </si>
  <si>
    <t>22 Apts</t>
  </si>
  <si>
    <t>57 Standard Rooms, 10 Studios, 28 Junior Suites</t>
  </si>
  <si>
    <t>23 Studios &amp; Suites</t>
  </si>
  <si>
    <t>6 Studios, 9 Apts</t>
  </si>
  <si>
    <t>18 Standard Rooms, 18 Suites</t>
  </si>
  <si>
    <t>GENERAL INFORMATIONS &amp; CONDITIONS</t>
  </si>
  <si>
    <t>BANK DETAILS</t>
  </si>
  <si>
    <t>Kontokali Bay</t>
  </si>
  <si>
    <t>Corfu, Kontokali</t>
  </si>
  <si>
    <t>Best Western Pythagorion</t>
  </si>
  <si>
    <t>16, Bouboulinas Street, Moussio</t>
  </si>
  <si>
    <t>01/05-31/07</t>
  </si>
  <si>
    <t>Rooms 369</t>
  </si>
  <si>
    <t>Rooms 75</t>
  </si>
  <si>
    <t xml:space="preserve">Hotel facilities: Cave dinner restaurant, pool lounge and cocktail bar, out door swimming pool, indoor heated plunge pool, indoor Jacuzzi and steam room, Spa treatment.
Room facilities: air condition, satellite TV, direct dial phone, safety deposit box, mini bar, hair dryer, luxurious bath amenities
</t>
  </si>
  <si>
    <t>Notes: Children Under 14 Years Old Are NOT Accepted.</t>
  </si>
  <si>
    <t>16/06-15/09</t>
  </si>
  <si>
    <t>Nomikos Villas</t>
  </si>
  <si>
    <t>Firostefani</t>
  </si>
  <si>
    <t xml:space="preserve">Triple </t>
  </si>
  <si>
    <t>Hersonissos Maris</t>
  </si>
  <si>
    <t>16/07-15/09</t>
  </si>
  <si>
    <t xml:space="preserve"> Cat. 3* </t>
  </si>
  <si>
    <t xml:space="preserve">Cat. 3* </t>
  </si>
  <si>
    <t xml:space="preserve">Cat. 4* </t>
  </si>
  <si>
    <t xml:space="preserve">Cat. 5* </t>
  </si>
  <si>
    <t>Restored Traditional Houses.</t>
  </si>
  <si>
    <r>
      <t>Hotel Facilities: 2</t>
    </r>
    <r>
      <rPr>
        <sz val="10"/>
        <rFont val="Arial"/>
        <family val="2"/>
        <charset val="161"/>
      </rPr>
      <t xml:space="preserve"> Restaurants, A/C throughout, Bar, Basketball Court, Business Centre, Children’s Playground, Convention Facilities, Indoor Swimming Pool,Jacuzzi, Lounge, Outdoor Swimming Pool, Pool Snack Bar, Room Service, Tennis, Valet, Water Sports</t>
    </r>
    <r>
      <rPr>
        <i/>
        <sz val="10"/>
        <rFont val="Arial"/>
        <family val="2"/>
        <charset val="161"/>
      </rPr>
      <t xml:space="preserve">
Room Facilities: </t>
    </r>
    <r>
      <rPr>
        <sz val="10"/>
        <rFont val="Arial"/>
        <family val="2"/>
        <charset val="161"/>
      </rPr>
      <t>Balcony with View, Direct-dial phone, Hairdryer, In-house Movies, ISDN Lines, Mini Bar, Port data, Radio, Safe Box, TV, Voice Mail</t>
    </r>
  </si>
  <si>
    <r>
      <t>Hotel Facilities: 2</t>
    </r>
    <r>
      <rPr>
        <sz val="10"/>
        <rFont val="Arial"/>
        <family val="2"/>
        <charset val="161"/>
      </rPr>
      <t xml:space="preserve"> Bars, 2 Restaurants, A/C throughout, Business Centre, Coffee Shop, Conference Facilities, Indoor Swimming Pool, Laundry &amp; Valet service, Outdoor Swimming Pool, Room Service</t>
    </r>
    <r>
      <rPr>
        <i/>
        <sz val="10"/>
        <rFont val="Arial"/>
        <family val="2"/>
        <charset val="161"/>
      </rPr>
      <t xml:space="preserve">
Room Facilities: </t>
    </r>
    <r>
      <rPr>
        <sz val="10"/>
        <rFont val="Arial"/>
        <family val="2"/>
        <charset val="161"/>
      </rPr>
      <t>Direct-dial phone, ISDN Lines, Mini Bar, Safe Box, Satellite &amp; Cable TV, Voice Mail</t>
    </r>
  </si>
  <si>
    <r>
      <t xml:space="preserve">Hotel Facilities: </t>
    </r>
    <r>
      <rPr>
        <sz val="10"/>
        <rFont val="Arial"/>
        <family val="2"/>
        <charset val="161"/>
      </rPr>
      <t>Air-Condition, Bar, Central Heating, Restaurant, Swimming Pool</t>
    </r>
    <r>
      <rPr>
        <i/>
        <sz val="10"/>
        <rFont val="Arial"/>
        <family val="2"/>
        <charset val="161"/>
      </rPr>
      <t xml:space="preserve">
Room Facilities: </t>
    </r>
    <r>
      <rPr>
        <sz val="10"/>
        <rFont val="Arial"/>
        <family val="2"/>
        <charset val="161"/>
      </rPr>
      <t>3-Channel Music, Direct-dial phone, Hairdryer, Mini Bar, TV</t>
    </r>
  </si>
  <si>
    <r>
      <t xml:space="preserve">Hotel Facilities: </t>
    </r>
    <r>
      <rPr>
        <sz val="10"/>
        <rFont val="Arial"/>
        <family val="2"/>
        <charset val="161"/>
      </rPr>
      <t>A/C throughout, 2 Bar, 4 Restaurant, Outdoor Swimming Pool, Business Center, Laundry/Valet services, Health club, Shops, Bank/ATM</t>
    </r>
    <r>
      <rPr>
        <i/>
        <sz val="10"/>
        <rFont val="Arial"/>
        <family val="2"/>
        <charset val="161"/>
      </rPr>
      <t xml:space="preserve">
Room Facilities: Airconditioning, Satelline TV </t>
    </r>
  </si>
  <si>
    <r>
      <t xml:space="preserve">Hotel rates are strictly </t>
    </r>
    <r>
      <rPr>
        <b/>
        <i/>
        <sz val="9"/>
        <rFont val="Arial"/>
        <family val="2"/>
        <charset val="161"/>
      </rPr>
      <t>for Leisure Travellers</t>
    </r>
    <r>
      <rPr>
        <sz val="9"/>
        <rFont val="Arial"/>
        <family val="2"/>
        <charset val="161"/>
      </rPr>
      <t xml:space="preserve"> and are NOT valid for Groups &amp; Business Travellers.
</t>
    </r>
    <r>
      <rPr>
        <b/>
        <sz val="9"/>
        <rFont val="Arial"/>
        <family val="2"/>
        <charset val="161"/>
      </rPr>
      <t>Supplement</t>
    </r>
    <r>
      <rPr>
        <sz val="9"/>
        <rFont val="Arial"/>
        <family val="2"/>
        <charset val="161"/>
      </rPr>
      <t xml:space="preserve"> for higher rates will apply during events, exhibitions, holidays, congresses etc.
</t>
    </r>
    <r>
      <rPr>
        <b/>
        <sz val="9"/>
        <rFont val="Arial"/>
        <family val="2"/>
        <charset val="161"/>
      </rPr>
      <t>Supplement</t>
    </r>
    <r>
      <rPr>
        <sz val="9"/>
        <rFont val="Arial"/>
        <family val="2"/>
        <charset val="161"/>
      </rPr>
      <t xml:space="preserve"> of higher rates will apply for certain Nationalities etc.</t>
    </r>
  </si>
  <si>
    <t>YOUR REMITTANCE SHOULD BE FREE OF ANY/ALL</t>
  </si>
  <si>
    <t>BANKS' CHARGES AND FEES TO US.</t>
  </si>
  <si>
    <t>An administration fee of EURO 50 per person applies on all cancellations. Any cancellation and/or change within 60 days prior departure is subject to the following cancellation fee per person:
Cancellations received 60-45 days prior departure: EURO: 200
Cancellations received 45-20 days prior departure: 30% of total paid
Cancellations received 21-15 days prior departure: 50% of total paid
Cancellations received 14-8 days prior departure: 75% of total paid
Cancellations received 7 days or less prior departure: up to 100% of total paid
No valid for net rates given on groups, reduced special promotion packages etc which are subject to cancellations as per each case and according to special conditions might be 100% non refundable upon confirmation of booking.        
Should you run into a problem during your holiday, please inform our agent or us immediately, who will try to resolve the problem on the spot, since it is difficult to take effective action after your return. Any claims must be received prior the termination of the tour. No refund or adjustment will be made for any portion of the tour or services not used after the return to country of origin.</t>
  </si>
  <si>
    <t>A/C On Request at EURO 5.- Per Room Per Day.</t>
  </si>
  <si>
    <t>Notes: Air-Condition On Request at EURO 8.- Per Room Per Day.</t>
  </si>
  <si>
    <t>A/C On Request at EURO 8.- Per Room Per Day.</t>
  </si>
  <si>
    <t>Notes: Air Condition On Request at EURO 5.- Per Room Per Day.</t>
  </si>
  <si>
    <t>Notes: Air Condition Supplement of EURO 7.00.- Per Room Per Day.</t>
  </si>
  <si>
    <t>Notes: Air-Condition On Request at EURO 5.00.- Per Room Per Day.</t>
  </si>
  <si>
    <t>All  rates are in EURO per Taxi unless otherwise stated.
From 10 p.m. (22:00) to 7 a.m.(07:00) supplement 50% will apply.</t>
  </si>
  <si>
    <r>
      <t xml:space="preserve">Hotel Facilities: Main Restaurant, Gourmet Restaurant, Main Bar, Pool bar, Swimming pool, water sports, 24h </t>
    </r>
    <r>
      <rPr>
        <sz val="10"/>
        <rFont val="Arial"/>
        <family val="2"/>
        <charset val="161"/>
      </rPr>
      <t>Room Service, Business center</t>
    </r>
    <r>
      <rPr>
        <i/>
        <sz val="10"/>
        <rFont val="Arial"/>
        <family val="2"/>
        <charset val="161"/>
      </rPr>
      <t xml:space="preserve">
Room Facilities: A/C,  </t>
    </r>
    <r>
      <rPr>
        <sz val="10"/>
        <rFont val="Arial"/>
        <family val="2"/>
        <charset val="161"/>
      </rPr>
      <t>Direct-dial phone, Mini Bar, Satellite TV, Internet access</t>
    </r>
  </si>
  <si>
    <r>
      <t>Hotel Facilities: Lounge TV, Bar, Swimming pool, Pool bar, Children's playground, Parking
Room Facilities:</t>
    </r>
    <r>
      <rPr>
        <sz val="10"/>
        <rFont val="Arial"/>
        <family val="2"/>
        <charset val="161"/>
      </rPr>
      <t xml:space="preserve"> Shower, Telephone, Music, A/C, Fridge, Balcony</t>
    </r>
  </si>
  <si>
    <r>
      <t xml:space="preserve">Hotel Facilities: </t>
    </r>
    <r>
      <rPr>
        <sz val="10"/>
        <rFont val="Arial"/>
        <family val="2"/>
        <charset val="161"/>
      </rPr>
      <t>Bar, Children’s Pool, Conference Hall, Health Club, Parking, Pool Bar, Restaurant, Safe Deposit Boxes, Sauna, Sea Sports, Shops, Snack
Bar, Swimming Pool, Table Tennis, Tavern, TV Room</t>
    </r>
    <r>
      <rPr>
        <i/>
        <sz val="10"/>
        <rFont val="Arial"/>
        <family val="2"/>
        <charset val="161"/>
      </rPr>
      <t xml:space="preserve">
Room Facilities: </t>
    </r>
    <r>
      <rPr>
        <sz val="10"/>
        <rFont val="Arial"/>
        <family val="2"/>
        <charset val="161"/>
      </rPr>
      <t>Hairdryer, Mini Bar, Music, Telephone</t>
    </r>
  </si>
  <si>
    <r>
      <t>Hotel Facilities: Restaurant a la carte, Dinner buffet, Buffet breakfast, Snack bar, Pool bar, Internet access, 24h Reception, Sauna, Massage, Beauty salon, Swimming pool, Children's pool &amp; playroom, Fitness room, Car &amp; motorbike hire, Parking
Room Facilities:</t>
    </r>
    <r>
      <rPr>
        <sz val="10"/>
        <rFont val="Arial"/>
        <family val="2"/>
        <charset val="161"/>
      </rPr>
      <t xml:space="preserve"> Direct dial phone, Bath/Shower, Hairdryer, TV, Fridge, Kitchenette, Safe, Wake up call service, Veranda or patio with sea view</t>
    </r>
  </si>
  <si>
    <r>
      <t>Hotel Facilities: Bar – Restaurant, Breakfast hall, Room Service, Free Wireless internet access, Baby sitting service after arrangement, Tennis court 
Room Facilities:</t>
    </r>
    <r>
      <rPr>
        <sz val="10"/>
        <rFont val="Arial"/>
        <family val="2"/>
        <charset val="161"/>
      </rPr>
      <t xml:space="preserve"> Fully equipped kitchen, Bathroom, Hair dryer, Telephone, Satellite TV, Free Wireless Internet, Safe, Air conditioning, Heating</t>
    </r>
  </si>
  <si>
    <r>
      <t>Hotel Facilities: Wi-Fi Internet access, Buffet breakfast, Safe, Lounge with Satellite TV, Swimming Pool, Pool bar, Restaurant, Room service, Parking 
Room Facilities: A/C, Direct dial phone, Mini bar, Fridge, Music, Satellite TV, Internet access, Bath, Wake up call service, Balcony or Veranda</t>
    </r>
    <r>
      <rPr>
        <sz val="10"/>
        <rFont val="Arial"/>
        <family val="2"/>
        <charset val="161"/>
      </rPr>
      <t xml:space="preserve"> </t>
    </r>
  </si>
  <si>
    <r>
      <t>Hotel Facilities: Restaurant, Buffet breakfast, Snack bar, Pool bar, 24h Reception, Swimming pool, Room service, Lounge, Car &amp; motorbike hire, Safe at the reception, Laundry service
Room Facilities:</t>
    </r>
    <r>
      <rPr>
        <sz val="10"/>
        <rFont val="Arial"/>
        <family val="2"/>
        <charset val="161"/>
      </rPr>
      <t xml:space="preserve"> Bath/Shower, Hairdryer, TV, Fridge, Kitchenette at apts, Balcony-Veranda or Patio</t>
    </r>
  </si>
  <si>
    <t xml:space="preserve">  ARACHOVA ……….…………………………….. </t>
  </si>
  <si>
    <t xml:space="preserve">  AEGINA ………….……………………………….. </t>
  </si>
  <si>
    <t xml:space="preserve">  CEPHALONIA ……….……………………………</t>
  </si>
  <si>
    <t xml:space="preserve">  CHALKIDIKI  ..……….……………………………</t>
  </si>
  <si>
    <t xml:space="preserve">  DELPHI ...…………………………………………</t>
  </si>
  <si>
    <r>
      <t xml:space="preserve">Hotel Facilities: </t>
    </r>
    <r>
      <rPr>
        <sz val="10"/>
        <rFont val="Arial"/>
        <family val="2"/>
        <charset val="161"/>
      </rPr>
      <t>A/C throughout, Bar, Restaurant, Room Service</t>
    </r>
    <r>
      <rPr>
        <i/>
        <sz val="10"/>
        <rFont val="Arial"/>
        <family val="2"/>
        <charset val="161"/>
      </rPr>
      <t xml:space="preserve">
Room Facilities:</t>
    </r>
    <r>
      <rPr>
        <sz val="10"/>
        <rFont val="Arial"/>
        <family val="2"/>
        <charset val="161"/>
      </rPr>
      <t xml:space="preserve"> Direct-dial phone, Hairdryer, Magnifying Mirror, Music, Satellite TV</t>
    </r>
  </si>
  <si>
    <r>
      <t xml:space="preserve">Hotel Facilities: </t>
    </r>
    <r>
      <rPr>
        <sz val="10"/>
        <rFont val="Arial"/>
        <family val="2"/>
        <charset val="161"/>
      </rPr>
      <t xml:space="preserve">A/C throughout, Bar, Lobby lounge bar, Restaurant, Internet corner, Wi-Fi Internet access, Baby sitting, Car rental, Laundry &amp; Dry cleaning service, Room Service, Exchange, Excursion-city tours. Connecting &amp; non-smoking room available, Meeting &amp; Banquet facilities up to 450 persons, Secretarial service. Parking (nearby) </t>
    </r>
    <r>
      <rPr>
        <i/>
        <sz val="10"/>
        <rFont val="Arial"/>
        <family val="2"/>
        <charset val="161"/>
      </rPr>
      <t xml:space="preserve">
Room Facilities:</t>
    </r>
    <r>
      <rPr>
        <sz val="10"/>
        <rFont val="Arial"/>
        <family val="2"/>
        <charset val="161"/>
      </rPr>
      <t xml:space="preserve"> Direct-dial phone, Pay TV, Mini Bar, High speed internet access, Marble bath, Bathrobes, Hairdryer, Satellite TV</t>
    </r>
  </si>
  <si>
    <r>
      <t xml:space="preserve">Hotel Facilities: </t>
    </r>
    <r>
      <rPr>
        <sz val="10"/>
        <rFont val="Arial"/>
        <family val="2"/>
        <charset val="161"/>
      </rPr>
      <t>Fax facilities, Laundry Service, Roof Garden Restaurant, Safe Deposit Boxes, Twice daily Maid service</t>
    </r>
    <r>
      <rPr>
        <i/>
        <sz val="10"/>
        <rFont val="Arial"/>
        <family val="2"/>
        <charset val="161"/>
      </rPr>
      <t xml:space="preserve">
Room Facilities: </t>
    </r>
    <r>
      <rPr>
        <sz val="10"/>
        <rFont val="Arial"/>
        <family val="2"/>
        <charset val="161"/>
      </rPr>
      <t>Air-condition, Direct-dial phone, TV</t>
    </r>
  </si>
  <si>
    <r>
      <t xml:space="preserve">Hotel Facilities: </t>
    </r>
    <r>
      <rPr>
        <sz val="10"/>
        <rFont val="Arial"/>
        <family val="2"/>
        <charset val="161"/>
      </rPr>
      <t>Restaurant, Roof Garden bar-restaurant overlooking Acropolis, Coctail bar, Laundry Service, Fitness club, Sauna, 24h Room Services</t>
    </r>
    <r>
      <rPr>
        <i/>
        <sz val="10"/>
        <rFont val="Arial"/>
        <family val="2"/>
        <charset val="161"/>
      </rPr>
      <t xml:space="preserve">
Room Facilities:Sound proof with ai</t>
    </r>
    <r>
      <rPr>
        <sz val="10"/>
        <rFont val="Arial"/>
        <family val="2"/>
        <charset val="161"/>
      </rPr>
      <t>rconditioning, Direct-dial phone, Mini Bar, Satellite/pay TV, Internet access, safe, Stereo music.</t>
    </r>
  </si>
  <si>
    <t>45 km. from Rhodes Town, 30 m. from Vlyha Beach</t>
  </si>
  <si>
    <t>Mediterranean</t>
  </si>
  <si>
    <t>35, Kos Street, Rhodes, Rhodes Town</t>
  </si>
  <si>
    <t>700 m. from the port, 50 m. from the Beach, 14 km. from the airport</t>
  </si>
  <si>
    <t>Aldemar Knossos Royal Village</t>
  </si>
  <si>
    <t>Crete, Hersonissos</t>
  </si>
  <si>
    <t>Rooms 40</t>
  </si>
  <si>
    <t>Rooms 42</t>
  </si>
  <si>
    <t>Rooms 26 , Suites 3</t>
  </si>
  <si>
    <t>Astir Palace - The Westin Athens</t>
  </si>
  <si>
    <t>Divani Caravel</t>
  </si>
  <si>
    <t>2, Vass. Alexandrou Ave., Athens</t>
  </si>
  <si>
    <t>423 Standard Room(s), 2 Presidential Suite(s), 46 Suite(s)</t>
  </si>
  <si>
    <t>11/07-31/07</t>
  </si>
  <si>
    <t>20/09-30/09</t>
  </si>
  <si>
    <t>12/07-29/08</t>
  </si>
  <si>
    <t>Rooms 31</t>
  </si>
  <si>
    <t>Rooms 155</t>
  </si>
  <si>
    <t>Rooms 27</t>
  </si>
  <si>
    <t>Rooms 18</t>
  </si>
  <si>
    <t>Rooms 41</t>
  </si>
  <si>
    <t>Rooms 43</t>
  </si>
  <si>
    <t>Notes: Air-Condition Is Available Only For The Period 1/7-31/8</t>
  </si>
  <si>
    <t>Skiathos, Kanapitsa</t>
  </si>
  <si>
    <t>Santorini, Messaria</t>
  </si>
  <si>
    <t>Rooms 239</t>
  </si>
  <si>
    <t>12 km. from Corfu Town, 300 m. from Dassia Beach</t>
  </si>
  <si>
    <t xml:space="preserve">Cat. 4*     </t>
  </si>
  <si>
    <t>4, Rovertou Galli street , Athens</t>
  </si>
  <si>
    <t>90 Standard Room(s)</t>
  </si>
  <si>
    <t>5 minutes walking distance to Parthenon &amp; Plaka.</t>
  </si>
  <si>
    <t>Rhodes, Ixia</t>
  </si>
  <si>
    <t>Vienoula’s Garden</t>
  </si>
  <si>
    <t>Rooms 54 , Junior Suites 14 , Maisonettes 12</t>
  </si>
  <si>
    <t>Kamari Beach</t>
  </si>
  <si>
    <t>9 km. from Fira Town, 80 m. from Kamari Beach</t>
  </si>
  <si>
    <t>Fenix - Best Western</t>
  </si>
  <si>
    <t>1, Artemissiou street, Athens, Glyfada</t>
  </si>
  <si>
    <t>143 Standard Room(s)</t>
  </si>
  <si>
    <t>87 Standard Room(s)</t>
  </si>
  <si>
    <t>01/01-31/10</t>
  </si>
  <si>
    <t>29, Ifigenias &amp; Syngrou Str.</t>
  </si>
  <si>
    <t>Epirus Palace &amp; Congress Center</t>
  </si>
  <si>
    <t>SG</t>
  </si>
  <si>
    <t>DB</t>
  </si>
  <si>
    <t>TR</t>
  </si>
  <si>
    <r>
      <t>QD</t>
    </r>
    <r>
      <rPr>
        <sz val="10"/>
        <rFont val="Arial"/>
        <family val="2"/>
        <charset val="161"/>
      </rPr>
      <t xml:space="preserve"> </t>
    </r>
  </si>
  <si>
    <t>PR</t>
  </si>
  <si>
    <r>
      <t xml:space="preserve">ή </t>
    </r>
    <r>
      <rPr>
        <sz val="10"/>
        <rFont val="Arial"/>
        <family val="2"/>
        <charset val="161"/>
      </rPr>
      <t>Per Person</t>
    </r>
  </si>
  <si>
    <r>
      <t xml:space="preserve">ή </t>
    </r>
    <r>
      <rPr>
        <sz val="10"/>
        <rFont val="Arial"/>
        <family val="2"/>
        <charset val="161"/>
      </rPr>
      <t>Per Room</t>
    </r>
  </si>
  <si>
    <r>
      <t>ή</t>
    </r>
    <r>
      <rPr>
        <sz val="10"/>
        <rFont val="Arial"/>
        <family val="2"/>
        <charset val="161"/>
      </rPr>
      <t xml:space="preserve"> Single</t>
    </r>
  </si>
  <si>
    <r>
      <t>ή</t>
    </r>
    <r>
      <rPr>
        <sz val="10"/>
        <rFont val="Arial"/>
        <family val="2"/>
        <charset val="161"/>
      </rPr>
      <t xml:space="preserve"> Double</t>
    </r>
  </si>
  <si>
    <r>
      <t xml:space="preserve">ή </t>
    </r>
    <r>
      <rPr>
        <sz val="10"/>
        <rFont val="Arial"/>
        <family val="2"/>
        <charset val="161"/>
      </rPr>
      <t>Triple</t>
    </r>
  </si>
  <si>
    <r>
      <t>ή</t>
    </r>
    <r>
      <rPr>
        <sz val="10"/>
        <rFont val="Arial"/>
        <family val="2"/>
        <charset val="161"/>
      </rPr>
      <t xml:space="preserve"> Quadruple</t>
    </r>
  </si>
  <si>
    <r>
      <t xml:space="preserve">ή </t>
    </r>
    <r>
      <rPr>
        <sz val="10"/>
        <rFont val="Arial"/>
        <family val="2"/>
        <charset val="161"/>
      </rPr>
      <t>Studio or Suite for 1 Pax</t>
    </r>
  </si>
  <si>
    <r>
      <t>ή</t>
    </r>
    <r>
      <rPr>
        <sz val="10"/>
        <rFont val="Arial"/>
        <family val="2"/>
        <charset val="161"/>
      </rPr>
      <t xml:space="preserve"> Studio or Suite for 2 Pax</t>
    </r>
  </si>
  <si>
    <r>
      <t>ή</t>
    </r>
    <r>
      <rPr>
        <sz val="10"/>
        <rFont val="Arial"/>
        <family val="2"/>
        <charset val="161"/>
      </rPr>
      <t xml:space="preserve"> Studio or Suite for 3 Pax</t>
    </r>
  </si>
  <si>
    <r>
      <t>ή</t>
    </r>
    <r>
      <rPr>
        <sz val="10"/>
        <rFont val="Arial"/>
        <family val="2"/>
        <charset val="161"/>
      </rPr>
      <t xml:space="preserve"> Studio or Suite for 4 Pax</t>
    </r>
  </si>
  <si>
    <r>
      <t>ή</t>
    </r>
    <r>
      <rPr>
        <sz val="10"/>
        <rFont val="Arial"/>
        <family val="2"/>
        <charset val="161"/>
      </rPr>
      <t xml:space="preserve"> Studio or Suite for 5 Pax</t>
    </r>
  </si>
  <si>
    <t>A2</t>
  </si>
  <si>
    <r>
      <t>A3</t>
    </r>
    <r>
      <rPr>
        <sz val="10"/>
        <rFont val="Arial"/>
        <family val="2"/>
        <charset val="161"/>
      </rPr>
      <t xml:space="preserve"> </t>
    </r>
  </si>
  <si>
    <t>A4</t>
  </si>
  <si>
    <t>Naxos Resort</t>
  </si>
  <si>
    <r>
      <t xml:space="preserve">Hotel Facilities: </t>
    </r>
    <r>
      <rPr>
        <sz val="10"/>
        <rFont val="Arial"/>
        <family val="2"/>
        <charset val="161"/>
      </rPr>
      <t>A/C throughout, Beauty Salon, Central Heating, Conference Rooms, Fitness Club, Garden Swimming pool, Grill room with bar, Hairdresser, Laundry &amp; Dry Cleaning service, Main Bar, Parking, Pool Bar, Restaurant, Room Service, Sauna, Shopping Arcade</t>
    </r>
    <r>
      <rPr>
        <i/>
        <sz val="10"/>
        <rFont val="Arial"/>
        <family val="2"/>
        <charset val="161"/>
      </rPr>
      <t xml:space="preserve">
Room Facilities: </t>
    </r>
    <r>
      <rPr>
        <sz val="10"/>
        <rFont val="Arial"/>
        <family val="2"/>
        <charset val="161"/>
      </rPr>
      <t>Direct-dial phone, Mini Bar, Satellite TV, Sound-proofing</t>
    </r>
  </si>
  <si>
    <r>
      <t>Hotel Facilities:</t>
    </r>
    <r>
      <rPr>
        <sz val="10"/>
        <rFont val="Arial"/>
        <family val="2"/>
        <charset val="161"/>
      </rPr>
      <t xml:space="preserve"> A/C throughout, Bank, Boutique, Business Facilities, Cocktail Bar, Conference Facilities, Gift Shop, Internet, Restaurant &amp; Garden, Restaurant with Acropolis view, Roof-top Swimming Pool</t>
    </r>
    <r>
      <rPr>
        <i/>
        <sz val="10"/>
        <rFont val="Arial"/>
        <family val="2"/>
        <charset val="161"/>
      </rPr>
      <t xml:space="preserve">
Room Facilities: </t>
    </r>
    <r>
      <rPr>
        <sz val="10"/>
        <rFont val="Arial"/>
        <family val="2"/>
        <charset val="161"/>
      </rPr>
      <t>Direct-dial phone, In-house Movies, Satellite TV, Voice Mail</t>
    </r>
  </si>
  <si>
    <r>
      <t xml:space="preserve">Hotel Facilities: </t>
    </r>
    <r>
      <rPr>
        <sz val="10"/>
        <rFont val="Arial"/>
        <family val="2"/>
        <charset val="161"/>
      </rPr>
      <t>A/C throughout, Business Centre, Cafe, Internet, 3 Restaurant, Parking</t>
    </r>
    <r>
      <rPr>
        <i/>
        <sz val="10"/>
        <rFont val="Arial"/>
        <family val="2"/>
        <charset val="161"/>
      </rPr>
      <t xml:space="preserve">
Room Facilities:Data ports for e-mail PC &amp; Fax modem,</t>
    </r>
    <r>
      <rPr>
        <sz val="10"/>
        <rFont val="Arial"/>
        <family val="2"/>
        <charset val="161"/>
      </rPr>
      <t xml:space="preserve"> Direct-dial phone, Mini Bar, Pay TV, Radio, Safe Box, Satellite TV, Sound-proofing.</t>
    </r>
  </si>
  <si>
    <r>
      <t xml:space="preserve">Hotel Facilities: A/C, </t>
    </r>
    <r>
      <rPr>
        <sz val="10"/>
        <rFont val="Arial"/>
        <family val="2"/>
        <charset val="161"/>
      </rPr>
      <t>Bar, Restaurant, Room Service, Beach bar, Childrens playground, Parking</t>
    </r>
    <r>
      <rPr>
        <i/>
        <sz val="10"/>
        <rFont val="Arial"/>
        <family val="2"/>
        <charset val="161"/>
      </rPr>
      <t xml:space="preserve">
Room Facilities:</t>
    </r>
    <r>
      <rPr>
        <sz val="10"/>
        <rFont val="Arial"/>
        <family val="2"/>
        <charset val="161"/>
      </rPr>
      <t xml:space="preserve"> Direct-dial phone, Mini Bar, Satellite TV, Hairdryer</t>
    </r>
  </si>
  <si>
    <t>Oscar</t>
  </si>
  <si>
    <t>25, Filadelfias &amp; Samou Streets</t>
  </si>
  <si>
    <t>162 Standard Room(s), 2 Suite(s)</t>
  </si>
  <si>
    <t>170 Standard Room(s), 34 Suite(s)</t>
  </si>
  <si>
    <t>QB</t>
  </si>
  <si>
    <t>5 km. from RhodesTown, 200 m. from Ixia Beach</t>
  </si>
  <si>
    <t>10 km. from Rhodes Town, 50 m. from Ialyssos Beach</t>
  </si>
  <si>
    <t>Opposite Antiparos, 8 km. from Parikia Town, 4 km. from the airport</t>
  </si>
  <si>
    <t>Narges</t>
  </si>
  <si>
    <t>Paros, Alyki</t>
  </si>
  <si>
    <t>Studios 16 , Apartments 5 , Honeymoon Suite 1 , Trad Honeymoon Windmill 1</t>
  </si>
  <si>
    <t>Studios 11 , Apartments 15 , Honeymoon Suites 2</t>
  </si>
  <si>
    <t>300 m. from Agia Anna Beach</t>
  </si>
  <si>
    <t>Paros, Naoussa</t>
  </si>
  <si>
    <t>Studios 12</t>
  </si>
  <si>
    <t>Santorini, Kamari</t>
  </si>
  <si>
    <t>4 km. from Mykonos Town, 300 m. from Ornos Beach</t>
  </si>
  <si>
    <t>Myconos Grand Resort</t>
  </si>
  <si>
    <t>01/10-15/10</t>
  </si>
  <si>
    <t>10/09-30/09</t>
  </si>
  <si>
    <r>
      <t xml:space="preserve">Hotel Facilities: </t>
    </r>
    <r>
      <rPr>
        <sz val="10"/>
        <rFont val="Arial"/>
        <family val="2"/>
        <charset val="161"/>
      </rPr>
      <t xml:space="preserve">Bar, Airconditioned, Restaurant, Room Service, Central heating, Bussiness center, Free wireless internet access, Laundry &amp; Dry cleaning services, Parking </t>
    </r>
    <r>
      <rPr>
        <i/>
        <sz val="10"/>
        <rFont val="Arial"/>
        <family val="2"/>
        <charset val="161"/>
      </rPr>
      <t xml:space="preserve">
Room Facilities: </t>
    </r>
    <r>
      <rPr>
        <sz val="10"/>
        <rFont val="Arial"/>
        <family val="2"/>
        <charset val="161"/>
      </rPr>
      <t xml:space="preserve">Direct-dial phone, Satelline TV, Mini bar, Safe, Hairdryer </t>
    </r>
  </si>
  <si>
    <r>
      <t xml:space="preserve">Hotel Facilities: </t>
    </r>
    <r>
      <rPr>
        <sz val="10"/>
        <rFont val="Arial"/>
        <family val="2"/>
        <charset val="161"/>
      </rPr>
      <t>Air-Condition, Cafe, Conference Rooms, Parking, Piano bar with Acropolis view, Restaurant, Room Service</t>
    </r>
    <r>
      <rPr>
        <i/>
        <sz val="10"/>
        <rFont val="Arial"/>
        <family val="2"/>
        <charset val="161"/>
      </rPr>
      <t xml:space="preserve">
Room Facilities: </t>
    </r>
    <r>
      <rPr>
        <sz val="10"/>
        <rFont val="Arial"/>
        <family val="2"/>
        <charset val="161"/>
      </rPr>
      <t>Bathrooms with phone devices, Hairdryer, In-house Movies, Mini Bar, Safe Box, Satellite TV</t>
    </r>
  </si>
  <si>
    <r>
      <t xml:space="preserve">Hotel Facilities: </t>
    </r>
    <r>
      <rPr>
        <sz val="10"/>
        <rFont val="Arial"/>
        <family val="2"/>
        <charset val="161"/>
      </rPr>
      <t xml:space="preserve">Telephone services, 24 hours message center, 24 hours fax center, Currency services at the front desk, Foreign currency &amp; travellers cheque exchange on 24 hour basis, Laundry &amp; dry cleaning delivery from 8:00 am till 23:00 pm except weekends, Luggage storage, Medical attention, Baby sitting </t>
    </r>
    <r>
      <rPr>
        <i/>
        <sz val="10"/>
        <rFont val="Arial"/>
        <family val="2"/>
        <charset val="161"/>
      </rPr>
      <t xml:space="preserve">
Room Facilities: </t>
    </r>
    <r>
      <rPr>
        <sz val="10"/>
        <rFont val="Arial"/>
        <family val="2"/>
        <charset val="161"/>
      </rPr>
      <t>Fully air conditioned, Direct dial telephone, TV, Pay-TV system, Radio, Private bathrooms with hairdryers, Most rooms with refrigarators</t>
    </r>
  </si>
  <si>
    <r>
      <t>Hotel Facilities:</t>
    </r>
    <r>
      <rPr>
        <sz val="10"/>
        <rFont val="Arial"/>
        <family val="2"/>
        <charset val="161"/>
      </rPr>
      <t xml:space="preserve"> A/C throughout, Room Service</t>
    </r>
    <r>
      <rPr>
        <i/>
        <sz val="10"/>
        <rFont val="Arial"/>
        <family val="2"/>
        <charset val="161"/>
      </rPr>
      <t xml:space="preserve">
Room Facilities: </t>
    </r>
    <r>
      <rPr>
        <sz val="10"/>
        <rFont val="Arial"/>
        <family val="2"/>
        <charset val="161"/>
      </rPr>
      <t>Direct-dial phone, Mini Bar, Satellite TV</t>
    </r>
  </si>
  <si>
    <r>
      <t>Hotel Facilities:</t>
    </r>
    <r>
      <rPr>
        <sz val="10"/>
        <rFont val="Arial"/>
        <family val="2"/>
        <charset val="161"/>
      </rPr>
      <t xml:space="preserve"> A/C throughout, Café bar, Internet corner, Fax services</t>
    </r>
    <r>
      <rPr>
        <i/>
        <sz val="10"/>
        <rFont val="Arial"/>
        <family val="2"/>
        <charset val="161"/>
      </rPr>
      <t xml:space="preserve">
Room Facilities: </t>
    </r>
    <r>
      <rPr>
        <sz val="10"/>
        <rFont val="Arial"/>
        <family val="2"/>
        <charset val="161"/>
      </rPr>
      <t>Direct-dial phone, Sound proof with Mini Bar, Satellite TV, Hairdryer, Safe, Iron &amp; Ironing board, Internet access</t>
    </r>
  </si>
  <si>
    <r>
      <t xml:space="preserve">Hotel Facilities: </t>
    </r>
    <r>
      <rPr>
        <sz val="10"/>
        <rFont val="Arial"/>
        <family val="2"/>
        <charset val="161"/>
      </rPr>
      <t>Cafe-Brasserie, Conference Rooms, Grill for the summer, Health Club, Lounge Bar, Massage, Piano Bar, Pool Bar, Room Service, Sauna,
Solarium, Steam-bath, Swimming Pool, Swimming Pool with Jacuzzi</t>
    </r>
    <r>
      <rPr>
        <i/>
        <sz val="10"/>
        <rFont val="Arial"/>
        <family val="2"/>
        <charset val="161"/>
      </rPr>
      <t xml:space="preserve">
Room Facilities: </t>
    </r>
    <r>
      <rPr>
        <sz val="10"/>
        <rFont val="Arial"/>
        <family val="2"/>
        <charset val="161"/>
      </rPr>
      <t>Air-condition, Balcony, Direct-dial phone, Jacuzzi, Mini Bar, Mini Safe, Satellite TV, Voice Mail</t>
    </r>
  </si>
  <si>
    <r>
      <t xml:space="preserve">Hotel Facilities: </t>
    </r>
    <r>
      <rPr>
        <sz val="10"/>
        <rFont val="Arial"/>
        <family val="2"/>
        <charset val="161"/>
      </rPr>
      <t>Air-Condition in common areas, Bar, Restaurant, Sea Sports, Shops, Snack Bar, TV Room</t>
    </r>
    <r>
      <rPr>
        <i/>
        <sz val="10"/>
        <rFont val="Arial"/>
        <family val="2"/>
        <charset val="161"/>
      </rPr>
      <t xml:space="preserve">
Room Facilities:</t>
    </r>
    <r>
      <rPr>
        <sz val="10"/>
        <rFont val="Arial"/>
        <family val="2"/>
        <charset val="161"/>
      </rPr>
      <t xml:space="preserve"> Air-condition, Color TV, Mini Fridge, Music, Telephone</t>
    </r>
  </si>
  <si>
    <r>
      <t xml:space="preserve">Hotel Facilities: </t>
    </r>
    <r>
      <rPr>
        <sz val="10"/>
        <rFont val="Arial"/>
        <family val="2"/>
        <charset val="161"/>
      </rPr>
      <t>Air-Condition in common areas, Bar, Billiards, Children’s Pool, Golf Course, Hair Salon, Laundry Service, Mini Golf, Mini Market, Pool Bar,
Restaurant, Safe Deposit Boxes, Sea Sports, Snack Bar, Swimming Pool, Table Tennis, Tennis Court, TV Room</t>
    </r>
    <r>
      <rPr>
        <i/>
        <sz val="10"/>
        <rFont val="Arial"/>
        <family val="2"/>
        <charset val="161"/>
      </rPr>
      <t xml:space="preserve">
Room Facilities: </t>
    </r>
    <r>
      <rPr>
        <sz val="10"/>
        <rFont val="Arial"/>
        <family val="2"/>
        <charset val="161"/>
      </rPr>
      <t>Air-condition, Mini Fridge, Safe Box, Satellite Color TV, Telephone</t>
    </r>
  </si>
  <si>
    <r>
      <t>Hotel Facilities: 2</t>
    </r>
    <r>
      <rPr>
        <sz val="10"/>
        <rFont val="Arial"/>
        <family val="2"/>
        <charset val="161"/>
      </rPr>
      <t xml:space="preserve"> Outdoor Swimming Pools, Baby Sitting, Children’s Playground, Games Rooms, Main Bar, Main Restaurant, Mini Golf, Pool Bar, Reception,
Safe Deposit Boxes, Shopping Arcade, Snack Bar, Sun beds/Umbrellas, Tennis Court, TV Room, Water Sports</t>
    </r>
    <r>
      <rPr>
        <i/>
        <sz val="10"/>
        <rFont val="Arial"/>
        <family val="2"/>
        <charset val="161"/>
      </rPr>
      <t xml:space="preserve">
Room Facilities: </t>
    </r>
    <r>
      <rPr>
        <sz val="10"/>
        <rFont val="Arial"/>
        <family val="2"/>
        <charset val="161"/>
      </rPr>
      <t>Air-condition, Balcony, Fridge, Music, Telephone</t>
    </r>
  </si>
  <si>
    <r>
      <t>Hotel Facilities:</t>
    </r>
    <r>
      <rPr>
        <sz val="10"/>
        <rFont val="Arial"/>
        <family val="2"/>
        <charset val="161"/>
      </rPr>
      <t xml:space="preserve"> Air-Condition in common areas, Bar, Restaurant, Safe Deposit Boxes, Snack Bar, TV Room</t>
    </r>
    <r>
      <rPr>
        <i/>
        <sz val="10"/>
        <rFont val="Arial"/>
        <family val="2"/>
        <charset val="161"/>
      </rPr>
      <t xml:space="preserve">
Room Facilities: </t>
    </r>
    <r>
      <rPr>
        <sz val="10"/>
        <rFont val="Arial"/>
        <family val="2"/>
        <charset val="161"/>
      </rPr>
      <t>Air-condition, Hairdryer, Mini Fridge, Music, Satellite Color TV, Telephone</t>
    </r>
  </si>
  <si>
    <r>
      <t xml:space="preserve">Hotel Facilities: </t>
    </r>
    <r>
      <rPr>
        <sz val="10"/>
        <rFont val="Arial"/>
        <family val="2"/>
        <charset val="161"/>
      </rPr>
      <t>Air-Condition in common areas, Animation, Baby Sitting, Bar, Billiards, Card room, Central Heating, Children’s Playground, Children’s Pool,
Fresh-water swimming pool, Gym, Hydromassage, Laundry Service, Massage, Mini Golf, Mini Market, Parking, Restaurant, Room Service, Safe Box, Sauna, Scuba Diving, Snack Bar, Table Tennis, Tennis Court, TV Lounge, Video Games, Volley</t>
    </r>
    <r>
      <rPr>
        <i/>
        <sz val="10"/>
        <rFont val="Arial"/>
        <family val="2"/>
        <charset val="161"/>
      </rPr>
      <t xml:space="preserve">
Room Facilities: </t>
    </r>
    <r>
      <rPr>
        <sz val="10"/>
        <rFont val="Arial"/>
        <family val="2"/>
        <charset val="161"/>
      </rPr>
      <t>Balcony or Terrace, Direct-dial phone, Fridge, In-house Music</t>
    </r>
  </si>
  <si>
    <r>
      <t xml:space="preserve">Hotel Facilities: </t>
    </r>
    <r>
      <rPr>
        <sz val="10"/>
        <rFont val="Arial"/>
        <family val="2"/>
        <charset val="161"/>
      </rPr>
      <t>Air-Condition in common areas, Boutique, Central Heating, Children’s Pool, Entertainment Team, Fresh-water swimming pool, Games
Rooms, Jewelry Shop, Main Bar, Mini Market, Pool Bar, Restaurant, Room Service, Snack Bar, Souvenir Shop, TV-Video Room, Water Sports</t>
    </r>
    <r>
      <rPr>
        <i/>
        <sz val="10"/>
        <rFont val="Arial"/>
        <family val="2"/>
        <charset val="161"/>
      </rPr>
      <t xml:space="preserve">
Room Facilities: </t>
    </r>
    <r>
      <rPr>
        <sz val="10"/>
        <rFont val="Arial"/>
        <family val="2"/>
        <charset val="161"/>
      </rPr>
      <t>Air-condition, Mini Fridge, Music, Telephone</t>
    </r>
  </si>
  <si>
    <r>
      <t xml:space="preserve">Hotel Facilities: </t>
    </r>
    <r>
      <rPr>
        <sz val="10"/>
        <rFont val="Arial"/>
        <family val="2"/>
        <charset val="161"/>
      </rPr>
      <t>Air-Condition in common areas, Cafe-Brasserie, Conference Hall, Meeting &amp; Banquet Facilities, Piano Bar, Pool Bar, Restaurant, Room
Service, Swimming Pool, Underground Passage To Beach</t>
    </r>
    <r>
      <rPr>
        <i/>
        <sz val="10"/>
        <rFont val="Arial"/>
        <family val="2"/>
        <charset val="161"/>
      </rPr>
      <t xml:space="preserve">
Room Facilities: </t>
    </r>
    <r>
      <rPr>
        <sz val="10"/>
        <rFont val="Arial"/>
        <family val="2"/>
        <charset val="161"/>
      </rPr>
      <t>Air-condition, Balcony, Direct-dial phone, Mini Bar, Satellite Color TV</t>
    </r>
  </si>
  <si>
    <r>
      <t xml:space="preserve">Hotel Facilities: </t>
    </r>
    <r>
      <rPr>
        <sz val="10"/>
        <rFont val="Arial"/>
        <family val="2"/>
        <charset val="161"/>
      </rPr>
      <t>Air-Condition, Bar, Mini Market, Pool Bar, Restaurant, Room Service, Safe Deposit Boxes, Snack Bar, Swimming Pool, Table Tennis</t>
    </r>
    <r>
      <rPr>
        <i/>
        <sz val="10"/>
        <rFont val="Arial"/>
        <family val="2"/>
        <charset val="161"/>
      </rPr>
      <t xml:space="preserve">
Room Facilities: </t>
    </r>
    <r>
      <rPr>
        <sz val="10"/>
        <rFont val="Arial"/>
        <family val="2"/>
        <charset val="161"/>
      </rPr>
      <t>Air-condition, Direct-dial phone, Hairdryer, Mini Fridge, Music, Satellite Color TV</t>
    </r>
  </si>
  <si>
    <r>
      <t xml:space="preserve">Hotel Facilities: </t>
    </r>
    <r>
      <rPr>
        <sz val="10"/>
        <rFont val="Arial"/>
        <family val="2"/>
        <charset val="161"/>
      </rPr>
      <t>Air-Condition in common areas, Bar, Billiards, Children’s Pool, Conference Hall, Jacuzzi, Mini Market, Ping Pong, Restaurant, Safe Deposit
Boxes, Sauna, Shops, Snack Bar, Swimming Pool, Table Tennis, TV Room</t>
    </r>
    <r>
      <rPr>
        <i/>
        <sz val="10"/>
        <rFont val="Arial"/>
        <family val="2"/>
        <charset val="161"/>
      </rPr>
      <t xml:space="preserve">
Room Facilities: </t>
    </r>
    <r>
      <rPr>
        <sz val="10"/>
        <rFont val="Arial"/>
        <family val="2"/>
        <charset val="161"/>
      </rPr>
      <t>Mini Fridge, Music, Telephone</t>
    </r>
  </si>
  <si>
    <r>
      <t xml:space="preserve">Hotel Facilities: </t>
    </r>
    <r>
      <rPr>
        <sz val="10"/>
        <rFont val="Arial"/>
        <family val="2"/>
        <charset val="161"/>
      </rPr>
      <t>Animation, Bar, Beach Volley, Children’s Pool, Conference Center, Gym, Restaurant, Room Service, Sea-water Swimming Pool, Shops,
Table Tennis, Tavern, Tennis Court, Water Sports</t>
    </r>
    <r>
      <rPr>
        <i/>
        <sz val="10"/>
        <rFont val="Arial"/>
        <family val="2"/>
        <charset val="161"/>
      </rPr>
      <t xml:space="preserve">
Room Facilities: </t>
    </r>
    <r>
      <rPr>
        <sz val="10"/>
        <rFont val="Arial"/>
        <family val="2"/>
        <charset val="161"/>
      </rPr>
      <t>Air-condition, Balcony, Hairdryer, Mini Bar, Mini Fridge, Music, Safe Box, Satellite Color TV, Telephone</t>
    </r>
  </si>
  <si>
    <t>Askeli, on the beach</t>
  </si>
  <si>
    <t>Olympia</t>
  </si>
  <si>
    <t>Ancient Olympia</t>
  </si>
  <si>
    <t>13 Standard Rooms</t>
  </si>
  <si>
    <t>34 Standard Rooms</t>
  </si>
  <si>
    <t>12 km. from Parikia Town, on Agii Anargyri Beach</t>
  </si>
  <si>
    <t>Hotel Facilities: A/C, Restaurant, Taverna, Breakfast &amp; Dinner buffet, Coffee shop, Bar, Swimming Pool, WiFi internet access, Laundry service, Garden, Baby sitting, Room Service, Parking
Room Facilities: Satellite TV, Direct dial phone, Fridge, WiFi Internet access, Balcony</t>
  </si>
  <si>
    <t>El Greco</t>
  </si>
  <si>
    <t>Studios 10 , Apartments 15 , Suites 13 , Honeymoon Suite 1 , VIP Suite 1</t>
  </si>
  <si>
    <t>Contaratos Beach</t>
  </si>
  <si>
    <t>Hotel Facilities: Main Restaurant, Outdoor restaurant, Library, Bar, Café, Room Service
Room Facilities: A/C, Direct dial phone, TV, Optional fax, Internet access, Hairdryer</t>
  </si>
  <si>
    <t>Amalias Str. Nafplio</t>
  </si>
  <si>
    <t>Hotel Facilities: Breakfast, Swimming Pool, Main Restaurant, Coffee Shop, Pool bar, TV Room, Businness facilities
Room Facilities: Direct Dial phone, Internet access, Mini bar, Fridge</t>
  </si>
  <si>
    <t>Filellinon Square, Nafplio</t>
  </si>
  <si>
    <t>Hotel Facilities: Bar, Restaurant, Buffet breakfast, Room Service
Room Facilities: A/C, Direct dial phone, Satellite Tv, Radio, Mini bar, Safe, Internet access, Hairdryer</t>
  </si>
  <si>
    <t>John &amp; George</t>
  </si>
  <si>
    <t>8, Halis Str., Tolo</t>
  </si>
  <si>
    <t>Hotel Facilities: Reception, Restaurant, Bar, Swimming Pool, Pool Bar, Mini galf, Internet access
Room Facilities: A/C, Direct dial phone, Fridge, Bath, Satellite Tv, Safe</t>
  </si>
  <si>
    <t>Dolphin</t>
  </si>
  <si>
    <t>50, Aktis Str., Tolo</t>
  </si>
  <si>
    <t>Hotel Facilities: Reception, WiFi Internet access, Restaurant, Bar, Games Room, Internet access, TV Room
Room Facilities: A/C, Girect dial phone, Fridge, Bath, TV, Safe, Hairdryer, Balcony</t>
  </si>
  <si>
    <t>Rex</t>
  </si>
  <si>
    <r>
      <t>Hotel Facilities: Main Restaurant, Main bar, Mini Bar, Pool bar, Room services, Swimming pool, Childrens pool &amp; playground, Mini market, Laundry &amp; Dry cleaning services, Babby sitting, Parking
Room Facilities:</t>
    </r>
    <r>
      <rPr>
        <sz val="10"/>
        <rFont val="Arial"/>
        <family val="2"/>
        <charset val="161"/>
      </rPr>
      <t xml:space="preserve"> Air-condition, Balcony with sea view, Direct-dial phone, internet access, Satellite TV, Music, Safe</t>
    </r>
  </si>
  <si>
    <r>
      <t xml:space="preserve">Hotel Facilities: </t>
    </r>
    <r>
      <rPr>
        <sz val="10"/>
        <rFont val="Arial"/>
        <family val="2"/>
        <charset val="161"/>
      </rPr>
      <t>2 Restaurants, 4 Bars, Basketball Court, Children’s Activities, Children’s Pool, Conference /Banquet Facilities, Fitness Centre, Indoor
Swimming Pool, Outdoor Swimming Pool, Shopping Center, Tennis Court, Volley, Water Sports</t>
    </r>
    <r>
      <rPr>
        <i/>
        <sz val="10"/>
        <rFont val="Arial"/>
        <family val="2"/>
        <charset val="161"/>
      </rPr>
      <t xml:space="preserve">
Room Facilities: </t>
    </r>
    <r>
      <rPr>
        <sz val="10"/>
        <rFont val="Arial"/>
        <family val="2"/>
        <charset val="161"/>
      </rPr>
      <t>Direct-dial phone, Mini Bar, Safe Box, Satellite TV</t>
    </r>
  </si>
  <si>
    <r>
      <t xml:space="preserve">Hotel Facilities: </t>
    </r>
    <r>
      <rPr>
        <sz val="10"/>
        <rFont val="Arial"/>
        <family val="2"/>
        <charset val="161"/>
      </rPr>
      <t>4 Restaurants, 5 Bars, Art Gallery, Baby Sitting, Basketball Court, Chapel, Children’s Playground, Conference Rooms, Fitness Centre,
Museum, Open Air Amphitheatrer, Outdoor Heated Pool, Shopping Center, Tennis, Volley, Water Sports</t>
    </r>
    <r>
      <rPr>
        <i/>
        <sz val="10"/>
        <rFont val="Arial"/>
        <family val="2"/>
        <charset val="161"/>
      </rPr>
      <t xml:space="preserve">
Room Facilities: </t>
    </r>
    <r>
      <rPr>
        <sz val="10"/>
        <rFont val="Arial"/>
        <family val="2"/>
        <charset val="161"/>
      </rPr>
      <t>Air-condition, Direct-dial phone, In-house Movies, Mini Bar, Safe Box, Satellite</t>
    </r>
  </si>
  <si>
    <r>
      <t>Hotel Facilities:</t>
    </r>
    <r>
      <rPr>
        <sz val="10"/>
        <rFont val="Arial"/>
        <family val="2"/>
        <charset val="161"/>
      </rPr>
      <t xml:space="preserve"> Bar, Laundry Service, Pool Bar, Room Service, Swimming Pool</t>
    </r>
    <r>
      <rPr>
        <i/>
        <sz val="10"/>
        <rFont val="Arial"/>
        <family val="2"/>
        <charset val="161"/>
      </rPr>
      <t xml:space="preserve">
Room Facilities: </t>
    </r>
    <r>
      <rPr>
        <sz val="10"/>
        <rFont val="Arial"/>
        <family val="2"/>
        <charset val="161"/>
      </rPr>
      <t>Air-condition, Direct-dial phone, Kitchenette, Mini Bar, Piped Music</t>
    </r>
  </si>
  <si>
    <r>
      <t>Hotel Facilities:</t>
    </r>
    <r>
      <rPr>
        <sz val="10"/>
        <rFont val="Arial"/>
        <family val="2"/>
        <charset val="161"/>
      </rPr>
      <t xml:space="preserve"> 24 hour reception, swimming pool overlooking the volcano, pool bar, American style buffet breakfast (outdoor) with pool view, babysitting/child services, maid service, public internet, secretarial services, laundry service, doctor on call. </t>
    </r>
    <r>
      <rPr>
        <i/>
        <sz val="10"/>
        <rFont val="Arial"/>
        <family val="2"/>
        <charset val="161"/>
      </rPr>
      <t xml:space="preserve">
Room Facilities: air conditioning, internet access in rooms, radio, direct dial phone, hair dryer,  safe box, refrigerator, bathroom with shower, TV and  private balcony or veranda with tables and chairs overlooking the volcano.</t>
    </r>
  </si>
  <si>
    <r>
      <t xml:space="preserve">Hotel Facilities: </t>
    </r>
    <r>
      <rPr>
        <sz val="10"/>
        <rFont val="Arial"/>
        <family val="2"/>
        <charset val="161"/>
      </rPr>
      <t>Air-Condition in common areas, Bar, Pool Bar, Safe Deposit Boxes, Sauna, Snack Bar, Swimming Pool, TV Room</t>
    </r>
    <r>
      <rPr>
        <i/>
        <sz val="10"/>
        <rFont val="Arial"/>
        <family val="2"/>
        <charset val="161"/>
      </rPr>
      <t xml:space="preserve">
Room Facilities:</t>
    </r>
    <r>
      <rPr>
        <sz val="10"/>
        <rFont val="Arial"/>
        <family val="2"/>
        <charset val="161"/>
      </rPr>
      <t xml:space="preserve"> Air-condition, Hairdryer, Mini Bar, Music, Satellite Color TV, Telephone, TV</t>
    </r>
  </si>
  <si>
    <r>
      <t xml:space="preserve">Hotel Facilities: </t>
    </r>
    <r>
      <rPr>
        <sz val="10"/>
        <rFont val="Arial"/>
        <family val="2"/>
        <charset val="161"/>
      </rPr>
      <t>Air-Condition in common areas, Bar, Pool Bar, Reception, Snack Bar, Swimming Pool</t>
    </r>
    <r>
      <rPr>
        <i/>
        <sz val="10"/>
        <rFont val="Arial"/>
        <family val="2"/>
        <charset val="161"/>
      </rPr>
      <t xml:space="preserve">
Room Facilities: </t>
    </r>
    <r>
      <rPr>
        <sz val="10"/>
        <rFont val="Arial"/>
        <family val="2"/>
        <charset val="161"/>
      </rPr>
      <t>Air-condition, Balcony, Direct-dial phone, Fully Equiped Kitchenette, Hairdryer, Music, Radio, Safe Box, Satellite TV</t>
    </r>
  </si>
  <si>
    <r>
      <t xml:space="preserve">Hotel Facilities: </t>
    </r>
    <r>
      <rPr>
        <sz val="10"/>
        <rFont val="Arial"/>
        <family val="2"/>
        <charset val="161"/>
      </rPr>
      <t>Apartments with Kitchen, Laundry Service, Main Bar, Parking, Pool Snack Bar, Room Service, Swimming Pool, TV Room</t>
    </r>
    <r>
      <rPr>
        <i/>
        <sz val="10"/>
        <rFont val="Arial"/>
        <family val="2"/>
        <charset val="161"/>
      </rPr>
      <t xml:space="preserve">
Room Facilities: </t>
    </r>
    <r>
      <rPr>
        <sz val="10"/>
        <rFont val="Arial"/>
        <family val="2"/>
        <charset val="161"/>
      </rPr>
      <t>Air-condition, Balcony, Direct-dial phone, Hairdryer, Mini Bar, Satellite TV</t>
    </r>
  </si>
  <si>
    <r>
      <t xml:space="preserve">Hotel Facilities: </t>
    </r>
    <r>
      <rPr>
        <sz val="10"/>
        <rFont val="Arial"/>
        <family val="2"/>
        <charset val="161"/>
      </rPr>
      <t>Reception, Gym, Steam room (Hamam), breakfast served in the room</t>
    </r>
    <r>
      <rPr>
        <i/>
        <sz val="10"/>
        <rFont val="Arial"/>
        <family val="2"/>
        <charset val="161"/>
      </rPr>
      <t xml:space="preserve">
Room Facilities: Air-condition, Mini bar, DVD player, Telephone, Internet access, Safe box, Hair dryer, Satellite TV with Filmnet, Bathrobes and Slippers, balcony or terrace</t>
    </r>
  </si>
  <si>
    <r>
      <t>Hotel Facilities: Reception area, swimming pool , pool bar, outdoor Jacuzzi , daily maid service, porters, in house laundry, dry cleaning, internet access , baby sitting 
Room Facilities:</t>
    </r>
    <r>
      <rPr>
        <sz val="10"/>
        <rFont val="Arial"/>
        <family val="2"/>
        <charset val="161"/>
      </rPr>
      <t xml:space="preserve"> air condition, direct dial phone, safe deposit boxes, hairdryer, satellite TV</t>
    </r>
  </si>
  <si>
    <r>
      <t xml:space="preserve">Hotel Facilities: </t>
    </r>
    <r>
      <rPr>
        <sz val="10"/>
        <rFont val="Arial"/>
        <family val="2"/>
        <charset val="161"/>
      </rPr>
      <t>Internet, Library, Lounge Bar, Pool Bar, Restaurant, Swimming Pool</t>
    </r>
    <r>
      <rPr>
        <i/>
        <sz val="10"/>
        <rFont val="Arial"/>
        <family val="2"/>
        <charset val="161"/>
      </rPr>
      <t xml:space="preserve">
Room Facilities: </t>
    </r>
    <r>
      <rPr>
        <sz val="10"/>
        <rFont val="Arial"/>
        <family val="2"/>
        <charset val="161"/>
      </rPr>
      <t>Air-condition, Direct-dial phone, Hairdryer, Mini Bar, Safe Box, Satellite TV</t>
    </r>
  </si>
  <si>
    <r>
      <t>Hotel Facilities: TV corner, 2 Restaurants, 3 Bars, American buffet breakfast, Free WiFi internet access, Car rental, Table tennis, Safe, Laundry &amp; Dry cleaning , Postal service, tennis, Safe
Room Facilities:</t>
    </r>
    <r>
      <rPr>
        <sz val="10"/>
        <rFont val="Arial"/>
        <family val="2"/>
        <charset val="161"/>
      </rPr>
      <t xml:space="preserve">  Shower or bath, Direct dial phone, Mini fridge, Hairdryer, DVD player, Balcony or Terrace</t>
    </r>
  </si>
  <si>
    <r>
      <t xml:space="preserve">Hotel Facilities: </t>
    </r>
    <r>
      <rPr>
        <sz val="10"/>
        <rFont val="Arial"/>
        <family val="2"/>
        <charset val="161"/>
      </rPr>
      <t>Bar, Beach Bar, Games Rooms, Restaurant, Sea Sports, Swimming Pool, Tennis Court, TV Room</t>
    </r>
    <r>
      <rPr>
        <i/>
        <sz val="10"/>
        <rFont val="Arial"/>
        <family val="2"/>
        <charset val="161"/>
      </rPr>
      <t xml:space="preserve">
Room Facilities:</t>
    </r>
    <r>
      <rPr>
        <sz val="10"/>
        <rFont val="Arial"/>
        <family val="2"/>
        <charset val="161"/>
      </rPr>
      <t xml:space="preserve"> 3-Channel Music, Balcony, Refrigerator, Telephone, TV</t>
    </r>
  </si>
  <si>
    <r>
      <t xml:space="preserve">Hotel Facilities: Main </t>
    </r>
    <r>
      <rPr>
        <sz val="10"/>
        <rFont val="Arial"/>
        <family val="2"/>
        <charset val="161"/>
      </rPr>
      <t>Bar, Beach Bar, 3 Restaurants, Chlidrens pool, Laundry &amp; Dry cleaning, 24h Room services, 24h Medical services, Internet corner, Parking</t>
    </r>
    <r>
      <rPr>
        <i/>
        <sz val="10"/>
        <rFont val="Arial"/>
        <family val="2"/>
        <charset val="161"/>
      </rPr>
      <t xml:space="preserve">
Room Facilities:</t>
    </r>
    <r>
      <rPr>
        <sz val="10"/>
        <rFont val="Arial"/>
        <family val="2"/>
        <charset val="161"/>
      </rPr>
      <t xml:space="preserve"> A/C, Direct dial phone, Satellite TV</t>
    </r>
  </si>
  <si>
    <r>
      <t xml:space="preserve">Hotel Facilities: </t>
    </r>
    <r>
      <rPr>
        <sz val="10"/>
        <rFont val="Arial"/>
        <family val="2"/>
        <charset val="161"/>
      </rPr>
      <t>5 Restaurants, 6 Bars, 24h Room service, Wi-Fi Internet access, Laundry, Swimming Pools, Garden, Fully organized beach, Water sports, Wellness center, Hairdressing salon, Shopping center, Gift shop, Casino 5000 sq.m, 80 Gaming tables, 1000 Slot machines, VIP Private area, Free Parking</t>
    </r>
    <r>
      <rPr>
        <i/>
        <sz val="10"/>
        <rFont val="Arial"/>
        <family val="2"/>
        <charset val="161"/>
      </rPr>
      <t xml:space="preserve">
Room Facilities: </t>
    </r>
    <r>
      <rPr>
        <sz val="10"/>
        <rFont val="Arial"/>
        <family val="2"/>
        <charset val="161"/>
      </rPr>
      <t>Direct dial phone, Internet access, Fax, Satellite TV, Mini bar, Safe, Bathrobes, Slippers, Jacuzzi bathtub &amp; separate shower, Balcony with sea view</t>
    </r>
  </si>
  <si>
    <r>
      <t xml:space="preserve">Hotel Facilities: </t>
    </r>
    <r>
      <rPr>
        <sz val="10"/>
        <rFont val="Arial"/>
        <family val="2"/>
        <charset val="161"/>
      </rPr>
      <t>Main Restaurant, Snack Bar, Traditional and international cuisine, served at Buffet Style, Beach bar</t>
    </r>
    <r>
      <rPr>
        <i/>
        <sz val="10"/>
        <rFont val="Arial"/>
        <family val="2"/>
        <charset val="161"/>
      </rPr>
      <t xml:space="preserve">
Room Facilities: </t>
    </r>
    <r>
      <rPr>
        <sz val="10"/>
        <rFont val="Arial"/>
        <family val="2"/>
        <charset val="161"/>
      </rPr>
      <t>Air-condition, Sattelite TV, safe, radio, refrigerator, hairdryer, telephone, internet line, marble bathrooms</t>
    </r>
  </si>
  <si>
    <r>
      <t xml:space="preserve">Hotel Facilities: </t>
    </r>
    <r>
      <rPr>
        <sz val="10"/>
        <rFont val="Arial"/>
        <family val="2"/>
        <charset val="161"/>
      </rPr>
      <t>A/C throughout, Bar, Jacuzzi Bath</t>
    </r>
    <r>
      <rPr>
        <i/>
        <sz val="10"/>
        <rFont val="Arial"/>
        <family val="2"/>
        <charset val="161"/>
      </rPr>
      <t xml:space="preserve">
Room Facilities: </t>
    </r>
    <r>
      <rPr>
        <sz val="10"/>
        <rFont val="Arial"/>
        <family val="2"/>
        <charset val="161"/>
      </rPr>
      <t>Direct-dial phone, In-house Laundry, Mini Bar, Radio, Satellite TV</t>
    </r>
  </si>
  <si>
    <r>
      <t xml:space="preserve">Hotel Facilities: </t>
    </r>
    <r>
      <rPr>
        <sz val="10"/>
        <rFont val="Arial"/>
        <family val="2"/>
        <charset val="161"/>
      </rPr>
      <t>Air-Condition, Bar, Conference Room, Fireplace, Laundry Service, Parking, Restaurant, Room Service, Snack Bar, TV Room</t>
    </r>
    <r>
      <rPr>
        <i/>
        <sz val="10"/>
        <rFont val="Arial"/>
        <family val="2"/>
        <charset val="161"/>
      </rPr>
      <t xml:space="preserve">
Room Facilities: </t>
    </r>
    <r>
      <rPr>
        <sz val="10"/>
        <rFont val="Arial"/>
        <family val="2"/>
        <charset val="161"/>
      </rPr>
      <t>Air-condition, Balcony or Veranda, Direct-dial phone, Hairdryer, Mini Bar, Music, Sound-proofing, TV</t>
    </r>
  </si>
  <si>
    <r>
      <t xml:space="preserve">Hotel Facilities: Breakfast room, Main restaurant, Lobby bar, TV lounge, Roof garden, Internet corner, Laundry, Room services 
Room Facilities: Sound proof with </t>
    </r>
    <r>
      <rPr>
        <sz val="10"/>
        <rFont val="Arial"/>
        <family val="2"/>
        <charset val="161"/>
      </rPr>
      <t>Air-condition, Hairdryer, Mini Bar, Music, TV, Internet access, Safe</t>
    </r>
  </si>
  <si>
    <r>
      <t>Hotel Facilities: Breakfast, Swimming Pool, Garden, Main Restaurant, Coffee Shop, TV room, Safe, Bussiness Facilities &amp; Secretary Services, Parking
Room Facilities: A/C, Satellite TV, Direct dial phone, Bath or Shower</t>
    </r>
    <r>
      <rPr>
        <sz val="10"/>
        <rFont val="Arial"/>
        <family val="2"/>
        <charset val="161"/>
      </rPr>
      <t xml:space="preserve"> </t>
    </r>
  </si>
  <si>
    <r>
      <t>Hotel Facilities: 24h Room Services, Central heating, Restaurant, Bar, Wi-Fi internet, TV, Safe boxes, Garden
Room Facilities:</t>
    </r>
    <r>
      <rPr>
        <sz val="10"/>
        <rFont val="Arial"/>
        <family val="2"/>
        <charset val="161"/>
      </rPr>
      <t xml:space="preserve"> Direct dial phone, Satellite TV, Safe, Hairdryer</t>
    </r>
  </si>
  <si>
    <r>
      <t>Hotel Facilities: Room Services, Bar, Restaurant, Central heating
Room Facilities:</t>
    </r>
    <r>
      <rPr>
        <sz val="10"/>
        <rFont val="Arial"/>
        <family val="2"/>
        <charset val="161"/>
      </rPr>
      <t xml:space="preserve"> A/C, TV, Direct dial phone, Hairdryer, Bath, Balcony with sea view</t>
    </r>
  </si>
  <si>
    <t>59, Nikis Avenue, Thessaloniki</t>
  </si>
  <si>
    <t>Hotel Facilities: WiFi Internet access, Laundry service, Restaurant, Bar
Room Facilities: Cable/Satellite TV, Direct dial phone, Hairdryer, Internet access, Mini bar, Safe</t>
  </si>
  <si>
    <t>305-307, Monastiriou Str., Thessaloniki</t>
  </si>
  <si>
    <t xml:space="preserve">Hotel Facilities: Business center, Laundry service, Gym, Indoor Swimming Pool, Sauna, Massage, 2 Restaurants, Lobby, Bistro bar, TV Room, Parking
Room Facilities: A/C, Mini bar, Satellite / Pay TV, Radio, Hairdryer, Safe, Direct dial phone, Internet access </t>
  </si>
  <si>
    <t>8, Monastiriou Str.</t>
  </si>
  <si>
    <t>Hotel Facilities: Restaurant, Bar, Mini gym, 24h Room Service, Business center, Baby sitting, Laundry &amp; Cleaning services, Parking
Room Facilities: Direct dial phone, Safe, Radio, Satellite / Pay TV, Internet access, Mini bar, Bath, Hairdryer, Music</t>
  </si>
  <si>
    <t>16, Kolokotroni Str., Thessaloniki</t>
  </si>
  <si>
    <t>Hotel Facilities: Free WiFi internet access, 24h Room Services, Restaurant, Bar, Valet service, Laundry &amp; Cleaning service, Business room, Parking
Room Facilities: A/C, Direct dial phone, Mini bar, Satellite &amp; Pay TV, Video, Safe, Internet access</t>
  </si>
  <si>
    <t>42 Standard Rooms, 3 Suites</t>
  </si>
  <si>
    <t>172 Standard Rooms</t>
  </si>
  <si>
    <t>19 Standard Rooms, 1 Suite</t>
  </si>
  <si>
    <t>62 Standard Rooms</t>
  </si>
  <si>
    <t>33 Standard Rooms</t>
  </si>
  <si>
    <t>39 Standard Rooms, 3 Suites</t>
  </si>
  <si>
    <t>77 Standard Rooms</t>
  </si>
  <si>
    <t>26 Standard Rooms</t>
  </si>
  <si>
    <t>88 Standard Rooms, 4 Family Rooms, 2 Suites</t>
  </si>
  <si>
    <t>148 Standard Rooms</t>
  </si>
  <si>
    <t>70 Standard Rooms</t>
  </si>
  <si>
    <r>
      <t>Hotel Facilities: Room Services, Bar, Restaurant, Safe, internet access, Swimming pool, Coffee shop, Garden, TV room, Parking
Room Facilities:</t>
    </r>
    <r>
      <rPr>
        <sz val="10"/>
        <rFont val="Arial"/>
        <family val="2"/>
        <charset val="161"/>
      </rPr>
      <t xml:space="preserve"> A/C, Satellite TV, Direct dial phone, Bath or Shower</t>
    </r>
  </si>
  <si>
    <r>
      <t>Hotel Facilities: Room Services, Bar, Restaurant, Central heating, 2 Swimming Pool, Sauna, Jacuzzi, Gym, Hammam
Room Facilities:</t>
    </r>
    <r>
      <rPr>
        <sz val="10"/>
        <rFont val="Arial"/>
        <family val="2"/>
        <charset val="161"/>
      </rPr>
      <t xml:space="preserve"> A/C, TV, Mini bar, Direct dial phone, Balcony with view to Meteora</t>
    </r>
  </si>
  <si>
    <t xml:space="preserve">Suite </t>
  </si>
  <si>
    <t>Note: 08-11/05, 05-14/09, 05-07/10/14 about rates are not valid</t>
  </si>
  <si>
    <r>
      <t xml:space="preserve">Hotel Facilities: </t>
    </r>
    <r>
      <rPr>
        <sz val="10"/>
        <rFont val="Arial"/>
        <family val="2"/>
        <charset val="161"/>
      </rPr>
      <t>A/C throughout, Laundry Service, Massage, Mini Shop, Parking, Pool Bar, Restaurant a La Carte, Room Service, Swimming Pool</t>
    </r>
    <r>
      <rPr>
        <i/>
        <sz val="10"/>
        <rFont val="Arial"/>
        <family val="2"/>
        <charset val="161"/>
      </rPr>
      <t xml:space="preserve">
Room Facilities: </t>
    </r>
    <r>
      <rPr>
        <sz val="10"/>
        <rFont val="Arial"/>
        <family val="2"/>
        <charset val="161"/>
      </rPr>
      <t>Balcony, Direct-dial phone, Hairdryer, Mini Bar, Modem Jacks, Radio, Safe Box, TV</t>
    </r>
  </si>
  <si>
    <r>
      <t xml:space="preserve">Hotel Facilities: </t>
    </r>
    <r>
      <rPr>
        <sz val="10"/>
        <rFont val="Arial"/>
        <family val="2"/>
        <charset val="161"/>
      </rPr>
      <t>Fitness Centre, Gourmet Restaurant, Jacuzzi, Pool Bar, Sauna, Squash Court, Swimming Pool</t>
    </r>
    <r>
      <rPr>
        <i/>
        <sz val="10"/>
        <rFont val="Arial"/>
        <family val="2"/>
        <charset val="161"/>
      </rPr>
      <t xml:space="preserve">
Room Facilities: </t>
    </r>
    <r>
      <rPr>
        <sz val="10"/>
        <rFont val="Arial"/>
        <family val="2"/>
        <charset val="161"/>
      </rPr>
      <t>Air-condition</t>
    </r>
  </si>
  <si>
    <r>
      <t xml:space="preserve">Hotel Facilities: </t>
    </r>
    <r>
      <rPr>
        <sz val="10"/>
        <rFont val="Arial"/>
        <family val="2"/>
        <charset val="161"/>
      </rPr>
      <t>A/C throughout, Children’s Playroom, Conference Rooms, Congress Hall, Fitness Centre, Hair Salon, Jacuzzi, Laundry Service, Lobby Bar, Mini Golf, Outdoor Chess, Parking, Pool Bar, Restaurant, Room Service, Safe Box, Sauna, Snack Bar, Squash Court, Swimming Pool, Tennis Court, TV Room</t>
    </r>
    <r>
      <rPr>
        <i/>
        <sz val="10"/>
        <rFont val="Arial"/>
        <family val="2"/>
        <charset val="161"/>
      </rPr>
      <t xml:space="preserve">
Room Facilities: </t>
    </r>
    <r>
      <rPr>
        <sz val="10"/>
        <rFont val="Arial"/>
        <family val="2"/>
        <charset val="161"/>
      </rPr>
      <t>Balcony, Direct-dial phone, Hairdryer, Mini Bar, TV</t>
    </r>
  </si>
  <si>
    <r>
      <t xml:space="preserve">Hotel Facilities: </t>
    </r>
    <r>
      <rPr>
        <sz val="10"/>
        <rFont val="Arial"/>
        <family val="2"/>
        <charset val="161"/>
      </rPr>
      <t>A/C throughout, Children’s Playroom, Conference Rooms, Hair Salon, Jacuzzi, Laundry Service, Mini Golf, Parking, Restaurant, Room Service, Sauna, TV Room</t>
    </r>
    <r>
      <rPr>
        <i/>
        <sz val="10"/>
        <rFont val="Arial"/>
        <family val="2"/>
        <charset val="161"/>
      </rPr>
      <t xml:space="preserve">
Room Facilities: </t>
    </r>
    <r>
      <rPr>
        <sz val="10"/>
        <rFont val="Arial"/>
        <family val="2"/>
        <charset val="161"/>
      </rPr>
      <t>Direct-dial phone, Hairdryer, Mini Bar, Satellite TV, Radio, Safe</t>
    </r>
  </si>
  <si>
    <r>
      <t xml:space="preserve">Hotel Facilities: </t>
    </r>
    <r>
      <rPr>
        <sz val="10"/>
        <rFont val="Arial"/>
        <family val="2"/>
        <charset val="161"/>
      </rPr>
      <t>Air-Condition in common areas, Bar, Children’s Playground, Children’s Pool, Conference Hall, Hair Salon, Health Club, Indoor Swimming Pool, Mini Market, Night Club, Parking, Pool Bar, Restaurant, Safe Deposit Boxes, Sauna, Sea Sports, Shops, Snack Bar, Swimming Pool, Table Tennis, TV Room</t>
    </r>
    <r>
      <rPr>
        <i/>
        <sz val="10"/>
        <rFont val="Arial"/>
        <family val="2"/>
        <charset val="161"/>
      </rPr>
      <t xml:space="preserve">
Room Facilities:</t>
    </r>
    <r>
      <rPr>
        <sz val="10"/>
        <rFont val="Arial"/>
        <family val="2"/>
        <charset val="161"/>
      </rPr>
      <t xml:space="preserve"> Air-condition, Hairdryer, Mini Bar, Music, Safe Box, Satellite Color TV, Telephone</t>
    </r>
  </si>
  <si>
    <r>
      <t>Hotel Facilities: 24h Room Service, Laundry &amp; Valet services, Indoor &amp; Outdoor Swimming Pool, Children's Pool &amp; playground, Tennis, 3 Restaurants, Bar, Cafe, Pool bar, Transfer services 
Room Facilities:</t>
    </r>
    <r>
      <rPr>
        <sz val="10"/>
        <rFont val="Arial"/>
        <family val="2"/>
        <charset val="161"/>
      </rPr>
      <t xml:space="preserve"> Air-condition, Direct dial phone, Satellite TV, Mini bar</t>
    </r>
  </si>
  <si>
    <t>Cancellation refunds or claims:</t>
  </si>
  <si>
    <t>Insurance:</t>
  </si>
  <si>
    <t>Trip package cancellation insurance and baggage insurance are highly recommended. Please consult your travel agent for details.</t>
  </si>
  <si>
    <t>Hotel &amp; Transfers Rates:</t>
  </si>
  <si>
    <t>Subject to change prior to your departure, without any notice.</t>
  </si>
  <si>
    <t>Responsibility:</t>
  </si>
  <si>
    <r>
      <t xml:space="preserve">Hotel Facilities: </t>
    </r>
    <r>
      <rPr>
        <sz val="10"/>
        <rFont val="Arial"/>
        <family val="2"/>
        <charset val="161"/>
      </rPr>
      <t>Air-Condition in common areas, Baby Sitting, Bar, Laundry Service, Lobby Bar, Playroom, Restaurant, Room Service, Safe Box</t>
    </r>
    <r>
      <rPr>
        <i/>
        <sz val="10"/>
        <rFont val="Arial"/>
        <family val="2"/>
        <charset val="161"/>
      </rPr>
      <t xml:space="preserve">
Room Facilities: </t>
    </r>
    <r>
      <rPr>
        <sz val="10"/>
        <rFont val="Arial"/>
        <family val="2"/>
        <charset val="161"/>
      </rPr>
      <t>Air-condition, Direct-dial phone, Hairdryer, Mini Bar, Satellite TV</t>
    </r>
  </si>
  <si>
    <r>
      <t xml:space="preserve">Hotel Facilities: </t>
    </r>
    <r>
      <rPr>
        <sz val="10"/>
        <rFont val="Arial"/>
        <family val="2"/>
        <charset val="161"/>
      </rPr>
      <t>Bar, Parking, Pool Bar, Restaurant, Safe Deposit Boxes, Snack Bar, Swimming Pool, Tavern, TV Room</t>
    </r>
    <r>
      <rPr>
        <i/>
        <sz val="10"/>
        <rFont val="Arial"/>
        <family val="2"/>
        <charset val="161"/>
      </rPr>
      <t xml:space="preserve">
Room Facilities: </t>
    </r>
    <r>
      <rPr>
        <sz val="10"/>
        <rFont val="Arial"/>
        <family val="2"/>
        <charset val="161"/>
      </rPr>
      <t>Air-condition, Hairdryer, Mini Fridge, Music, Satellite Color TV, Telephone</t>
    </r>
  </si>
  <si>
    <r>
      <t xml:space="preserve">Hotel Facilities: </t>
    </r>
    <r>
      <rPr>
        <sz val="10"/>
        <rFont val="Arial"/>
        <family val="2"/>
        <charset val="161"/>
      </rPr>
      <t>Air-Condition in common areas, Bar, Pool Bar, Safe Deposit Boxes, Snack Bar, Swimming Pool, TV Room</t>
    </r>
    <r>
      <rPr>
        <i/>
        <sz val="10"/>
        <rFont val="Arial"/>
        <family val="2"/>
        <charset val="161"/>
      </rPr>
      <t xml:space="preserve">
Room Facilities: </t>
    </r>
    <r>
      <rPr>
        <sz val="10"/>
        <rFont val="Arial"/>
        <family val="2"/>
        <charset val="161"/>
      </rPr>
      <t>Air-condition, Color TV, Mini Fridge, Music, Telephone</t>
    </r>
  </si>
  <si>
    <r>
      <t>Hotel Facilities:</t>
    </r>
    <r>
      <rPr>
        <sz val="10"/>
        <rFont val="Arial"/>
        <family val="2"/>
        <charset val="161"/>
      </rPr>
      <t xml:space="preserve"> Fitness center, Parking, Room Service, Swimming Pool, TV Lounge</t>
    </r>
    <r>
      <rPr>
        <i/>
        <sz val="10"/>
        <rFont val="Arial"/>
        <family val="2"/>
        <charset val="161"/>
      </rPr>
      <t xml:space="preserve">
Room Facilities: </t>
    </r>
    <r>
      <rPr>
        <sz val="10"/>
        <rFont val="Arial"/>
        <family val="2"/>
        <charset val="161"/>
      </rPr>
      <t>Direct-dial phone, Fridge, Hairdryer, Satellite/interactive TV, internet &amp; email access</t>
    </r>
  </si>
  <si>
    <r>
      <t>Hotel Facilities:</t>
    </r>
    <r>
      <rPr>
        <sz val="10"/>
        <rFont val="Arial"/>
        <family val="2"/>
        <charset val="161"/>
      </rPr>
      <t xml:space="preserve"> </t>
    </r>
    <r>
      <rPr>
        <i/>
        <sz val="10"/>
        <rFont val="Arial"/>
        <family val="2"/>
        <charset val="161"/>
      </rPr>
      <t xml:space="preserve">
Room Facilities: A/C, color TV, mini bar, direct-dial phone, music, safe, internet access</t>
    </r>
  </si>
  <si>
    <r>
      <t xml:space="preserve">Hotel Facilities: </t>
    </r>
    <r>
      <rPr>
        <sz val="10"/>
        <rFont val="Arial"/>
        <family val="2"/>
        <charset val="161"/>
      </rPr>
      <t>Air-Condition in common areas, Bar, Pool Bar, Restaurant, Safe Deposit Boxes, Snack Bar, Swimming Pool, TV Room</t>
    </r>
    <r>
      <rPr>
        <i/>
        <sz val="10"/>
        <rFont val="Arial"/>
        <family val="2"/>
        <charset val="161"/>
      </rPr>
      <t xml:space="preserve">
Room Facilities: </t>
    </r>
    <r>
      <rPr>
        <sz val="10"/>
        <rFont val="Arial"/>
        <family val="2"/>
        <charset val="161"/>
      </rPr>
      <t>Air-condition, Color TV, Hairdryer, Mini Bar, Music, Telephone</t>
    </r>
  </si>
  <si>
    <r>
      <t xml:space="preserve">Hotel Facilities: </t>
    </r>
    <r>
      <rPr>
        <sz val="10"/>
        <rFont val="Arial"/>
        <family val="2"/>
        <charset val="161"/>
      </rPr>
      <t>Air-Condition in common areas, Bar, Children’s Pool, Health Club, Parking, Pool Bar, Restaurant, Snack Bar, Swimming Pool, Table Tennis, TV Room</t>
    </r>
    <r>
      <rPr>
        <i/>
        <sz val="10"/>
        <rFont val="Arial"/>
        <family val="2"/>
        <charset val="161"/>
      </rPr>
      <t xml:space="preserve">
Room Facilities: </t>
    </r>
    <r>
      <rPr>
        <sz val="10"/>
        <rFont val="Arial"/>
        <family val="2"/>
        <charset val="161"/>
      </rPr>
      <t>Air-condition, Hairdryer, Mini Bar, Music, Safe Box, Satellite Color TV, Telephone</t>
    </r>
  </si>
  <si>
    <r>
      <t xml:space="preserve">Hotel Facilities: </t>
    </r>
    <r>
      <rPr>
        <sz val="10"/>
        <rFont val="Arial"/>
        <family val="2"/>
        <charset val="161"/>
      </rPr>
      <t>2 Terraces, A/C throughout, Air-Condition, Baby Sitting, Jacuzzi, Laundry Service, Living Room, Parking, Pool Bar, Room Service, Safe Box, Snack Bar, Swimming Pool</t>
    </r>
    <r>
      <rPr>
        <i/>
        <sz val="10"/>
        <rFont val="Arial"/>
        <family val="2"/>
        <charset val="161"/>
      </rPr>
      <t xml:space="preserve">
Room Facilities: </t>
    </r>
    <r>
      <rPr>
        <sz val="10"/>
        <rFont val="Arial"/>
        <family val="2"/>
        <charset val="161"/>
      </rPr>
      <t>3-Channel Music, Balcony, Direct-dial phone, Hairdryer, Mini Bar, Small lounge, TV</t>
    </r>
  </si>
  <si>
    <r>
      <t xml:space="preserve">Hotel Facilities: </t>
    </r>
    <r>
      <rPr>
        <sz val="10"/>
        <rFont val="Arial"/>
        <family val="2"/>
        <charset val="161"/>
      </rPr>
      <t>2 TV Lounges, Central Heating, Lobby Bar, Main Restaurant, Parking, Pool Bar, Safe Box, Swimming Pool, Tennis Court</t>
    </r>
    <r>
      <rPr>
        <i/>
        <sz val="10"/>
        <rFont val="Arial"/>
        <family val="2"/>
        <charset val="161"/>
      </rPr>
      <t xml:space="preserve">
Room Facilities: </t>
    </r>
    <r>
      <rPr>
        <sz val="10"/>
        <rFont val="Arial"/>
        <family val="2"/>
        <charset val="161"/>
      </rPr>
      <t>3-Channel Music &amp; Hi-Fi Stereo, Air-condition, Balcony or Terrace, Direct-dial phone, Fridge, Hairdryer, Satellite TV</t>
    </r>
  </si>
  <si>
    <r>
      <t xml:space="preserve">Hotel Facilities: </t>
    </r>
    <r>
      <rPr>
        <sz val="10"/>
        <rFont val="Arial"/>
        <family val="2"/>
        <charset val="161"/>
      </rPr>
      <t>Bar, Library, Safe Box, TV Lounge</t>
    </r>
    <r>
      <rPr>
        <i/>
        <sz val="10"/>
        <rFont val="Arial"/>
        <family val="2"/>
        <charset val="161"/>
      </rPr>
      <t xml:space="preserve">
Room Facilities:</t>
    </r>
    <r>
      <rPr>
        <sz val="10"/>
        <rFont val="Arial"/>
        <family val="2"/>
        <charset val="161"/>
      </rPr>
      <t xml:space="preserve"> 2-Channel Music, Air-condition, Direct-dial phone, Hairdryer, Satellite TV, Terrac</t>
    </r>
    <r>
      <rPr>
        <i/>
        <sz val="10"/>
        <rFont val="Arial"/>
        <family val="2"/>
        <charset val="161"/>
      </rPr>
      <t>e</t>
    </r>
  </si>
  <si>
    <r>
      <t xml:space="preserve">Hotel Facilities: </t>
    </r>
    <r>
      <rPr>
        <sz val="10"/>
        <rFont val="Arial"/>
        <family val="2"/>
        <charset val="161"/>
      </rPr>
      <t>Air-Condition in common areas, Bar, Safe Deposit Boxes, Snack Bar, Swimming Pool</t>
    </r>
    <r>
      <rPr>
        <i/>
        <sz val="10"/>
        <rFont val="Arial"/>
        <family val="2"/>
        <charset val="161"/>
      </rPr>
      <t xml:space="preserve">
Room Facilities: </t>
    </r>
    <r>
      <rPr>
        <sz val="10"/>
        <rFont val="Arial"/>
        <family val="2"/>
        <charset val="161"/>
      </rPr>
      <t>Air-condition, Color TV, Mini Fridge, Music, Telephone</t>
    </r>
  </si>
  <si>
    <r>
      <t>Hotel Facilities:</t>
    </r>
    <r>
      <rPr>
        <sz val="10"/>
        <rFont val="Arial"/>
        <family val="2"/>
        <charset val="161"/>
      </rPr>
      <t xml:space="preserve"> Air-Condition, Baby Sitting, Conference Room, Fitness, Jacuzzi, Laundry Service, Lobby Bar, Massage, Parking, Pool Bar, Room Service, Safe Box, Sauna, Sea-water Swimming Pool, TV Lounge</t>
    </r>
    <r>
      <rPr>
        <i/>
        <sz val="10"/>
        <rFont val="Arial"/>
        <family val="2"/>
        <charset val="161"/>
      </rPr>
      <t xml:space="preserve">
Room Facilities: </t>
    </r>
    <r>
      <rPr>
        <sz val="10"/>
        <rFont val="Arial"/>
        <family val="2"/>
        <charset val="161"/>
      </rPr>
      <t>2-Channel Music, Balcony or Terrace, Direct-dial phone, Fridge, Hairdryer, In-house VHS movies, Marble Bath, Mini Bar, Satellite TV</t>
    </r>
  </si>
  <si>
    <t>Petinos</t>
  </si>
  <si>
    <t>Platis Gialos, Mykonos</t>
  </si>
  <si>
    <t>Agios Prokopios</t>
  </si>
  <si>
    <t>50 m. from Fira center</t>
  </si>
  <si>
    <t>5 km. from Skiathos Town, 100 m. from Kanapitsa Beach</t>
  </si>
  <si>
    <t>Astoria Capsis</t>
  </si>
  <si>
    <t>Apartments 10 , Honeymoon Suite1</t>
  </si>
  <si>
    <t>Suites 5 , Honeymoon Suites 2</t>
  </si>
  <si>
    <t xml:space="preserve">Single </t>
  </si>
  <si>
    <t>Double</t>
  </si>
  <si>
    <t>01/07-31/07</t>
  </si>
  <si>
    <t>Ios, Mylopotas</t>
  </si>
  <si>
    <t>Doryssa Bay</t>
  </si>
  <si>
    <t>Samos, Potokaki</t>
  </si>
  <si>
    <t>13 km. from Samos Town, 1 km. from Pythagorio, On Potokaki Beach, 1,5 km. from the airport</t>
  </si>
  <si>
    <t>Santorini, Fira</t>
  </si>
  <si>
    <t>4 km. from Mykonos Town, on Agios Stefanos Beach</t>
  </si>
  <si>
    <t>Kosmoplaz</t>
  </si>
  <si>
    <t>Paros Bay</t>
  </si>
  <si>
    <t>02/01-31/03</t>
  </si>
  <si>
    <t>01/11-17/12</t>
  </si>
  <si>
    <t>15/06-15/07</t>
  </si>
  <si>
    <t>Vouliagmeni</t>
  </si>
  <si>
    <t>162 Standard Room(s)</t>
  </si>
  <si>
    <t>Ilissia</t>
  </si>
  <si>
    <t>Sounio</t>
  </si>
  <si>
    <t>Syntagma</t>
  </si>
  <si>
    <t>Palaio Faliro</t>
  </si>
  <si>
    <t>Anavyssos</t>
  </si>
  <si>
    <t>98 Standard Room(s)</t>
  </si>
  <si>
    <t>Athens</t>
  </si>
  <si>
    <t>Neos Kosmos</t>
  </si>
  <si>
    <t>Glyfada</t>
  </si>
  <si>
    <t>Omonia</t>
  </si>
  <si>
    <t>300 meters from Syntagma Square</t>
  </si>
  <si>
    <t>115 Standard Room(s)</t>
  </si>
  <si>
    <t>Hotel Facilities: Café, Bar, Tv lounge
Room Facilities: A/C, Safe, Mini bar, Hairdryer, TV, Pay TV, Direct dial phone, Internet access</t>
  </si>
  <si>
    <t>Agia Triada</t>
  </si>
  <si>
    <t>Hotel Facilities: Airconditioned, Central heating, 2 Restaurants, Bar, Taverna, Cafeteria, Swimming Pool, Pool restaurant, Gym, Room service, WiFi internet access, Parking
Room Facilities: Direct dial phone, TV, Fridge, Balcony</t>
  </si>
  <si>
    <t>23, Egnatias Str. Thessaloniki</t>
  </si>
  <si>
    <t>Hotel Facilities: Buffet breakfast, Restaurant[only for group], Bar, Free WiFi internet access, Room service, Laundry, Charged parking
Room Facilities: Direct dial phone, Satellite TV, Fridge, Hairdryer, Balcony</t>
  </si>
  <si>
    <t>29, Egnatias &amp; 2, Antigonidon Str., Thessaloniki</t>
  </si>
  <si>
    <t>Hotel Facilities: Bar, Buffet breakfast, Free WiFi Internet access, TV lounge, Internet corner, Room service, Parking
Room Facilities: Direct dial phone, Satellite cable TV, Bath, Fridge, Hairdryer, Balcony, Safe</t>
  </si>
  <si>
    <t>65, Vass.Olgas Av., Thessaloniki</t>
  </si>
  <si>
    <t>Hotel Facilities: Bar, Restaurant, Room service, Laundry service, Fax service, Business center, WiFi internet access, TV room, Parking
Room Facilities: Bath, Direct dial phone, Satellite TV, Fridge</t>
  </si>
  <si>
    <t>16, Ag. Dimitriou Str., Thessaloniki</t>
  </si>
  <si>
    <t>Hotel Facilities: Lobby bar, Café bar, Buffet breakfast, Safe, WiFi internet access, Room service
Room Facilities: A/C, Mini bar, Hairdryer, Direct dial phone, Satellite TV, Fridge, Bath</t>
  </si>
  <si>
    <t>9, Aristotelous Avenue, Thessaloniki</t>
  </si>
  <si>
    <t>2 km. from Mykonos Town, 800 m. from Tourlos Beach</t>
  </si>
  <si>
    <t>Melia Marbella Corfu</t>
  </si>
  <si>
    <t>Corfu, Agios Ioannis</t>
  </si>
  <si>
    <t>Rooms 72</t>
  </si>
  <si>
    <t>01/05 - 31/05</t>
  </si>
  <si>
    <t>Skiathos Princess</t>
  </si>
  <si>
    <t>Skiathos, Agia Paraskevi</t>
  </si>
  <si>
    <t>21/08-31/08</t>
  </si>
  <si>
    <t>04/09-17/09</t>
  </si>
  <si>
    <r>
      <t xml:space="preserve">Hotel Facilities: </t>
    </r>
    <r>
      <rPr>
        <sz val="10"/>
        <rFont val="Arial"/>
        <family val="2"/>
        <charset val="161"/>
      </rPr>
      <t>Air-Condition, Beauty Salon, Children’s Pool, Conference Hall, Hair Salon, Health Club, Jacuzzi, Laundry Service, Lounge Bar, Massage, Open Air Amphitheatrer, Outdoor Chess, Parking, Pool Bar, Pool Restaurant, Restaurant, Room Service, Safe Deposit Boxes, Sauna, Shops, Snack Bar,
Squash Court, Steam-bath, Swimming Pool, Tennis Court, TV Room</t>
    </r>
    <r>
      <rPr>
        <i/>
        <sz val="10"/>
        <rFont val="Arial"/>
        <family val="2"/>
        <charset val="161"/>
      </rPr>
      <t xml:space="preserve">
Room Facilities: </t>
    </r>
    <r>
      <rPr>
        <sz val="10"/>
        <rFont val="Arial"/>
        <family val="2"/>
        <charset val="161"/>
      </rPr>
      <t>Air-condition, Direct-dial phone, Hairdryer, In-house Movies, Mini Bar, Music, PC Socket, Safe Box, Satellite Color TV</t>
    </r>
  </si>
  <si>
    <r>
      <t>Hotel Facilities:</t>
    </r>
    <r>
      <rPr>
        <sz val="10"/>
        <rFont val="Arial"/>
        <family val="2"/>
        <charset val="161"/>
      </rPr>
      <t xml:space="preserve"> Snack Bar, Piano, TV, Parking, Safe Boxes</t>
    </r>
    <r>
      <rPr>
        <i/>
        <sz val="10"/>
        <rFont val="Arial"/>
        <family val="2"/>
        <charset val="161"/>
      </rPr>
      <t xml:space="preserve">
Room Facilities: </t>
    </r>
    <r>
      <rPr>
        <sz val="10"/>
        <rFont val="Arial"/>
        <family val="2"/>
        <charset val="161"/>
      </rPr>
      <t>Air-condition, Hairdryer, Fridge, Telephone</t>
    </r>
  </si>
  <si>
    <t>14/09-30/09</t>
  </si>
  <si>
    <t>26/08-13/09</t>
  </si>
  <si>
    <r>
      <t xml:space="preserve">Hotel Facilities: </t>
    </r>
    <r>
      <rPr>
        <sz val="10"/>
        <rFont val="Arial"/>
        <family val="2"/>
        <charset val="161"/>
      </rPr>
      <t>A/C, 5 Bars, Pool bar, Main restaurant, Cafeteria, Outdoor gourmet restaurant a la carte, Indoor gourmet restaurant a la carte, Grill restaurant, Taverna, 3 Swimming Pools, Children's pool &amp; playgroung, 2 Tennis court, Basket, Volley, Mini golf, Video room, Room service, First aid station, Massage, Sauna, Jacuzzi, Baby sitting</t>
    </r>
    <r>
      <rPr>
        <i/>
        <sz val="10"/>
        <rFont val="Arial"/>
        <family val="2"/>
        <charset val="161"/>
      </rPr>
      <t xml:space="preserve">
Room Facilities: </t>
    </r>
    <r>
      <rPr>
        <sz val="10"/>
        <rFont val="Arial"/>
        <family val="2"/>
        <charset val="161"/>
      </rPr>
      <t>Satellite TV, Fridge, Direct dial phone, Hairdryer</t>
    </r>
  </si>
  <si>
    <t>Coral</t>
  </si>
  <si>
    <t>Herodion</t>
  </si>
  <si>
    <r>
      <t xml:space="preserve">Hotel Facilities: </t>
    </r>
    <r>
      <rPr>
        <sz val="10"/>
        <rFont val="Arial"/>
        <family val="2"/>
        <charset val="161"/>
      </rPr>
      <t>Air-Condition, Restaurant, Buffet Breakfast, Mini Market, Gym, Lounge                                                                                                                              Room Facilities: Bath, Fridge, Direct Dial phone, Veranda or Balcony</t>
    </r>
  </si>
  <si>
    <t>06/06-03/07</t>
  </si>
  <si>
    <t>13/09-24/09</t>
  </si>
  <si>
    <t>29/08-12/09</t>
  </si>
  <si>
    <t>01/06-11/07</t>
  </si>
  <si>
    <t>01/10-15/11</t>
  </si>
  <si>
    <t>16/05-15/07</t>
  </si>
  <si>
    <t>01/04-11/05</t>
  </si>
  <si>
    <t>29/04-25/05</t>
  </si>
  <si>
    <t>07/07-17/08</t>
  </si>
  <si>
    <t>06/07-23/08</t>
  </si>
  <si>
    <t>24/08-20/09</t>
  </si>
  <si>
    <t>21/09-15/10</t>
  </si>
  <si>
    <t>02/06-22/06</t>
  </si>
  <si>
    <t>02/06-13/07</t>
  </si>
  <si>
    <t>14/07-24/08</t>
  </si>
  <si>
    <t>12/04-15/05</t>
  </si>
  <si>
    <t>01/07-03/09</t>
  </si>
  <si>
    <t>01/04-04/05</t>
  </si>
  <si>
    <t>05/05-01/06</t>
  </si>
  <si>
    <t>25/08-21/09</t>
  </si>
  <si>
    <t>15/05-15/06</t>
  </si>
  <si>
    <t>16/06-07/07</t>
  </si>
  <si>
    <t>11/09-22/09</t>
  </si>
  <si>
    <t>12/07-25/08</t>
  </si>
  <si>
    <t>01/03-31/03</t>
  </si>
  <si>
    <t xml:space="preserve">Note: Minimun stay 3 nights, Valid for European certain nationalites supplement for others </t>
  </si>
  <si>
    <t xml:space="preserve">Note: Minimun stay 3 nights, Valid for European  certain nationalites supplement for others </t>
  </si>
  <si>
    <t xml:space="preserve">Note: Valid for European certain nationalites supplement for others </t>
  </si>
  <si>
    <t>01/05-04/06</t>
  </si>
  <si>
    <t>05/06-02/07</t>
  </si>
  <si>
    <t>24/08-13/09</t>
  </si>
  <si>
    <t>28/08-02/09</t>
  </si>
  <si>
    <t>24/09-30/09</t>
  </si>
  <si>
    <t>27/08-23/09</t>
  </si>
  <si>
    <t>19/09-31/10</t>
  </si>
  <si>
    <t>13/06-11/07</t>
  </si>
  <si>
    <t>30/08-26/09</t>
  </si>
  <si>
    <t>21/09-31/12</t>
  </si>
  <si>
    <t>01/06-14/07</t>
  </si>
  <si>
    <t>15/07-31/08</t>
  </si>
  <si>
    <t>16/09-07/10</t>
  </si>
  <si>
    <t>Canava Suite</t>
  </si>
  <si>
    <t>15/10-31/10</t>
  </si>
  <si>
    <t>15/06-15/09</t>
  </si>
  <si>
    <t>27/08-14/09</t>
  </si>
  <si>
    <t>15/04-30/04</t>
  </si>
  <si>
    <t>01/07-20/09</t>
  </si>
  <si>
    <t>01/01-30/06</t>
  </si>
  <si>
    <t>80 m. from Kamari Beach</t>
  </si>
  <si>
    <t>Most rooms with Private Balconies.</t>
  </si>
  <si>
    <t xml:space="preserve">Meal </t>
  </si>
  <si>
    <t>Electra (Ermou)</t>
  </si>
  <si>
    <t>5, Ermou street, Athens</t>
  </si>
  <si>
    <t>110 Standard Room(s)</t>
  </si>
  <si>
    <t>Semeli</t>
  </si>
  <si>
    <t>13, Lagada Str., Thessaloniki</t>
  </si>
  <si>
    <t>Hotel Facilities: Room service, Restaurant, Laundry &amp; Cleaning service, Massage, Parking
Room Facilities: A/C, Mini bar, Satelitte TV, Voice mail, Wi-Fi internet, Safe, Hairdryer, Iron/Ironing board</t>
  </si>
  <si>
    <t>18, Monastiriou Str.</t>
  </si>
  <si>
    <t>on Alyki Beach, 3 km. from the airport</t>
  </si>
  <si>
    <t>in close vicinity to many bars, restaurants, tavernas, shops and night life of Rhodes Town, on Eli Beach</t>
  </si>
  <si>
    <t>Rhodes, Kalithea</t>
  </si>
  <si>
    <t>Holiday Suites</t>
  </si>
  <si>
    <t>4, Arnis Street, Ilissia</t>
  </si>
  <si>
    <t>29 Suite(s)</t>
  </si>
  <si>
    <t>Arethusa</t>
  </si>
  <si>
    <t>6-8 Mitropoleos @ 12 Nikis Streets</t>
  </si>
  <si>
    <t>Sani Beach Hotel</t>
  </si>
  <si>
    <r>
      <t xml:space="preserve">Hotel Facilities: </t>
    </r>
    <r>
      <rPr>
        <sz val="10"/>
        <rFont val="Arial"/>
        <family val="2"/>
        <charset val="161"/>
      </rPr>
      <t>2 Swimming Pools, Air-Condition in common areas, Conference Hall, Fax facilities, Parking, Pool Bar, Reception, Snack Bar, Tennis Court, TV Room</t>
    </r>
    <r>
      <rPr>
        <i/>
        <sz val="10"/>
        <rFont val="Arial"/>
        <family val="2"/>
        <charset val="161"/>
      </rPr>
      <t xml:space="preserve">
Room Facilities: </t>
    </r>
    <r>
      <rPr>
        <sz val="10"/>
        <rFont val="Arial"/>
        <family val="2"/>
        <charset val="161"/>
      </rPr>
      <t>Air-condition, Color TV, Direct-dial phone, Hairdryer, Kitchenette, Music, Private Balcony w/Volcano View, Safe Box</t>
    </r>
  </si>
  <si>
    <r>
      <t xml:space="preserve">Hotel Facilities: </t>
    </r>
    <r>
      <rPr>
        <sz val="10"/>
        <rFont val="Arial"/>
        <family val="2"/>
        <charset val="161"/>
      </rPr>
      <t>A/C throughout, Children’s Pool, Children’s services, Gym, Laundry Service, Parking, Pool Bar, Restaurant, Room Service, Secretarial
Service, Swimming Pool, Tennis Court, TV Room, Wheelchair access throughout</t>
    </r>
    <r>
      <rPr>
        <i/>
        <sz val="10"/>
        <rFont val="Arial"/>
        <family val="2"/>
        <charset val="161"/>
      </rPr>
      <t xml:space="preserve">
Room Facilities: </t>
    </r>
    <r>
      <rPr>
        <sz val="10"/>
        <rFont val="Arial"/>
        <family val="2"/>
        <charset val="161"/>
      </rPr>
      <t>Air-condition, Balcony or Terrace, Direct-dial phone, Hairdryer, Mini Bar, Music, Safe Box, Satellite TV, Telephone</t>
    </r>
  </si>
  <si>
    <r>
      <t xml:space="preserve">Hotel Facilities: </t>
    </r>
    <r>
      <rPr>
        <sz val="10"/>
        <rFont val="Arial"/>
        <family val="2"/>
        <charset val="161"/>
      </rPr>
      <t>A/C throughout, Cocktail Bar, Conference Rooms, Parking, Restaurant, Room Service, Snack Bar, Swimming Pool</t>
    </r>
    <r>
      <rPr>
        <i/>
        <sz val="10"/>
        <rFont val="Arial"/>
        <family val="2"/>
        <charset val="161"/>
      </rPr>
      <t xml:space="preserve">
Room Facilities: </t>
    </r>
    <r>
      <rPr>
        <sz val="10"/>
        <rFont val="Arial"/>
        <family val="2"/>
        <charset val="161"/>
      </rPr>
      <t>Air-condition, Balcony, Direct-dial phone, Hairdryer, Mini Bar, Music, Satellite TV</t>
    </r>
  </si>
  <si>
    <t>Notes: Aircodition is Available Only for the Period 15/6-30/9</t>
  </si>
  <si>
    <t>Livadi Nafsika</t>
  </si>
  <si>
    <t>Santorini, Oia</t>
  </si>
  <si>
    <t>with Volcano View, 12 km. from Fira Town</t>
  </si>
  <si>
    <t>Traditional Island Style hotel.</t>
  </si>
  <si>
    <t>Honeymoon Suite</t>
  </si>
  <si>
    <t>Santorini, Imerovigli</t>
  </si>
  <si>
    <t>Built on Foundations of Old Island Structures, on the Rim of Caldera, facing the Sea &amp; the Volcano, 1 km. from Fira Town</t>
  </si>
  <si>
    <t>Santorini, Firostefani</t>
  </si>
  <si>
    <t>At the rim of the Caldera with Volcano view, 800 m. from Fira center</t>
  </si>
  <si>
    <t>VIP &amp; HONEYMOON suites with Individual Jacuzi, Bathtub Indoors, Queen size Bed.</t>
  </si>
  <si>
    <t>Notes: Cancellation Policy : 3 Days Prior Arrival 50% Cancellation Fees Will Be Applied.</t>
  </si>
  <si>
    <t>Cycladic Architecture.</t>
  </si>
  <si>
    <t>Princess Of Mykonos</t>
  </si>
  <si>
    <t>San Antonio Summerland</t>
  </si>
  <si>
    <t>Mykonos, Tourlos</t>
  </si>
  <si>
    <t>Rose Bay</t>
  </si>
  <si>
    <t>4 km. from Corfu Town, 200 m. from Kanoni Beach</t>
  </si>
  <si>
    <t>HB</t>
  </si>
  <si>
    <t>Corfu Palace</t>
  </si>
  <si>
    <t>2, Demokratias Avenue, , Corfu, Corfu Town</t>
  </si>
  <si>
    <t>AI</t>
  </si>
  <si>
    <t>35, Poseidonos street, Athens, Paleo Faliro</t>
  </si>
  <si>
    <t>86 Standard Room(s), 2 Suite(s)</t>
  </si>
  <si>
    <t>2 km. from Hersonissos, 22 km. from Heraklion Town, on Anissaras Beach</t>
  </si>
  <si>
    <t>All the Outdoor Swimming Pools with Waterfall &amp; 45m. Water Slide.</t>
  </si>
  <si>
    <t>Villa-Suites with Private Pool &amp; Kitchenette.</t>
  </si>
  <si>
    <t>Bungalow Sea View</t>
  </si>
  <si>
    <t>Rooms 89</t>
  </si>
  <si>
    <t>16/05-30/06</t>
  </si>
  <si>
    <t>Majestic</t>
  </si>
  <si>
    <t>Fira</t>
  </si>
  <si>
    <t>Traditional Architecture.</t>
  </si>
  <si>
    <t>Front Rooms with View of Temple of Jupiter.</t>
  </si>
  <si>
    <t>Kipriotis</t>
  </si>
  <si>
    <t>2, Valaoritou street, Rhodes, Rhodes Town</t>
  </si>
  <si>
    <t>7th Km of Ioannina - Athens National Road</t>
  </si>
  <si>
    <t>9 km. from Fira Town, on Kamari Beach</t>
  </si>
  <si>
    <t>B1</t>
  </si>
  <si>
    <t>B2</t>
  </si>
  <si>
    <t>B3</t>
  </si>
  <si>
    <t>01/04-23/05</t>
  </si>
  <si>
    <t>Agapi Beach</t>
  </si>
  <si>
    <t>Amoudara, on the beach</t>
  </si>
  <si>
    <t>Hotel Facilities: Central heating, Bar, Snack bar, Restaurant, Kafenion, Taverna, Cards room, Gym, Message, Sauna, Jacuzzi, Children's playground &amp; pool, 3 Swimming pools, Hairdressing
Room Facilities: Direct dial phone, Satellite TV, Fridge, Bath or Shower</t>
  </si>
  <si>
    <t>Poseidon</t>
  </si>
  <si>
    <r>
      <t xml:space="preserve">Hotel Facilities: </t>
    </r>
    <r>
      <rPr>
        <sz val="10"/>
        <rFont val="Arial"/>
        <family val="2"/>
        <charset val="161"/>
      </rPr>
      <t>6 Bars, 7 Tennis Courts, Animation Team, Baby Sitting, Beach Volley, Billiards, Bowling, Bridge Room, Conference Facilities, Diving, Fitness Centre, Kiddie Pool, Kindergarden, Medical Office, Mini Golf, Mountain Bikes, Open Air Cinema, Restaurant, Room Service, Shops, Snack Bar, Sun Terraces, Swimming Pool, Table Tennis, Tavern, TV Room, Water Sports</t>
    </r>
    <r>
      <rPr>
        <i/>
        <sz val="10"/>
        <rFont val="Arial"/>
        <family val="2"/>
        <charset val="161"/>
      </rPr>
      <t xml:space="preserve">
Room Facilities:</t>
    </r>
    <r>
      <rPr>
        <sz val="10"/>
        <rFont val="Arial"/>
        <family val="2"/>
        <charset val="161"/>
      </rPr>
      <t xml:space="preserve"> Air-condition, Balcony or Terrace, Direct-dial phone, Fridge, Hairdryer, Satellite TV</t>
    </r>
  </si>
  <si>
    <t xml:space="preserve">  EVIA …......…………………………………………</t>
  </si>
  <si>
    <t xml:space="preserve">  HYDRA ..…………………………………………… </t>
  </si>
  <si>
    <t xml:space="preserve">  IOANNINA .………………………………………… </t>
  </si>
  <si>
    <r>
      <t xml:space="preserve">Hotel Facilities: </t>
    </r>
    <r>
      <rPr>
        <sz val="9"/>
        <rFont val="Arial"/>
        <family val="2"/>
        <charset val="161"/>
      </rPr>
      <t>Fax facilities, Internet, Parking, Pizzeria, Pool Bar, Restaurant, Room Service, Swimming Pool</t>
    </r>
    <r>
      <rPr>
        <i/>
        <sz val="9"/>
        <rFont val="Arial"/>
        <family val="2"/>
        <charset val="161"/>
      </rPr>
      <t xml:space="preserve">
Room Facilities: </t>
    </r>
    <r>
      <rPr>
        <sz val="9"/>
        <rFont val="Arial"/>
        <family val="2"/>
        <charset val="161"/>
      </rPr>
      <t>3-Channel Music, Air-condition, Direct-dial phone, Fridge, Safe Box, Satellite TV</t>
    </r>
  </si>
  <si>
    <r>
      <t xml:space="preserve">Hotel Facilities: </t>
    </r>
    <r>
      <rPr>
        <sz val="9"/>
        <rFont val="Arial"/>
        <family val="2"/>
        <charset val="161"/>
      </rPr>
      <t>Air-Condition, Bar, Basketball Court, Billiards, Conference Facilities, Gym, Jazz Bar, Mountain Bikes, Parking, Pool Bar, Restaurant, Room Service, Swimming Pool, Tennis Court, TV-Video Room</t>
    </r>
    <r>
      <rPr>
        <i/>
        <sz val="9"/>
        <rFont val="Arial"/>
        <family val="2"/>
        <charset val="161"/>
      </rPr>
      <t xml:space="preserve">
Room Facilities: </t>
    </r>
    <r>
      <rPr>
        <sz val="9"/>
        <rFont val="Arial"/>
        <family val="2"/>
        <charset val="161"/>
      </rPr>
      <t>2-Channel Music, Balcony or Terrace w/ Sea View, Direct-dial phone, Mini Bar</t>
    </r>
  </si>
  <si>
    <r>
      <t xml:space="preserve">Hotel Facilities: </t>
    </r>
    <r>
      <rPr>
        <sz val="10"/>
        <rFont val="Arial"/>
        <family val="2"/>
        <charset val="161"/>
      </rPr>
      <t>Bar, Children’s Playground, Gym, Parking, Pool Bar, Ramp for Handicapped persons, Restaurant, Room Service, Safe Box, Sea Sports, Swimming Pool, Tennis Court, TV-Video Room</t>
    </r>
    <r>
      <rPr>
        <i/>
        <sz val="10"/>
        <rFont val="Arial"/>
        <family val="2"/>
        <charset val="161"/>
      </rPr>
      <t xml:space="preserve">
Room Facilities: </t>
    </r>
    <r>
      <rPr>
        <sz val="10"/>
        <rFont val="Arial"/>
        <family val="2"/>
        <charset val="161"/>
      </rPr>
      <t>Air-condition, Balcony or Terrace w/ Sea View, Direct-dial phone, Mini Bar, Music</t>
    </r>
  </si>
  <si>
    <t xml:space="preserve">  KALAMBAKA ..……………………………………. </t>
  </si>
  <si>
    <t xml:space="preserve">  KAVALA …....…..…………………………………. </t>
  </si>
  <si>
    <t xml:space="preserve">  LOUTRAKI  …………………………………………</t>
  </si>
  <si>
    <t xml:space="preserve">  NAFPLIO ...………………………………………… </t>
  </si>
  <si>
    <t xml:space="preserve">  NAXOS …...………………………………………… </t>
  </si>
  <si>
    <t xml:space="preserve">  OLYMPIA ...………………………………………… </t>
  </si>
  <si>
    <t xml:space="preserve">  PATRA  ......………………………………………… </t>
  </si>
  <si>
    <t xml:space="preserve">  PATMOS .…………………………………………..</t>
  </si>
  <si>
    <t xml:space="preserve">  POROS  ..…………………………………………..</t>
  </si>
  <si>
    <r>
      <t>Hotel Facilities:</t>
    </r>
    <r>
      <rPr>
        <sz val="9"/>
        <rFont val="Arial"/>
        <family val="2"/>
        <charset val="161"/>
      </rPr>
      <t xml:space="preserve"> 2 Outdoor Seawater Pools, Baby Sitting, Ballrooms, Cafeteria, Children’s Pool, Conference Rooms, Electronic Games, Exhibition Centre, Fitness Club, Indoor Heated Pool, Laundry Service, Main Restaurant, Massage, Parking, Piano Bar, Playroom, Room Service, Sauna, Secretarial Service, Self-service Restaurant, Shops, Snack Bar, Table Tennis, Tennis Court, Theatre</t>
    </r>
    <r>
      <rPr>
        <i/>
        <sz val="9"/>
        <rFont val="Arial"/>
        <family val="2"/>
        <charset val="161"/>
      </rPr>
      <t xml:space="preserve">
Room Facilities:</t>
    </r>
    <r>
      <rPr>
        <sz val="9"/>
        <rFont val="Arial"/>
        <family val="2"/>
        <charset val="161"/>
      </rPr>
      <t xml:space="preserve"> Air-condition, Balcony, Direct-dial phone, Hairdryer, Mini Bar, Safe Box, TV, Video on demand</t>
    </r>
  </si>
  <si>
    <r>
      <t>Hotel Facilities: Brand new Spa &amp; Welness Center (open in 2011), multi-functional conference center (operating in 2011), Two swimming pools: 1 fresh water pool and 1 salt water pool, Jacuzzi corner by the fresh water pool, Children’s pool section (under parents’ supervision), Sun beds and umbrellas by the pool complimentary, 24hrs Front Desk with multilingual personnel, Welcome drink while filling in your registration form, 1 bottle of mineral water in room upon arrival in all rooms, Room Service (up to 22.00 hrs), service charge applies, Porter service, Foreign currency exchange, Rent a Car or Moto, Invitation for breakfast for early arrivals (up to 10.00) or dinner for late departures (up to 21.30), Late check out at a charge upon availability, Complimentary late check out up to 18.00 upon availability for the Grand Suites Guests, Lounge area and library, Internet cornet  with 4 terminal computers at a charge, Wi-Fi Internet access (free of charge) at the Lobby Area, Laundry service at a charge, High chairs and baby cots for children and infants, Dietary menu on request, Mini market and jeweler's shop, 3 lifts in main building &amp; 1 lift in Garden Wing, Access with ramps in all areas (besides the beach), Fruit and traditional Greek sweets plateau in suites once per arrival, Light evening entertainment in Lobby Area twice per week
Room Facilities:</t>
    </r>
    <r>
      <rPr>
        <sz val="9"/>
        <rFont val="Arial"/>
        <family val="2"/>
        <charset val="161"/>
      </rPr>
      <t xml:space="preserve"> Double bed, Sofa bed, Electronic Safe Box (free), Mini Bar, Direct Telephone Line, Hair Dryer, Bathrobes &amp; Slippers, A/C (may-oct), Satellite LCD TV, DVD player</t>
    </r>
  </si>
  <si>
    <t xml:space="preserve">  SKOPELOS …..……………………………………. </t>
  </si>
  <si>
    <t xml:space="preserve">  THESSALONIKI  ...…………………………………. </t>
  </si>
  <si>
    <t xml:space="preserve">  ZAKYNTHOS ………………………………………. </t>
  </si>
  <si>
    <r>
      <t xml:space="preserve">Hotel Facilities: </t>
    </r>
    <r>
      <rPr>
        <sz val="9"/>
        <rFont val="Arial"/>
        <family val="2"/>
        <charset val="161"/>
      </rPr>
      <t>Air-Condition in common areas, Bar, Children’s Playground, Children’s Pool, Conference Hall, Parking, Pool Bar, Restaurant, Sauna, Sea Sports, Shops, Snack Bar, Swimming Pool, Tavern, TV Room</t>
    </r>
    <r>
      <rPr>
        <i/>
        <sz val="9"/>
        <rFont val="Arial"/>
        <family val="2"/>
        <charset val="161"/>
      </rPr>
      <t xml:space="preserve">
Room Facilities: </t>
    </r>
    <r>
      <rPr>
        <sz val="9"/>
        <rFont val="Arial"/>
        <family val="2"/>
        <charset val="161"/>
      </rPr>
      <t>Air-condition, Hairdryer, Mini Bar, Music, Safe Box, Telephone</t>
    </r>
  </si>
  <si>
    <t>Canaves Oia Hotel Suites</t>
  </si>
  <si>
    <r>
      <t xml:space="preserve">Hotel Facilities: </t>
    </r>
    <r>
      <rPr>
        <sz val="10"/>
        <rFont val="Arial"/>
        <family val="2"/>
        <charset val="161"/>
      </rPr>
      <t>Air-Condition in common areas, Art Gallery, Boutique, Conference Hall, Dining room, Drugstore, Fitness Centre, Health Club, Hotel Beach
with Bar Service, Jacuzzi Bar, Laundry Service, Massage, Open-Air Jacuzzi, Pergola Pool Restaurant, Pool Bar, Shops, Shuttle Service, Snack Bar,
Swimming Pool, Twice daily Maid service, VIP Club Service, Wine Bar &amp; Monty’s Club, Yoga</t>
    </r>
    <r>
      <rPr>
        <i/>
        <sz val="10"/>
        <rFont val="Arial"/>
        <family val="2"/>
        <charset val="161"/>
      </rPr>
      <t xml:space="preserve">
Room Facilities: </t>
    </r>
    <r>
      <rPr>
        <sz val="10"/>
        <rFont val="Arial"/>
        <family val="2"/>
        <charset val="161"/>
      </rPr>
      <t>Direct-dial phone, Fridge, Hairdryer, In-house Movies, Kitchenette, Marble Bath, Mini Bar, Music, Satellite TV, Veranda</t>
    </r>
  </si>
  <si>
    <r>
      <t xml:space="preserve">Hotel Facilities: </t>
    </r>
    <r>
      <rPr>
        <sz val="10"/>
        <rFont val="Arial"/>
        <family val="2"/>
        <charset val="161"/>
      </rPr>
      <t>Art Gallery, Dining room, Laundry Service, Lobby Salons, Meeting Room, Room Service, Swimming Pool, Twice daily Maid service, Wine
Bar, Terrace w/ Volcano v</t>
    </r>
    <r>
      <rPr>
        <i/>
        <sz val="10"/>
        <rFont val="Arial"/>
        <family val="2"/>
        <charset val="161"/>
      </rPr>
      <t xml:space="preserve">
Room Facilities:</t>
    </r>
    <r>
      <rPr>
        <sz val="10"/>
        <rFont val="Arial"/>
        <family val="2"/>
        <charset val="161"/>
      </rPr>
      <t xml:space="preserve"> Air-condition, Fully Equipped Kitchen, Hairdryer, Heating, Hi Fi Stereo, Mini Bar, Safe Box, Satellite TV</t>
    </r>
  </si>
  <si>
    <r>
      <t>Hotel Facilities:</t>
    </r>
    <r>
      <rPr>
        <sz val="10"/>
        <rFont val="Arial"/>
        <family val="2"/>
        <charset val="161"/>
      </rPr>
      <t xml:space="preserve"> Room Service, 24h Reception, Parking, Car rental, Jacuzzi, Bar, Swimming Pool</t>
    </r>
    <r>
      <rPr>
        <i/>
        <sz val="10"/>
        <rFont val="Arial"/>
        <family val="2"/>
        <charset val="161"/>
      </rPr>
      <t xml:space="preserve">
Room Facilities: Air Condition, Satellite TV, Fridge, Telephone, Hair Dryer and Safety/Deposit box. All our rooms have their private balcony</t>
    </r>
  </si>
  <si>
    <r>
      <t xml:space="preserve">Hotel Facilities: </t>
    </r>
    <r>
      <rPr>
        <sz val="10"/>
        <rFont val="Arial"/>
        <family val="2"/>
        <charset val="161"/>
      </rPr>
      <t>2 Swimming Pools, Jacuzzi, Parking, Pool Snack Bar, Room Service</t>
    </r>
    <r>
      <rPr>
        <i/>
        <sz val="10"/>
        <rFont val="Arial"/>
        <family val="2"/>
        <charset val="161"/>
      </rPr>
      <t xml:space="preserve">
Room Facilities:</t>
    </r>
    <r>
      <rPr>
        <sz val="10"/>
        <rFont val="Arial"/>
        <family val="2"/>
        <charset val="161"/>
      </rPr>
      <t xml:space="preserve"> Air-condition, Antique Furniture, Color TV, Direct-dial phone, Fully Equipped Kitchen, Hairdryer, Living Room, Music, Safe Box, Terrace</t>
    </r>
  </si>
  <si>
    <r>
      <t>Hotel Facilities:</t>
    </r>
    <r>
      <rPr>
        <sz val="10"/>
        <rFont val="Arial"/>
        <family val="2"/>
        <charset val="161"/>
      </rPr>
      <t xml:space="preserve"> Air-Condition, Bar, Central Heating, Conference Rooms, Health Club, Laundry Service, Restaurants, Room Service, Swimming Pool</t>
    </r>
  </si>
  <si>
    <r>
      <t xml:space="preserve">Hotel Facilities: Airconditioned throughout, 2 Bars, </t>
    </r>
    <r>
      <rPr>
        <sz val="10"/>
        <rFont val="Arial"/>
        <family val="2"/>
        <charset val="161"/>
      </rPr>
      <t>Restaurant, Indoor Swimming Pool, Sauna, 24h Room Services, Businness center, Wi-Fi Internet access, Transfer services from to airport.</t>
    </r>
    <r>
      <rPr>
        <i/>
        <sz val="10"/>
        <rFont val="Arial"/>
        <family val="2"/>
        <charset val="161"/>
      </rPr>
      <t xml:space="preserve">
Room Facilities: Direct dial phone, </t>
    </r>
    <r>
      <rPr>
        <sz val="10"/>
        <rFont val="Arial"/>
        <family val="2"/>
        <charset val="161"/>
      </rPr>
      <t>Mini bar, Satellite TV, Internet access, safe, Video</t>
    </r>
  </si>
  <si>
    <r>
      <t>Hotel Facilities: Out</t>
    </r>
    <r>
      <rPr>
        <sz val="10"/>
        <rFont val="Arial"/>
        <family val="2"/>
        <charset val="161"/>
      </rPr>
      <t>door Swimming Pool, 24h Room Services, Businness center, Gift shop, Jacuzzi, Parking.</t>
    </r>
    <r>
      <rPr>
        <i/>
        <sz val="10"/>
        <rFont val="Arial"/>
        <family val="2"/>
        <charset val="161"/>
      </rPr>
      <t xml:space="preserve">
Room Facilities: Direct dial phone, </t>
    </r>
    <r>
      <rPr>
        <sz val="10"/>
        <rFont val="Arial"/>
        <family val="2"/>
        <charset val="161"/>
      </rPr>
      <t>Mini bar, Satellite TV, Internet access, safe, Hairdryer</t>
    </r>
  </si>
  <si>
    <r>
      <t xml:space="preserve">Hotel Facilities: </t>
    </r>
    <r>
      <rPr>
        <sz val="10"/>
        <rFont val="Arial"/>
        <family val="2"/>
        <charset val="161"/>
      </rPr>
      <t>A/C throughout, American Bar, Central Heating, Exhibition Centre, Meeting &amp; Banquet Facilities, Outdoor Swimming Pool, Parking, Restaurant, Roof Garden</t>
    </r>
    <r>
      <rPr>
        <i/>
        <sz val="10"/>
        <rFont val="Arial"/>
        <family val="2"/>
        <charset val="161"/>
      </rPr>
      <t xml:space="preserve">
Room Facilities: </t>
    </r>
    <r>
      <rPr>
        <sz val="10"/>
        <rFont val="Arial"/>
        <family val="2"/>
        <charset val="161"/>
      </rPr>
      <t>Direct-dial phone, Double glazing, Hairdryer, Mini Bar, Pay TV, PC Socket, Radio, Safe Box, Satellite TV, Smoke detectors, Trouser press, Voice Mail</t>
    </r>
  </si>
  <si>
    <r>
      <t>Hotel Facilities:</t>
    </r>
    <r>
      <rPr>
        <sz val="10"/>
        <rFont val="Arial"/>
        <family val="2"/>
        <charset val="161"/>
      </rPr>
      <t xml:space="preserve"> A/C throughout, Bar, Central Heating, Convention Facilities, Restaurant, Roof Garden, Swimming Pool, Tavern</t>
    </r>
    <r>
      <rPr>
        <i/>
        <sz val="10"/>
        <rFont val="Arial"/>
        <family val="2"/>
        <charset val="161"/>
      </rPr>
      <t xml:space="preserve">
Room Facilities: </t>
    </r>
    <r>
      <rPr>
        <sz val="10"/>
        <rFont val="Arial"/>
        <family val="2"/>
        <charset val="161"/>
      </rPr>
      <t>Air-condition, Direct-dial phone, Mini Bar, Satellite TV</t>
    </r>
  </si>
  <si>
    <t>Ovadias Tours, hereafter called the tour operator and /or their representatives act only as agents for transportation companies and other companies. The responsibility of the tour operators and / or their representatives is limited. The tour operators and / or their agents will not accept any responsibility in the event of damage, loss, accident, illness, delay or other irregularity due to defects in any vehicle used for transportation or the fault or default of any company or person employed in the organization of the transportation. The tour operators and / or their representatives will not accept any responsibility for extra cost due to delay, changes or any other reason. The tour operators and/or their representatives are not responsible for any consular, political or military complications created voluntarily or involuntarily by the passengers or any other person. The operators cannot be held responsible for any fault or default or negligence by hotel owner or his employees. The tour operators reserve the right to decline, to accept or retain any person and to change or cancel the tours, if necessary, for any reason. The airline tickets shall, when issued, constitute to the sole contract between the passenger and the airline. The airline is not to be held responsible for any act, omission or event, when the passengers are not on board its aircraft. Any deposit will represent acceptance of all the above mentioned conditions.</t>
  </si>
  <si>
    <r>
      <t xml:space="preserve">Deposit(s) </t>
    </r>
    <r>
      <rPr>
        <sz val="9"/>
        <rFont val="Arial"/>
        <family val="2"/>
      </rPr>
      <t>required for all reservations in order to secure space in Hotels, Cruises, Guides, and other services required. Full payment of a deposit indicates acceptance by the purchaser of our terms and conditions.</t>
    </r>
  </si>
  <si>
    <r>
      <rPr>
        <b/>
        <sz val="9"/>
        <rFont val="Arial"/>
        <family val="2"/>
        <charset val="161"/>
      </rPr>
      <t>Full Payment</t>
    </r>
    <r>
      <rPr>
        <sz val="9"/>
        <rFont val="Arial"/>
        <family val="2"/>
        <charset val="161"/>
      </rPr>
      <t xml:space="preserve"> should be received by us prior to your arrival.
All Payments by either Bank Cheque or Bank Transfer should be FREE of all Banks' Expenses involved to us.</t>
    </r>
  </si>
  <si>
    <r>
      <t xml:space="preserve">All rates </t>
    </r>
    <r>
      <rPr>
        <b/>
        <sz val="9"/>
        <rFont val="Arial"/>
        <family val="2"/>
        <charset val="161"/>
      </rPr>
      <t xml:space="preserve">INCLUDE </t>
    </r>
    <r>
      <rPr>
        <sz val="9"/>
        <rFont val="Arial"/>
        <family val="2"/>
        <charset val="161"/>
      </rPr>
      <t>Federal and Municipal Taxes in Greece.</t>
    </r>
  </si>
  <si>
    <r>
      <t xml:space="preserve">Hotel Facilities: </t>
    </r>
    <r>
      <rPr>
        <sz val="10"/>
        <rFont val="Arial"/>
        <family val="2"/>
        <charset val="161"/>
      </rPr>
      <t>Restaurant, Bar, Snack bar, Swimming pool, TV room, Relaxing living room, Gym, Front Desk 24 hours service, 24hours Room service, twice daily maid service, travel desk , transfers from and to the airport and the port, in-house laundry and ironing, bell boy service, baby sitting service, first aid services</t>
    </r>
    <r>
      <rPr>
        <i/>
        <sz val="10"/>
        <rFont val="Arial"/>
        <family val="2"/>
        <charset val="161"/>
      </rPr>
      <t xml:space="preserve">
Room Facilities: </t>
    </r>
    <r>
      <rPr>
        <sz val="10"/>
        <rFont val="Arial"/>
        <family val="2"/>
        <charset val="161"/>
      </rPr>
      <t xml:space="preserve">A/C, color TV, direct-dial phone, alarm clock, music system, safe deposit box, fast internet access, hair dryer </t>
    </r>
  </si>
  <si>
    <r>
      <t>Hotel Facilities:</t>
    </r>
    <r>
      <rPr>
        <sz val="10"/>
        <rFont val="Arial"/>
        <family val="2"/>
        <charset val="161"/>
      </rPr>
      <t xml:space="preserve"> Swimming Pool &amp; Jacuzzi, Free Wi-Fi Internet Access, Internet Corner (at a cost), Bar &amp; Snack Bar, Breakfast Hall &amp; Restaurant, Tour Desk, Reception Lounge with Satellite TV, Bus Station, Private &amp; Safe Parking, Safe Deposite Box</t>
    </r>
    <r>
      <rPr>
        <i/>
        <sz val="10"/>
        <rFont val="Arial"/>
        <family val="2"/>
        <charset val="161"/>
      </rPr>
      <t xml:space="preserve">
Room Facilities: </t>
    </r>
    <r>
      <rPr>
        <sz val="10"/>
        <rFont val="Arial"/>
        <family val="2"/>
        <charset val="161"/>
      </rPr>
      <t>TV, Telephone, Radio, Refrigerator, Air Conditioning, Hair Dryer, Safe Deposit Box, Bathroom with Shower, Private Balcony</t>
    </r>
  </si>
  <si>
    <r>
      <t>Hotel Facilities:</t>
    </r>
    <r>
      <rPr>
        <sz val="10"/>
        <rFont val="Arial"/>
        <family val="2"/>
        <charset val="161"/>
      </rPr>
      <t xml:space="preserve"> Air-Condition in common areas, Children’s Playground, Children’s Pool, Diving, Jacuzzi, Parking, Pool Bar, Restaurant, Room Service,
Swimming Pool, Twice daily Maid service, Water Sports
</t>
    </r>
    <r>
      <rPr>
        <i/>
        <sz val="10"/>
        <rFont val="Arial"/>
        <family val="2"/>
        <charset val="161"/>
      </rPr>
      <t xml:space="preserve">Room Facilities: </t>
    </r>
    <r>
      <rPr>
        <sz val="10"/>
        <rFont val="Arial"/>
        <family val="2"/>
        <charset val="161"/>
      </rPr>
      <t>Direct-dial phone, Hairdryer, Mini Bar, Safe Box, Satellite TV</t>
    </r>
  </si>
  <si>
    <r>
      <t xml:space="preserve">Hotel Facilities: </t>
    </r>
    <r>
      <rPr>
        <sz val="10"/>
        <rFont val="Arial"/>
        <family val="2"/>
        <charset val="161"/>
      </rPr>
      <t>Outdoor Seawater Swimming Pool, Children's Pool, Outdoor Jacuzzi, Pool Area with Sunbeds, Poolside Bar, Fully equiped Gym, Breakfast Room with Breakfast buffet, Internet Corner, Elevator</t>
    </r>
    <r>
      <rPr>
        <i/>
        <sz val="10"/>
        <rFont val="Arial"/>
        <family val="2"/>
        <charset val="161"/>
      </rPr>
      <t xml:space="preserve">
Room Facilities: S</t>
    </r>
    <r>
      <rPr>
        <sz val="10"/>
        <rFont val="Arial"/>
        <family val="2"/>
        <charset val="161"/>
      </rPr>
      <t>atellite TV, Safe, Internet access, Hairdryer, Fridge</t>
    </r>
  </si>
  <si>
    <t>20/09-02/10</t>
  </si>
  <si>
    <t>01/06-03/07</t>
  </si>
  <si>
    <t>05/09-18/09</t>
  </si>
  <si>
    <t>31/05-20/06</t>
  </si>
  <si>
    <t>01/05-29/05</t>
  </si>
  <si>
    <t>30/05-14/09</t>
  </si>
  <si>
    <t>21/05-30/06</t>
  </si>
  <si>
    <t>29/05-18/06</t>
  </si>
  <si>
    <t>15/04-02/06</t>
  </si>
  <si>
    <t>03/06-04/07</t>
  </si>
  <si>
    <t>30/08--28/09</t>
  </si>
  <si>
    <t>05/07-29/08</t>
  </si>
  <si>
    <t>14/10-31/10</t>
  </si>
  <si>
    <t>21/06-20/07</t>
  </si>
  <si>
    <t>Ixian Grand Sentido</t>
  </si>
  <si>
    <t>23/04-20/05</t>
  </si>
  <si>
    <t>01/10-25/10</t>
  </si>
  <si>
    <t>26/07-25/08</t>
  </si>
  <si>
    <t>21/09-04/10</t>
  </si>
  <si>
    <t>27/07-23/08</t>
  </si>
  <si>
    <t>01/04-12/04</t>
  </si>
  <si>
    <t>16/04-20/05</t>
  </si>
  <si>
    <t>01/03-31/10</t>
  </si>
  <si>
    <t>25/09-08/10</t>
  </si>
  <si>
    <t>21/08-24/09</t>
  </si>
  <si>
    <t>10/07-20/08</t>
  </si>
  <si>
    <t>11/10-30/10</t>
  </si>
  <si>
    <t>16/06-27/07</t>
  </si>
  <si>
    <t>28/07-25/08</t>
  </si>
  <si>
    <t>16/07-30/09</t>
  </si>
  <si>
    <t>24/05-20/06</t>
  </si>
  <si>
    <t>08/09-21/09</t>
  </si>
  <si>
    <t>08/06-30/06</t>
  </si>
  <si>
    <t>20/07-23/08</t>
  </si>
  <si>
    <t>16/06-06/07</t>
  </si>
  <si>
    <t>01/10 - 15/10</t>
  </si>
  <si>
    <t>21/08-09/09</t>
  </si>
  <si>
    <t>25/07-24/08</t>
  </si>
  <si>
    <t>26/04-30/05</t>
  </si>
  <si>
    <t>13/09-12/10</t>
  </si>
  <si>
    <t>30/08-12/09</t>
  </si>
  <si>
    <t>21/06-04/07</t>
  </si>
  <si>
    <t>05/07-27/07</t>
  </si>
  <si>
    <t>28/07-29/08</t>
  </si>
  <si>
    <t>01/04-15/04</t>
  </si>
  <si>
    <t>06/10-15/10</t>
  </si>
  <si>
    <r>
      <t xml:space="preserve">Hotel Facilities: </t>
    </r>
    <r>
      <rPr>
        <sz val="10"/>
        <rFont val="Arial"/>
        <family val="2"/>
        <charset val="161"/>
      </rPr>
      <t>Air-Condition, Bar, Central Heating, Restaurant, Roof Garden, Room Service</t>
    </r>
    <r>
      <rPr>
        <i/>
        <sz val="10"/>
        <rFont val="Arial"/>
        <family val="2"/>
        <charset val="161"/>
      </rPr>
      <t xml:space="preserve">
Room Facilities: </t>
    </r>
    <r>
      <rPr>
        <sz val="10"/>
        <rFont val="Arial"/>
        <family val="2"/>
        <charset val="161"/>
      </rPr>
      <t>Direct-dial phone, Mini Bar, TV</t>
    </r>
  </si>
  <si>
    <r>
      <t xml:space="preserve">Hotel Facilities: </t>
    </r>
    <r>
      <rPr>
        <sz val="10"/>
        <rFont val="Arial"/>
        <family val="2"/>
        <charset val="161"/>
      </rPr>
      <t>Air-Condition, Bar, Restaurant, Room Services, Cafeteria, Laundry services</t>
    </r>
    <r>
      <rPr>
        <i/>
        <sz val="10"/>
        <rFont val="Arial"/>
        <family val="2"/>
        <charset val="161"/>
      </rPr>
      <t xml:space="preserve">
Room Facilities: </t>
    </r>
    <r>
      <rPr>
        <sz val="10"/>
        <rFont val="Arial"/>
        <family val="2"/>
        <charset val="161"/>
      </rPr>
      <t>Direct-dial phone, Mini Bar, TV, Wi-Fi internet, Hairdryer, Safe</t>
    </r>
  </si>
  <si>
    <r>
      <t xml:space="preserve">Hotel Facilities: </t>
    </r>
    <r>
      <rPr>
        <sz val="10"/>
        <rFont val="Arial"/>
        <family val="2"/>
        <charset val="161"/>
      </rPr>
      <t>Baby Sitting, Bar, Laundry Service, Meeting &amp; Banquet Facilities, Parking, Restaurant, Roof Garden, Room Service, Safe Deposit Boxes, Secretarial Service, Whirlpool</t>
    </r>
    <r>
      <rPr>
        <i/>
        <sz val="10"/>
        <rFont val="Arial"/>
        <family val="2"/>
        <charset val="161"/>
      </rPr>
      <t xml:space="preserve">
Room Facilities: </t>
    </r>
    <r>
      <rPr>
        <sz val="10"/>
        <rFont val="Arial"/>
        <family val="2"/>
        <charset val="161"/>
      </rPr>
      <t>Air-condition, Central Heating, Mini Bar, TV</t>
    </r>
  </si>
  <si>
    <r>
      <t xml:space="preserve">Hotel Facilities: </t>
    </r>
    <r>
      <rPr>
        <sz val="10"/>
        <rFont val="Arial"/>
        <family val="2"/>
        <charset val="161"/>
      </rPr>
      <t>Air-Condition, Bar, Central Heating, Restaurant</t>
    </r>
    <r>
      <rPr>
        <i/>
        <sz val="10"/>
        <rFont val="Arial"/>
        <family val="2"/>
        <charset val="161"/>
      </rPr>
      <t xml:space="preserve">
Room Facilities: </t>
    </r>
    <r>
      <rPr>
        <sz val="10"/>
        <rFont val="Arial"/>
        <family val="2"/>
        <charset val="161"/>
      </rPr>
      <t>3-Channel Music, Direct-dial phone, Hairdryer, Mini Bar, TV</t>
    </r>
  </si>
  <si>
    <r>
      <t>Hotel Facilities:</t>
    </r>
    <r>
      <rPr>
        <sz val="10"/>
        <rFont val="Arial"/>
        <family val="2"/>
        <charset val="161"/>
      </rPr>
      <t xml:space="preserve"> A/C throughout, Baby Sitting, Central Heating, Cocktail Lounge, Conference Room, Correspondence Room, Disco Club, Gift Shop, Restaurant, Roof-top Swimming Pool, Room Service, Sauna, Secretarial Service, Sun terrace</t>
    </r>
    <r>
      <rPr>
        <i/>
        <sz val="10"/>
        <rFont val="Arial"/>
        <family val="2"/>
        <charset val="161"/>
      </rPr>
      <t xml:space="preserve">
Room Facilities: </t>
    </r>
    <r>
      <rPr>
        <sz val="10"/>
        <rFont val="Arial"/>
        <family val="2"/>
        <charset val="161"/>
      </rPr>
      <t>Direct-dial phone, Sound-proof Double Glazing, TV, Veranda</t>
    </r>
  </si>
  <si>
    <r>
      <t xml:space="preserve">Hotel Facilities: </t>
    </r>
    <r>
      <rPr>
        <sz val="10"/>
        <rFont val="Arial"/>
        <family val="2"/>
        <charset val="161"/>
      </rPr>
      <t>Air-Condition, Bar, Central Heating, Cocktail Lounge, Conference /Banquet Facilities, Double Glazing, Parking, Pool Bar, Restaurant, Room, Service, Secretarial Service, Swimming Pool</t>
    </r>
    <r>
      <rPr>
        <i/>
        <sz val="10"/>
        <rFont val="Arial"/>
        <family val="2"/>
        <charset val="161"/>
      </rPr>
      <t xml:space="preserve">
Room Facilities:</t>
    </r>
    <r>
      <rPr>
        <sz val="10"/>
        <rFont val="Arial"/>
        <family val="2"/>
        <charset val="161"/>
      </rPr>
      <t xml:space="preserve"> 3-Channel Music, Balcony, Direct-dial phone, Fridge upon request, TV</t>
    </r>
  </si>
  <si>
    <r>
      <t xml:space="preserve">Hotel Facilities: </t>
    </r>
    <r>
      <rPr>
        <sz val="10"/>
        <rFont val="Arial"/>
        <family val="2"/>
        <charset val="161"/>
      </rPr>
      <t>A/C throughout, Bar, Central Heating, Coffee Shop, Conference /Banquet Facilities, Parking, Restaurant, Room Service, Tavern</t>
    </r>
    <r>
      <rPr>
        <i/>
        <sz val="10"/>
        <rFont val="Arial"/>
        <family val="2"/>
        <charset val="161"/>
      </rPr>
      <t xml:space="preserve">
Room Facilities: </t>
    </r>
    <r>
      <rPr>
        <sz val="10"/>
        <rFont val="Arial"/>
        <family val="2"/>
        <charset val="161"/>
      </rPr>
      <t>Direct-dial phone, Mini Bar, Sound-proof Double Glazing, TV</t>
    </r>
  </si>
  <si>
    <r>
      <t xml:space="preserve">Hotel Facilities: </t>
    </r>
    <r>
      <rPr>
        <sz val="10"/>
        <rFont val="Arial"/>
        <family val="2"/>
        <charset val="161"/>
      </rPr>
      <t>A/C throughout, Bar, Central Heating, Conference Facilities, Gift Shop, Laundry &amp; Valet service, Restaurant, Roof Garden w/ Acropolis View,Safe Box</t>
    </r>
    <r>
      <rPr>
        <i/>
        <sz val="10"/>
        <rFont val="Arial"/>
        <family val="2"/>
        <charset val="161"/>
      </rPr>
      <t xml:space="preserve">
Room Facilities: </t>
    </r>
    <r>
      <rPr>
        <sz val="10"/>
        <rFont val="Arial"/>
        <family val="2"/>
        <charset val="161"/>
      </rPr>
      <t>Direct-dial phone, Mini Bar, Satellite Color TV</t>
    </r>
  </si>
  <si>
    <r>
      <t xml:space="preserve">Hotel Facilities: </t>
    </r>
    <r>
      <rPr>
        <sz val="10"/>
        <rFont val="Arial"/>
        <family val="2"/>
        <charset val="161"/>
      </rPr>
      <t>A/C throughout, Bar, Central Heating, Roof Garden Restaurant, Room Services, Laundry Services</t>
    </r>
    <r>
      <rPr>
        <i/>
        <sz val="10"/>
        <rFont val="Arial"/>
        <family val="2"/>
        <charset val="161"/>
      </rPr>
      <t xml:space="preserve">
Room Facilities: </t>
    </r>
    <r>
      <rPr>
        <sz val="10"/>
        <rFont val="Arial"/>
        <family val="2"/>
        <charset val="161"/>
      </rPr>
      <t>Direct-dial phone, Internet access, Mini Bar, Safe, Data port, Hairdryer</t>
    </r>
  </si>
  <si>
    <r>
      <t xml:space="preserve">Hotel Facilities: </t>
    </r>
    <r>
      <rPr>
        <sz val="10"/>
        <rFont val="Arial"/>
        <family val="2"/>
        <charset val="161"/>
      </rPr>
      <t>Bar, Conference Room, Fully Airconditioned, Parking, Restaurant, Room Service</t>
    </r>
    <r>
      <rPr>
        <i/>
        <sz val="10"/>
        <rFont val="Arial"/>
        <family val="2"/>
        <charset val="161"/>
      </rPr>
      <t xml:space="preserve">
Room Facilities:</t>
    </r>
    <r>
      <rPr>
        <sz val="10"/>
        <rFont val="Arial"/>
        <family val="2"/>
        <charset val="161"/>
      </rPr>
      <t xml:space="preserve"> Direct-dial phone, TV</t>
    </r>
  </si>
  <si>
    <r>
      <t xml:space="preserve">Hotel Facilities: </t>
    </r>
    <r>
      <rPr>
        <sz val="10"/>
        <rFont val="Arial"/>
        <family val="2"/>
        <charset val="161"/>
      </rPr>
      <t>A/C throughout, Bar, Central Heating, Convention Facilities, Restaurant, Room Service</t>
    </r>
    <r>
      <rPr>
        <i/>
        <sz val="10"/>
        <rFont val="Arial"/>
        <family val="2"/>
        <charset val="161"/>
      </rPr>
      <t xml:space="preserve">
Room Facilities: </t>
    </r>
    <r>
      <rPr>
        <sz val="10"/>
        <rFont val="Arial"/>
        <family val="2"/>
        <charset val="161"/>
      </rPr>
      <t>3-Channel Music</t>
    </r>
  </si>
  <si>
    <r>
      <t xml:space="preserve">Hotel Facilities: </t>
    </r>
    <r>
      <rPr>
        <sz val="10"/>
        <rFont val="Arial"/>
        <family val="2"/>
        <charset val="161"/>
      </rPr>
      <t>Mini bar, Room service 18 hours, Non-smoking rooms, Internet access in all rooms, Doctor on call, Car rental services, Luggage Storage Room, Wireless internet access in all, meeting rooms</t>
    </r>
    <r>
      <rPr>
        <i/>
        <sz val="10"/>
        <rFont val="Arial"/>
        <family val="2"/>
        <charset val="161"/>
      </rPr>
      <t xml:space="preserve">
Room Facilities: </t>
    </r>
    <r>
      <rPr>
        <sz val="10"/>
        <rFont val="Arial"/>
        <family val="2"/>
        <charset val="161"/>
      </rPr>
      <t>Satelite TV, Radio, Mini bar, Hairdryer, Wake up call, Room and laundry service</t>
    </r>
  </si>
  <si>
    <r>
      <t>Hotel Facilities:</t>
    </r>
    <r>
      <rPr>
        <sz val="10"/>
        <rFont val="Arial"/>
        <family val="2"/>
        <charset val="161"/>
      </rPr>
      <t xml:space="preserve"> Air-Condition, Bars, Central Heating, Parking, Restaurant, Roof Garden, Swimming Pool, Tavern</t>
    </r>
    <r>
      <rPr>
        <i/>
        <sz val="10"/>
        <rFont val="Arial"/>
        <family val="2"/>
        <charset val="161"/>
      </rPr>
      <t xml:space="preserve">
Room Facilities: </t>
    </r>
    <r>
      <rPr>
        <sz val="10"/>
        <rFont val="Arial"/>
        <family val="2"/>
        <charset val="161"/>
      </rPr>
      <t>Air-condition, Color TV, Radio, Telephone</t>
    </r>
  </si>
  <si>
    <r>
      <t xml:space="preserve">Hotel Facilities: </t>
    </r>
    <r>
      <rPr>
        <sz val="10"/>
        <rFont val="Arial"/>
        <family val="2"/>
        <charset val="161"/>
      </rPr>
      <t>Air-Condition in common areas, Bar, Children’s Pool, Conference Hall, Hair Salon, Pool Bar, Restaurant, Safe Deposit Boxes, Sauna, Shops, Swimming Pool, Tennis Court, TV Room</t>
    </r>
    <r>
      <rPr>
        <i/>
        <sz val="10"/>
        <rFont val="Arial"/>
        <family val="2"/>
        <charset val="161"/>
      </rPr>
      <t xml:space="preserve">
Room Facilities: </t>
    </r>
    <r>
      <rPr>
        <sz val="10"/>
        <rFont val="Arial"/>
        <family val="2"/>
        <charset val="161"/>
      </rPr>
      <t>Air-condition, Hairdryer, Music, Telephone</t>
    </r>
  </si>
  <si>
    <r>
      <t>Hotel Facilities: 2</t>
    </r>
    <r>
      <rPr>
        <sz val="10"/>
        <rFont val="Arial"/>
        <family val="2"/>
        <charset val="161"/>
      </rPr>
      <t>0 meeting &amp; function rooms, 4 Swimming Pools, 6 Bars, 6 Restaurants, Aerobics, Bank, Beauty Salon, Disco Club, Executive VIP Wings,
Fitness Centre, Games Rooms, Int’nal Conference Centre, Jacuzzi, Massage, Piano Lounge, Room Service, Sauna, Shopping Arcade, Steam Room, Tennis
Court, Water Sports</t>
    </r>
    <r>
      <rPr>
        <i/>
        <sz val="10"/>
        <rFont val="Arial"/>
        <family val="2"/>
        <charset val="161"/>
      </rPr>
      <t xml:space="preserve">
Room Facilities: </t>
    </r>
    <r>
      <rPr>
        <sz val="10"/>
        <rFont val="Arial"/>
        <family val="2"/>
        <charset val="161"/>
      </rPr>
      <t>Air-condition, Balcony, Direct-dial phone, Satellite TV</t>
    </r>
  </si>
  <si>
    <r>
      <t xml:space="preserve">Hotel Facilities: </t>
    </r>
    <r>
      <rPr>
        <sz val="10"/>
        <rFont val="Arial"/>
        <family val="2"/>
        <charset val="161"/>
      </rPr>
      <t>Air-Condition in common areas, Central Heating, Safe Deposit Boxes, Snack Bar, TV Room</t>
    </r>
    <r>
      <rPr>
        <i/>
        <sz val="10"/>
        <rFont val="Arial"/>
        <family val="2"/>
        <charset val="161"/>
      </rPr>
      <t xml:space="preserve">
Room Facilities: </t>
    </r>
    <r>
      <rPr>
        <sz val="10"/>
        <rFont val="Arial"/>
        <family val="2"/>
        <charset val="161"/>
      </rPr>
      <t>Air-condition, Color TV, Music, Telephone</t>
    </r>
  </si>
  <si>
    <r>
      <t xml:space="preserve">Hotel Facilities: </t>
    </r>
    <r>
      <rPr>
        <sz val="10"/>
        <rFont val="Arial"/>
        <family val="2"/>
        <charset val="161"/>
      </rPr>
      <t>Safe Box, Snack Bar, Swimming Pool</t>
    </r>
    <r>
      <rPr>
        <i/>
        <sz val="10"/>
        <rFont val="Arial"/>
        <family val="2"/>
        <charset val="161"/>
      </rPr>
      <t xml:space="preserve">
Room Facilities: </t>
    </r>
    <r>
      <rPr>
        <sz val="10"/>
        <rFont val="Arial"/>
        <family val="2"/>
        <charset val="161"/>
      </rPr>
      <t>Air-condition, Balcony with View, Fridge, Music, Telephone, TV</t>
    </r>
  </si>
  <si>
    <r>
      <t xml:space="preserve">Hotel Facilities: </t>
    </r>
    <r>
      <rPr>
        <sz val="10"/>
        <rFont val="Arial"/>
        <family val="2"/>
        <charset val="161"/>
      </rPr>
      <t>2 Swimming Pools, Air-Condition in common areas, Bar, Children’s Pool, Jacuzzi, Parking, Pool Bar, Reception, Restaurant, Room Service, Safe Deposit Boxes, TV Room</t>
    </r>
    <r>
      <rPr>
        <i/>
        <sz val="10"/>
        <rFont val="Arial"/>
        <family val="2"/>
        <charset val="161"/>
      </rPr>
      <t xml:space="preserve">
Room Facilities: </t>
    </r>
    <r>
      <rPr>
        <sz val="10"/>
        <rFont val="Arial"/>
        <family val="2"/>
        <charset val="161"/>
      </rPr>
      <t>Air-condition, Direct-dial phone, Fully Equiped Kitchenette, Music, Private Balcony w/Volcano View, Safe Box, Satellite Color TV</t>
    </r>
  </si>
  <si>
    <r>
      <t xml:space="preserve">Hotel Facilities: </t>
    </r>
    <r>
      <rPr>
        <sz val="10"/>
        <rFont val="Arial"/>
        <family val="2"/>
        <charset val="161"/>
      </rPr>
      <t>Cafeteria, Snack Bar</t>
    </r>
    <r>
      <rPr>
        <i/>
        <sz val="10"/>
        <rFont val="Arial"/>
        <family val="2"/>
        <charset val="161"/>
      </rPr>
      <t xml:space="preserve">
Room Facilities: </t>
    </r>
    <r>
      <rPr>
        <sz val="10"/>
        <rFont val="Arial"/>
        <family val="2"/>
        <charset val="161"/>
      </rPr>
      <t>Fridge, Music, Telephone, Ventilator</t>
    </r>
  </si>
  <si>
    <r>
      <t xml:space="preserve">Hotel Facilities: </t>
    </r>
    <r>
      <rPr>
        <sz val="10"/>
        <rFont val="Arial"/>
        <family val="2"/>
        <charset val="161"/>
      </rPr>
      <t>Bar, Parking, Pool Bar, Safe Deposit Boxes, Snack Bar, Swimming Pool, TV Room</t>
    </r>
    <r>
      <rPr>
        <i/>
        <sz val="10"/>
        <rFont val="Arial"/>
        <family val="2"/>
        <charset val="161"/>
      </rPr>
      <t xml:space="preserve">
Room Facilities: </t>
    </r>
    <r>
      <rPr>
        <sz val="10"/>
        <rFont val="Arial"/>
        <family val="2"/>
        <charset val="161"/>
      </rPr>
      <t>Music, Telephone</t>
    </r>
  </si>
  <si>
    <r>
      <t xml:space="preserve">Hotel Facilities: </t>
    </r>
    <r>
      <rPr>
        <sz val="10"/>
        <rFont val="Arial"/>
        <family val="2"/>
        <charset val="161"/>
      </rPr>
      <t>A/C throughout, Bar, Billiards, Children’s Playground, Fitness Centre, Gym, Health Club, Parking, Pool Bar, Restaurant, Room Service, Safe Deposit Boxes, Snack Bar, Swimming Pool, TV Room</t>
    </r>
    <r>
      <rPr>
        <i/>
        <sz val="10"/>
        <rFont val="Arial"/>
        <family val="2"/>
        <charset val="161"/>
      </rPr>
      <t xml:space="preserve">
Room Facilities: </t>
    </r>
    <r>
      <rPr>
        <sz val="10"/>
        <rFont val="Arial"/>
        <family val="2"/>
        <charset val="161"/>
      </rPr>
      <t>Air-condition, Balcony or Terrace, Direct-dial phone, Music, Safe Box, Satellite Color TV</t>
    </r>
  </si>
  <si>
    <t>01/05-30/09</t>
  </si>
  <si>
    <t>Sun Rocks - Apartment</t>
  </si>
  <si>
    <t>Dana Villas - Apartment</t>
  </si>
  <si>
    <t>On The Rocks - Apartment</t>
  </si>
  <si>
    <t>01/06-19/06</t>
  </si>
  <si>
    <t>Aressana</t>
  </si>
  <si>
    <t>Mystique</t>
  </si>
  <si>
    <t>Perivolas - Apartment</t>
  </si>
  <si>
    <t>Chromata - Apartment</t>
  </si>
  <si>
    <t>Ellinon Thea</t>
  </si>
  <si>
    <t>Rocabella Villas - Apartment</t>
  </si>
  <si>
    <t>Volcano’s View - Apartment</t>
  </si>
  <si>
    <r>
      <t xml:space="preserve">Hotel Facilities: </t>
    </r>
    <r>
      <rPr>
        <sz val="10"/>
        <rFont val="Arial"/>
        <family val="2"/>
        <charset val="161"/>
      </rPr>
      <t>Billiards, Gift Shop, Ping Pong, Snack Bar, Swimming Pool</t>
    </r>
    <r>
      <rPr>
        <i/>
        <sz val="10"/>
        <rFont val="Arial"/>
        <family val="2"/>
        <charset val="161"/>
      </rPr>
      <t xml:space="preserve">
Room Facilities: </t>
    </r>
    <r>
      <rPr>
        <sz val="10"/>
        <rFont val="Arial"/>
        <family val="2"/>
        <charset val="161"/>
      </rPr>
      <t>Air-condition, Direct-dial phone, Fridge, Hairdryer, Music, Safe Box, Satellite TV, Sea View</t>
    </r>
  </si>
  <si>
    <r>
      <t>Hotel Facilities:</t>
    </r>
    <r>
      <rPr>
        <sz val="10"/>
        <rFont val="Arial"/>
        <family val="2"/>
        <charset val="161"/>
      </rPr>
      <t xml:space="preserve"> Air-Condition in common areas, Bar, Conference Hall, Mini Market, Parking, Pool Bar, Restaurant, Safe Deposit Boxes, Sea Sports, Shops, Snack Bar, Swimming Pool, Tennis Court, TV Room</t>
    </r>
    <r>
      <rPr>
        <i/>
        <sz val="10"/>
        <rFont val="Arial"/>
        <family val="2"/>
        <charset val="161"/>
      </rPr>
      <t xml:space="preserve">
Room Facilities: </t>
    </r>
    <r>
      <rPr>
        <sz val="10"/>
        <rFont val="Arial"/>
        <family val="2"/>
        <charset val="161"/>
      </rPr>
      <t>Air-condition, Hairdryer, Mini Fridge, Music, Telephone</t>
    </r>
  </si>
  <si>
    <r>
      <t>Hotel Facilities</t>
    </r>
    <r>
      <rPr>
        <sz val="10"/>
        <rFont val="Arial"/>
        <family val="2"/>
        <charset val="161"/>
      </rPr>
      <t xml:space="preserve">: Air-Condition in common areas, Bar, Parking, Safe Deposit Boxes, Shops, Snack Bar, Swimming Pool, TV Room
</t>
    </r>
    <r>
      <rPr>
        <i/>
        <sz val="10"/>
        <rFont val="Arial"/>
        <family val="2"/>
        <charset val="161"/>
      </rPr>
      <t>Room Facilities</t>
    </r>
    <r>
      <rPr>
        <sz val="10"/>
        <rFont val="Arial"/>
        <family val="2"/>
        <charset val="161"/>
      </rPr>
      <t>: Air-condition, Mini Fridge, Music, Telephone</t>
    </r>
  </si>
  <si>
    <r>
      <t>Hotel Facilities: Room Services, Main Bar, Main Restaurant, Central heating, WiFi internet access, Pool bar, Snack bar, Laundry service, , Baby sitting, Children's Pool, Parking
Room Facilities:</t>
    </r>
    <r>
      <rPr>
        <sz val="10"/>
        <rFont val="Arial"/>
        <family val="2"/>
        <charset val="161"/>
      </rPr>
      <t xml:space="preserve"> Mini bar, interactive TV, Direct dial phone, Hairdryer, garden view</t>
    </r>
  </si>
  <si>
    <r>
      <t xml:space="preserve">Hotel Facilities: </t>
    </r>
    <r>
      <rPr>
        <sz val="10"/>
        <rFont val="Arial"/>
        <family val="2"/>
        <charset val="161"/>
      </rPr>
      <t>Laundry Service, Pool Bar, Safe Box, Swimming Pool, TV Room</t>
    </r>
    <r>
      <rPr>
        <i/>
        <sz val="10"/>
        <rFont val="Arial"/>
        <family val="2"/>
        <charset val="161"/>
      </rPr>
      <t xml:space="preserve">
Room Facilities: </t>
    </r>
    <r>
      <rPr>
        <sz val="10"/>
        <rFont val="Arial"/>
        <family val="2"/>
        <charset val="161"/>
      </rPr>
      <t>Air-condition, Balcony or Terrace w/ Sea View, Music, Telephone</t>
    </r>
  </si>
  <si>
    <r>
      <t>Hotel Facilities: Room Services, Bar, Restaurant, Internet access, Outdoor Swimming pool, Children's pool &amp; playground, Garden
Room Facilities:</t>
    </r>
    <r>
      <rPr>
        <sz val="10"/>
        <rFont val="Arial"/>
        <family val="2"/>
        <charset val="161"/>
      </rPr>
      <t xml:space="preserve"> A/C, Satellite TV, Direct dial phone, Bath or Shower </t>
    </r>
  </si>
  <si>
    <r>
      <t xml:space="preserve">Hotel Facilities: </t>
    </r>
    <r>
      <rPr>
        <sz val="10"/>
        <rFont val="Arial"/>
        <family val="2"/>
        <charset val="161"/>
      </rPr>
      <t>Baby Sitting, Hairdresser, Laundry Service, Main Bar, Room Service, Safe Box, Swimming Pool, TV Room, Twice daily Maid service</t>
    </r>
    <r>
      <rPr>
        <i/>
        <sz val="10"/>
        <rFont val="Arial"/>
        <family val="2"/>
        <charset val="161"/>
      </rPr>
      <t xml:space="preserve">
Room Facilities: </t>
    </r>
    <r>
      <rPr>
        <sz val="10"/>
        <rFont val="Arial"/>
        <family val="2"/>
        <charset val="161"/>
      </rPr>
      <t>Air-condition, Balcony or Terrace, Direct-dial phone, Mini Bar, Music, Satellite TV</t>
    </r>
  </si>
  <si>
    <r>
      <t xml:space="preserve">Hotel Facilities: </t>
    </r>
    <r>
      <rPr>
        <sz val="10"/>
        <rFont val="Arial"/>
        <family val="2"/>
        <charset val="161"/>
      </rPr>
      <t>Air-Condition, Parking, Pool Bar, Safe Deposit Boxes, Snack Bar, Swimming Pool, TV Room</t>
    </r>
    <r>
      <rPr>
        <i/>
        <sz val="10"/>
        <rFont val="Arial"/>
        <family val="2"/>
        <charset val="161"/>
      </rPr>
      <t xml:space="preserve">
Room Facilities: </t>
    </r>
    <r>
      <rPr>
        <sz val="10"/>
        <rFont val="Arial"/>
        <family val="2"/>
        <charset val="161"/>
      </rPr>
      <t>Air-condition, Hairdryer, Kitchenette, Music, Satellite Color TV, Telephone</t>
    </r>
  </si>
  <si>
    <r>
      <t>Hotel Facilities:</t>
    </r>
    <r>
      <rPr>
        <sz val="10"/>
        <rFont val="Arial"/>
        <family val="2"/>
        <charset val="161"/>
      </rPr>
      <t xml:space="preserve"> 24 hour front desk, air conditioning, lounge bar, a la carte &amp; gourmet restaurants,  Three swimming pools all with jacuzzi, pool bar, sauna, fitness centre, games room, massage, Jacuzzi, Hammam, Spa, children’s playground, wireless internet, conference room, non-smoking rooms, meeting facilities, terrace, garden, parking</t>
    </r>
    <r>
      <rPr>
        <i/>
        <sz val="10"/>
        <rFont val="Arial"/>
        <family val="2"/>
        <charset val="161"/>
      </rPr>
      <t xml:space="preserve">
Room Facilities: air conditioning, Jacuzzi bathtub, mini bar, satellite plasma TV, safe box, wireless internet connection, Hi-Fi with CD collection, DVD home cinema, hair dryer, sound proof windows and doors</t>
    </r>
  </si>
  <si>
    <r>
      <t xml:space="preserve">Hotel Facilities: </t>
    </r>
    <r>
      <rPr>
        <sz val="10"/>
        <rFont val="Arial"/>
        <family val="2"/>
        <charset val="161"/>
      </rPr>
      <t>A/C throughout, Children’s Playground, Children’s Pool, Conference Room, Fitness Club, Jacuzzi, Main Bar, Main Restaurant, Parking, Pool Snack Bar, Restaurant a La Carte, Sauna, Swim. Pool w/Underwater Music, Table Tennis, Tavern, Tennis Court, TV Room, Volley</t>
    </r>
    <r>
      <rPr>
        <i/>
        <sz val="10"/>
        <rFont val="Arial"/>
        <family val="2"/>
        <charset val="161"/>
      </rPr>
      <t xml:space="preserve">
Room Facilities: </t>
    </r>
    <r>
      <rPr>
        <sz val="10"/>
        <rFont val="Arial"/>
        <family val="2"/>
        <charset val="161"/>
      </rPr>
      <t>Balcony/Terrace w.Garden/Sea V, Direct-dial phone, Fridge, Hairdryer, Mini Bar, Radio, Safe Box, Satellite TV</t>
    </r>
  </si>
  <si>
    <r>
      <t xml:space="preserve">Hotel Facilities: </t>
    </r>
    <r>
      <rPr>
        <sz val="10"/>
        <rFont val="Arial"/>
        <family val="2"/>
        <charset val="161"/>
      </rPr>
      <t>Bar, Laundry Service, Parking, Pool Bar, Snack Bar, Swimming Pool, TV Lounge</t>
    </r>
    <r>
      <rPr>
        <i/>
        <sz val="10"/>
        <rFont val="Arial"/>
        <family val="2"/>
        <charset val="161"/>
      </rPr>
      <t xml:space="preserve">
Room Facilities: </t>
    </r>
    <r>
      <rPr>
        <sz val="10"/>
        <rFont val="Arial"/>
        <family val="2"/>
        <charset val="161"/>
      </rPr>
      <t>Direct-dial phone, Hairdryer, Kitchenette, Safe Box, Terrace</t>
    </r>
  </si>
  <si>
    <t>Kos, Psalidi</t>
  </si>
  <si>
    <t xml:space="preserve">Standard Room </t>
  </si>
  <si>
    <t>Hotel Facilities: A/C, Central Heating, Lounge, Fireplace
Room Facilities: TV, Bath, Hairdryer, Balcony</t>
  </si>
  <si>
    <r>
      <t xml:space="preserve">Hotel Facilities: </t>
    </r>
    <r>
      <rPr>
        <sz val="10"/>
        <rFont val="Arial"/>
        <family val="2"/>
        <charset val="161"/>
      </rPr>
      <t>Bar, Central Heating, Children’s Pool, Parking, Restaurant, Room Service, Safe Box, Swimming Pool</t>
    </r>
    <r>
      <rPr>
        <i/>
        <sz val="10"/>
        <rFont val="Arial"/>
        <family val="2"/>
        <charset val="161"/>
      </rPr>
      <t xml:space="preserve">
Room Facilities: </t>
    </r>
    <r>
      <rPr>
        <sz val="10"/>
        <rFont val="Arial"/>
        <family val="2"/>
        <charset val="161"/>
      </rPr>
      <t>Air-condition, Balcony or Terrace, Direct-dial phone, Music, Radio, Satellite Color TV, Telephone</t>
    </r>
  </si>
  <si>
    <t>Aquis Corfu Holidays Palace</t>
  </si>
  <si>
    <t>Nissaki Beach</t>
  </si>
  <si>
    <r>
      <t xml:space="preserve">Hotel Facilities: </t>
    </r>
    <r>
      <rPr>
        <sz val="10"/>
        <rFont val="Arial"/>
        <family val="2"/>
        <charset val="161"/>
      </rPr>
      <t>2 Conference Centers, 2 Shopping Arcades, 3 Tennis courts, 4 Outdoor Swimming Pools, Animation Team, Beach Bar, Billiards, Bridge Room, Children’s Playground, Children’s Pool, Fish Restaurant, Fitness Club, Hairdresser, Indoor Heated Pool, Main Bar, Main Restaurant, Mini Golf, Night Club, Open Air Amphitheatrer, Ouzeri, Physiotherapy, Sauna, Scuba Diving, Self-service Restaurant, Squash Court, Tavern, Tennis School, Video Room, Water Sports, Wine Bar</t>
    </r>
    <r>
      <rPr>
        <i/>
        <sz val="10"/>
        <rFont val="Arial"/>
        <family val="2"/>
        <charset val="161"/>
      </rPr>
      <t xml:space="preserve">
Room Facilities: </t>
    </r>
    <r>
      <rPr>
        <sz val="10"/>
        <rFont val="Arial"/>
        <family val="2"/>
        <charset val="161"/>
      </rPr>
      <t>Air-condition, Direct-dial phone, Fridge, Hairdryer, Safe Box, Satellite TV</t>
    </r>
  </si>
  <si>
    <r>
      <t xml:space="preserve">Hotel Facilities: </t>
    </r>
    <r>
      <rPr>
        <sz val="10"/>
        <rFont val="Arial"/>
        <family val="2"/>
        <charset val="161"/>
      </rPr>
      <t>2 Children’s Pool, 2 Poolside Bars, 4 Swimming Pools, 4 Tennis Courts, Aerobics, Archery, Beach Snack Bar, Billiards, Children’s Fantasy
Land, Coffee &amp; Pastry Shop, Diet Restaurant, Gourmet Restaurant, Hairdresser, Hammam, Indoor Heated Pool, Kiosk, Mini Golf, Mini Market, Night Club,
Outdoor Exercise Ground, Restaurant, Room Service, Sauna, Self-service Restaurant, Shopping Arcade, Squash Court, Table Tennis, Tavern A La Carte,
Tennis Club &amp; Bar, Tennis School, Terrace Bar, Volley, Water Polo, Water Sports Centre, Wine Bar</t>
    </r>
    <r>
      <rPr>
        <i/>
        <sz val="10"/>
        <rFont val="Arial"/>
        <family val="2"/>
        <charset val="161"/>
      </rPr>
      <t xml:space="preserve">
Room Facilities: </t>
    </r>
    <r>
      <rPr>
        <sz val="10"/>
        <rFont val="Arial"/>
        <family val="2"/>
        <charset val="161"/>
      </rPr>
      <t>Air-condition, Fridge, Furnished Balcony Or Radio, Hairdryer, Marble Bath, Safe Box, Satellite TV, Telephone</t>
    </r>
  </si>
  <si>
    <r>
      <t xml:space="preserve">Hotel Facilities: </t>
    </r>
    <r>
      <rPr>
        <sz val="10"/>
        <rFont val="Arial"/>
        <family val="2"/>
        <charset val="161"/>
      </rPr>
      <t>Air-Condition, 3 Bars, Jewelry, Main Restaurant, 24h Room Service, Sauna, Indoor heated Swimming Pool, Childrens pool &amp; kids club, Baby sitting</t>
    </r>
    <r>
      <rPr>
        <i/>
        <sz val="10"/>
        <rFont val="Arial"/>
        <family val="2"/>
        <charset val="161"/>
      </rPr>
      <t xml:space="preserve">
Room Facilities:</t>
    </r>
    <r>
      <rPr>
        <sz val="10"/>
        <rFont val="Arial"/>
        <family val="2"/>
        <charset val="161"/>
      </rPr>
      <t xml:space="preserve"> Direct-dial phone, Mini Bar, Safe, Satellite TV, A/C</t>
    </r>
  </si>
  <si>
    <t>Novus</t>
  </si>
  <si>
    <t>23 Karolou str., Karaiskaki Square, Athens</t>
  </si>
  <si>
    <t>56 Premium Rooms, 5 Deluxe, 22 22 Executive king size Rooms, 1 Junior Suite, 1 Executive Suite</t>
  </si>
  <si>
    <t>Hotel Facilities: 24-hour reception &amp; concierge service, Free WiFi in all areas, Porter service &amp; luggage storage, Safe private parking, Rooftop swimming pool and terrace, Babysitting service
Room Facilities: Smoking &amp; non-smoking floors available, Satellite 22’’ LCD TV, Free WiFi, Direct phone line, 18hour room service, A/C, Mini fridge, Safe deposit box.</t>
  </si>
  <si>
    <t xml:space="preserve"> Standard Rooms</t>
  </si>
  <si>
    <t>Afrodite</t>
  </si>
  <si>
    <t>Hotel Facilities: Pool, Pool Bar, Garden, Sitting room, A/C, Satellite TV, internet, Breakfast,  Bar, Parking, Reception, Credit cards, Wake-up call, Pets Allowed
Room Facilities:  Balcony, A/C,  Telephone, Satellite TV,  Music, Wi-Fi Internet, Safe, WC, Shower, Hairdryer, Fridge, Baby Cot</t>
  </si>
  <si>
    <t xml:space="preserve"> 30 Standard Rooms, 8 suites </t>
  </si>
  <si>
    <t>10km away from Skopelos Town</t>
  </si>
  <si>
    <t>Panormos beach - Skopelos</t>
  </si>
  <si>
    <t>Prince Stafilos</t>
  </si>
  <si>
    <t>90 meters from the sea and 300 meters from the port</t>
  </si>
  <si>
    <t>Hotel Facilities: 
Room Facilities: A/C, Bathroom, Mini Bar, Music Channels, Telephone, TV-Standard Network, 24 Hour Housekeeping</t>
  </si>
  <si>
    <t>Apollonion Palace</t>
  </si>
  <si>
    <t>Syrou Melathron</t>
  </si>
  <si>
    <t>Hermes</t>
  </si>
  <si>
    <t>Kanari square, Hermoupolis, Syros Island</t>
  </si>
  <si>
    <t xml:space="preserve">Hotel Facilities: WiFi , Room service, Bar &amp; restaurant, Elevator, Breakfast buffet, Parking, Safe deposit boxes in the reception area
Room Facilities: A/C, WiFi Internet, Telephone, Veranda or Balcony, Led Tv, Bathtub or shower, 
Hair dryer 
</t>
  </si>
  <si>
    <t>12 Apollonos street, Hermoupolis, Syros</t>
  </si>
  <si>
    <t>Babagiotou 5, Vaporia, Hermoupolis</t>
  </si>
  <si>
    <t>Hotel Facilities: 24-hour Room Service, Breakfast, Café-Bar, Roof Garden, Laundry, Dry-cleaning service
Room Facilities:  Private bathroom with bathtub or shower, Mini bar, LCD TV, A/C, Safe, Direct telephone line, Internet</t>
  </si>
  <si>
    <t>LAGANAS, ZAKYNTHOS</t>
  </si>
  <si>
    <t>Standard Rooms</t>
  </si>
  <si>
    <t>Elea Beach</t>
  </si>
  <si>
    <t>Dassia Corfu Greece</t>
  </si>
  <si>
    <t>Hotel Facilities: Sea-water pool, Children's pool, Lobby &amp; Pool bar, Gym, Spa, Playground, Parking
Room Facilities: Free Wi-Fi, A/C, Room safe, flat -screen TV, Pet friendly, Hairdryer</t>
  </si>
  <si>
    <t>Splendour</t>
  </si>
  <si>
    <t>Firostefani just 10 minutes walk from the centre of Santorini, the village of Fira</t>
  </si>
  <si>
    <t>Firostefani, Santorini</t>
  </si>
  <si>
    <t xml:space="preserve">Hotel Facilities: Outdoor Swimming. Pool, Bar, 24Hour Front Desk, Garden
Room Facilities: Room Service, Laundry, A/C, Wi-Fi Internet </t>
  </si>
  <si>
    <t>Arty Grand</t>
  </si>
  <si>
    <t xml:space="preserve">Drouva, Ancient Olympia </t>
  </si>
  <si>
    <t>55 Standard Rooms, 6 Suites</t>
  </si>
  <si>
    <t>Hotel Facilities: Spa, bar, restaurant, exterior swimming-pool with bar
Room Facilities: A/C, Direct dial telephone with Voice Mail, Electronic Locks, 32'' Flat Screen TV, DVD player, jacuzzi Bathtubs, Make-up Mirror &amp; Hairdyer, Mini-Bar, Treasure box, Balcony or Terrace, Wi-Fi</t>
  </si>
  <si>
    <t>Aktaion Resort</t>
  </si>
  <si>
    <t xml:space="preserve">Selinitsa Beach, Gythio, Lakonia, Greece </t>
  </si>
  <si>
    <t>Hotel Facilities: Internet, Television room, Pool Bar, Restaurant, Children's Pool, Garden, Parking, Outdoor pool, Room service
Room Facilities: A/C, Safe, Hairdryer, Toilet, Bathroom with shower, Satellite TV, Balcony, Free Wifi</t>
  </si>
  <si>
    <t>Akti Taygetos</t>
  </si>
  <si>
    <t>Mikri Mantinia, Kalamata</t>
  </si>
  <si>
    <t>Mikri Mantinia</t>
  </si>
  <si>
    <t>Hotel Facilities: Large pool, Jacuzzi, Cocktail bar, Snack bar, Music, Board games, Pool area service, Parking
Room Facilities: A/C, Colour satellite TV, Wireless Internet access, Mini-bar, Safe, Hair dryer,  Direct telephone lines, Room service, Dry cleaning service (on request), Baby-sitting service (on request)</t>
  </si>
  <si>
    <t>Rocabella</t>
  </si>
  <si>
    <t>300 meters from the beautiful beach of Agios Stefanos</t>
  </si>
  <si>
    <t>4 Superior, 5 Deluxe, The 5 honeymoon suites</t>
  </si>
  <si>
    <t xml:space="preserve">Hotel Facilities: A/C, Wake up call service, Welcome Drink, Room Service, Free WI-Fi access, Free roundtrip transfers 
Room Facilities: A/C, Bathroom with Shower, Satellite TV, CD/DVD Player, Direct dial telephone, Hairdryer, Internet Access
</t>
  </si>
  <si>
    <t xml:space="preserve">Elena </t>
  </si>
  <si>
    <t>Rohari, Mykonos</t>
  </si>
  <si>
    <t>Hotel Facilities: 24 hour front desk, Business Center, Dry cleaning service, Laundry, Lounge/Bar
Room Facilities: A/C, Internet, Hair Dryer, DVD Player, Safe, Room Service, Refrigerator</t>
  </si>
  <si>
    <t>Naxos Island</t>
  </si>
  <si>
    <t>Agios Prokopios, Naxos</t>
  </si>
  <si>
    <t xml:space="preserve">Agios Prokopios </t>
  </si>
  <si>
    <t>Hotel Facilities: Gym, two spa, beauty treatments, Massage rooms, Restaurant, Roof swimming pool, Roof  bar restaurant, Hairdresser salon, Parking, 24 hours reception service
Room Facilities: A/C, Minibar. Wireless phone, Hairdryer, Radio, Bathroom with bathtub</t>
  </si>
  <si>
    <t>Al Mare</t>
  </si>
  <si>
    <t>Hotel Facilities: Beach / water sports, Wind surfing, Loungers &amp; umbrellas,  Beach restaurants, Beach clubs, Mini markets,  Car rentals
Room Facilities: Air conditioning , TV, Kitchenette (in Studios), Hair Dryer, Free internet wireless access, Balcony / Veranda</t>
  </si>
  <si>
    <t>Saint George Beach, Naxos Town</t>
  </si>
  <si>
    <t xml:space="preserve">Emerald </t>
  </si>
  <si>
    <t>High Mill</t>
  </si>
  <si>
    <t>Oasis</t>
  </si>
  <si>
    <t>Pyrgaki</t>
  </si>
  <si>
    <t>Senia</t>
  </si>
  <si>
    <t>Amalthia</t>
  </si>
  <si>
    <t>Aquila Atlantis</t>
  </si>
  <si>
    <t>Electra Metropolis</t>
  </si>
  <si>
    <t>15, Mitropoleos street, Athens</t>
  </si>
  <si>
    <t>186 Room(s) - 18 Family Room (s) - 19 Suite (s)</t>
  </si>
  <si>
    <t>Hotel Facilities: Roodtop pool, Roof garden, Restaurant, Bar, SPA, Meeting rooms, Free WIFI
Room Facilities: Magnifying mirror, Flat-screen TV, Wi-Fi Wireless Internet, Sound proof, Minibar, Direct-dial phone, Bath or shower, Safe box</t>
  </si>
  <si>
    <t>Hotel Facilities: Conference Room, Internet Room, Breakfast (Buffet), Cafeteria, Restaurant, Bar &amp; Pool Bar, Pool &amp; Children pool, Children Playground, Gym, Spa &amp; Hydromassage
Room Facilities:Balcony, TV-Sat, Bathroom, Hydromassage, Mini-fridge/bar, Safe box, Telephone, DVD, Internet access, Hairdryer</t>
  </si>
  <si>
    <t>Karavomilos</t>
  </si>
  <si>
    <t>Naoussa, Paros Island</t>
  </si>
  <si>
    <t>Hotel Facilities: Reception, Lobby, Bar, Exchange, Room service, Laundry, Fax service, Parking, Pool 
Room Facilities: A/C, Balcony, Bathroom, Hair Dryer, Heating</t>
  </si>
  <si>
    <t>Hotel Facilities: Pool, Garden, Sitting room, TV, WiFi Free, Breakfast, Bar, Parking space, Reception, Safe, Laundry, Ironing, Retail Shop, Pets Allowed
Room Facilities: Sea &amp; Pool View, Balcony, A/C, Telephone, TV, Music, Wi-Fi Internet, Bathtub, Hairdryer, Fridge, Baby Cot</t>
  </si>
  <si>
    <t xml:space="preserve">Parikia </t>
  </si>
  <si>
    <t>Hotel Facilities:Safety deposit boxes, Free WiFi, Fax-photo-copying service/ printer, Lounge, Laundry and dry cleaning, Car rental arrangements, Ticket arrangements, Elevator, Wake up service, 24 hours front desk, 24 hours reception, Transfer from / to airport 
Room Facilities: Free wireless internet , Balcony, LCD TV, A/C, Direct phone line, Hair dryer, Mini fridge, Soundproof windows</t>
  </si>
  <si>
    <t xml:space="preserve">Parikia, Paros </t>
  </si>
  <si>
    <t>Hotel Facilities: Swimming pool, Reception area with TV, Bar/café, Children swimming pool, Sun beds and umbrellas 
Room Facilities: A/C, Mini fridge, Free WiFi, Balcony, Satellite TV, Safety deposit box, Bath / Shower, Sea view</t>
  </si>
  <si>
    <t>Hotel Facilities: Bay Pool, Beach Bar, Roof Garden Bar, Lounge Area with TV, 
Swimming-Pool, Children’s Playground, Table Tennis, Internet
Room Facilities:</t>
  </si>
  <si>
    <t xml:space="preserve">2, Ygias Street Heraklion, Crete </t>
  </si>
  <si>
    <t>158 Standard Rooms, 6 Suites</t>
  </si>
  <si>
    <t xml:space="preserve">Hotel Facilities: Spa, Restaurant, Bar, Swimming Pools 
Room Facilities: A/C, 42 flat screen HDTV,  Direct phone, Wi-Fi, Electronic safe, Mini bar, Exclusive bathroom amenities, Hairdryer, Double glazed windows, Laundry service </t>
  </si>
  <si>
    <t>Agia Marina, Chania -Crete</t>
  </si>
  <si>
    <t>Hotel Facilities: Buffet breakfast room, Internet Corner, Gym, Day SPA,  TV lounge, Main bar, Swimming pool, Restaurant/ tavern, Pool bar, Reception, Playground
Room Facilities: A/C, Telephone, T.V., Safe Box, Wi-Fi, Mini Fridge</t>
  </si>
  <si>
    <t>Costa Navarino</t>
  </si>
  <si>
    <t>Hotel Facilities: A/C, Pool Bar, Swimming Pool, Spa, Sauna, Fitness center, tennis, Library, Cinema, internet, 24h Room Service
Room Facilities: Sattelite TV, Telephone, Internet, Fridge, hairdryer</t>
  </si>
  <si>
    <t>The Westin Resort Costa Navarino</t>
  </si>
  <si>
    <t>50km from Airport, 500m from beach</t>
  </si>
  <si>
    <t>317 Standard Rooms, 51 Suites, 76 Family Suites, 1 Villa</t>
  </si>
  <si>
    <t>Hotel Facilities: Room service, Dry cleaning, Breakfast served in the room, Ironing service, Fax / Photocopier.
Internet
Room Facilities: Restaurant, 24hour Reception, Elevator, Safe-deposit box, Heating, Luggage storage area, Air-conditioning</t>
  </si>
  <si>
    <t>2km from Airport, 150m from city center</t>
  </si>
  <si>
    <t>Olympic Village</t>
  </si>
  <si>
    <t>Hotel Facilities: Outdoor Swimming Pool, Restaurant &amp; Bar, Free Parking, Balconies, Business Center
Room Facilities: A/C, Free WiFi, Satellite TV, Music System</t>
  </si>
  <si>
    <t xml:space="preserve">Miro Zante Royal Resort </t>
  </si>
  <si>
    <t>155 rooms out of which 49 twin rooms, 96 family rooms &amp; maisonettes &amp; 10 two bedroomed family rooms</t>
  </si>
  <si>
    <t>Hotel Facilities: Restaurant, swimming pool, Children's pool, tennis court, playground, Health Club with gym
Room Facilities: balcony with garden or sea view, bathroom, air-conditioning, satellite TV, mini-fridge, safe deposit box(at extra charge), hair dryer and direct dial telephone</t>
  </si>
  <si>
    <t xml:space="preserve">Vassilikos </t>
  </si>
  <si>
    <t>Filoxenia</t>
  </si>
  <si>
    <t>188 Standard Rooms, 8 Suites</t>
  </si>
  <si>
    <t>Navarinou Str. Kalamata</t>
  </si>
  <si>
    <t>Hotel Facilities: Outdoor &amp; Indoor Pool with Jacuzzi, Business and secretarial support, Kid’s Pool, Elixir Olive Spa, Fitness Centre, Floodlit Tennis Court, Lounge / Pool Bar, Beach Bar, Free Wi-Fi Internet Access,  Conference Hall, Library &amp; Play room, Rooms for people with limited mobility, Private car park
Room Facilities: Welcome drink on arrival, 16-hour room service, 24-hour Concierge Services, Doctor on call – 24 hours,  Dry cleaning / laundry / pressing, Baby Sitting Services (on request)</t>
  </si>
  <si>
    <t>01/09-22/10</t>
  </si>
  <si>
    <t>01/01-05/03</t>
  </si>
  <si>
    <t>06/03-09/04</t>
  </si>
  <si>
    <t>10/04-15/10</t>
  </si>
  <si>
    <t>01/05-14/07</t>
  </si>
  <si>
    <t>01/05-30/07</t>
  </si>
  <si>
    <r>
      <t xml:space="preserve">Hotel Facilities: </t>
    </r>
    <r>
      <rPr>
        <sz val="10"/>
        <rFont val="Arial"/>
        <family val="2"/>
        <charset val="161"/>
      </rPr>
      <t>2 Bars, A/C throughout, Cafe, Convention Facilities, Disco Club, Dry Cleaning, Parking, Piano Bar, Restaurant, Roof Garden, Roof-top Swimming Pool, Room Service, Safe Deposit Boxes, Tavern, Twice daily Maid service</t>
    </r>
    <r>
      <rPr>
        <i/>
        <sz val="10"/>
        <rFont val="Arial"/>
        <family val="2"/>
        <charset val="161"/>
      </rPr>
      <t xml:space="preserve">
Room Facilities:</t>
    </r>
    <r>
      <rPr>
        <sz val="10"/>
        <rFont val="Arial"/>
        <family val="2"/>
        <charset val="161"/>
      </rPr>
      <t xml:space="preserve"> Direct-dial phone, Wi-Fi Internet, Fax &amp; Modem outlet, Satellite TV</t>
    </r>
  </si>
  <si>
    <t>01/02-30/03</t>
  </si>
  <si>
    <t>12/05-14/06</t>
  </si>
  <si>
    <t>11/03-11/04</t>
  </si>
  <si>
    <t>12/04-11/05</t>
  </si>
  <si>
    <t>12/05-22/06</t>
  </si>
  <si>
    <t>23/06-10/09</t>
  </si>
  <si>
    <t>15/01-13/04</t>
  </si>
  <si>
    <t>17/04-30/04</t>
  </si>
  <si>
    <t>14/04-16/04</t>
  </si>
  <si>
    <t>11/10-28/10</t>
  </si>
  <si>
    <t>11/06-14/07</t>
  </si>
  <si>
    <t>31/08-25/09</t>
  </si>
  <si>
    <t>15/07-30/08</t>
  </si>
  <si>
    <t>24/09-31/10</t>
  </si>
  <si>
    <t>03/09-23/09</t>
  </si>
  <si>
    <t>08/07-27/07</t>
  </si>
  <si>
    <t>20/08-02/09</t>
  </si>
  <si>
    <t>28/07-19/08</t>
  </si>
  <si>
    <t>07/09-31/12</t>
  </si>
  <si>
    <t>01/06-03/09</t>
  </si>
  <si>
    <t>01/05-30/10</t>
  </si>
  <si>
    <t>Petasos Town</t>
  </si>
  <si>
    <t>01/05-24/05</t>
  </si>
  <si>
    <t>25/05-07/06</t>
  </si>
  <si>
    <t>28/08-20/09</t>
  </si>
  <si>
    <t>Petasos Beach</t>
  </si>
  <si>
    <t>01/05-16/05</t>
  </si>
  <si>
    <t>17/05-08/06</t>
  </si>
  <si>
    <t>18/09-05/10</t>
  </si>
  <si>
    <t>30/08-17/09</t>
  </si>
  <si>
    <t>07/07-29/08</t>
  </si>
  <si>
    <t>15/04-14/05</t>
  </si>
  <si>
    <t>08/04-19/05</t>
  </si>
  <si>
    <t>30/09-28/10</t>
  </si>
  <si>
    <t>20/05-23/06</t>
  </si>
  <si>
    <t>16/09-29/09</t>
  </si>
  <si>
    <t>24/06-07/07</t>
  </si>
  <si>
    <t>02/09-15/09</t>
  </si>
  <si>
    <t>19/08-01/09</t>
  </si>
  <si>
    <t>22/07-18/08</t>
  </si>
  <si>
    <t>30/09-31/10</t>
  </si>
  <si>
    <t>01/06-25/07</t>
  </si>
  <si>
    <t>18/04-27/04</t>
  </si>
  <si>
    <t>01/04-13/04</t>
  </si>
  <si>
    <t>14/04-17/04</t>
  </si>
  <si>
    <t>28/04-01/06</t>
  </si>
  <si>
    <t>02/06-30/06</t>
  </si>
  <si>
    <t>01/07-04/09</t>
  </si>
  <si>
    <t>01/01-08/01</t>
  </si>
  <si>
    <t>24/02-27/02</t>
  </si>
  <si>
    <t>09/01-30/04</t>
  </si>
  <si>
    <t>01/04-25/05</t>
  </si>
  <si>
    <t>10/09-23/09</t>
  </si>
  <si>
    <t>25/08-09/09</t>
  </si>
  <si>
    <t>01/04-20/05</t>
  </si>
  <si>
    <t>21/05-15/06</t>
  </si>
  <si>
    <t>21/09-05/10</t>
  </si>
  <si>
    <t>27/08-20/09</t>
  </si>
  <si>
    <t>01/01-09/03</t>
  </si>
  <si>
    <t>10/03-29/06</t>
  </si>
  <si>
    <t>11/09-28/09</t>
  </si>
  <si>
    <t>21/07-03/08</t>
  </si>
  <si>
    <t>27/08-10/09</t>
  </si>
  <si>
    <t>04/08-26/08</t>
  </si>
  <si>
    <t>75 Standard Rooms</t>
  </si>
  <si>
    <t>01/04-07/07</t>
  </si>
  <si>
    <t>08/07-27/08</t>
  </si>
  <si>
    <t>28/08-31/10</t>
  </si>
  <si>
    <t>Sea View</t>
  </si>
  <si>
    <t>01/01-20/05</t>
  </si>
  <si>
    <t>13/04-17/04</t>
  </si>
  <si>
    <t>04/01-23/02</t>
  </si>
  <si>
    <t>28/02-31/03</t>
  </si>
  <si>
    <t>24/07-20/08</t>
  </si>
  <si>
    <t>01/03-31/12</t>
  </si>
  <si>
    <t>21/09-30/10</t>
  </si>
  <si>
    <t>16/10-15/11</t>
  </si>
  <si>
    <t>11/06-30/09</t>
  </si>
  <si>
    <t>11/06-15/09</t>
  </si>
  <si>
    <t>25/05-18/06</t>
  </si>
  <si>
    <t>09/09-30/09</t>
  </si>
  <si>
    <t>19/06-02/07</t>
  </si>
  <si>
    <t>28/08-08/09</t>
  </si>
  <si>
    <t>03/07-28/07</t>
  </si>
  <si>
    <t>29/07-27/08</t>
  </si>
  <si>
    <t>01/05-18/06</t>
  </si>
  <si>
    <t>09/09-15/10</t>
  </si>
  <si>
    <t>01/11-10/11</t>
  </si>
  <si>
    <t>1/10-31/10</t>
  </si>
  <si>
    <t>01/01-07/01</t>
  </si>
  <si>
    <t>28/02-12/04</t>
  </si>
  <si>
    <t>08/01-23/02</t>
  </si>
  <si>
    <t>01/11-20/12</t>
  </si>
  <si>
    <t>02/05-25/05</t>
  </si>
  <si>
    <t>17/09-14/10</t>
  </si>
  <si>
    <t>21/12-31/12</t>
  </si>
  <si>
    <t>26/05-29/06</t>
  </si>
  <si>
    <t>28/04-01/05</t>
  </si>
  <si>
    <t>30/06-26/08</t>
  </si>
  <si>
    <t>01/02-31/03</t>
  </si>
  <si>
    <t>16/10-19/11</t>
  </si>
  <si>
    <t>196 Standard Rooms, 8 Suites</t>
  </si>
  <si>
    <t>01/05-17/05</t>
  </si>
  <si>
    <t>05/10-12/10</t>
  </si>
  <si>
    <t>18/05-07/06</t>
  </si>
  <si>
    <t xml:space="preserve">Suite Junior </t>
  </si>
  <si>
    <t>01/04-28/04</t>
  </si>
  <si>
    <t>02/05-31/05</t>
  </si>
  <si>
    <t>01/06-17/06</t>
  </si>
  <si>
    <t>21/06-30/06</t>
  </si>
  <si>
    <t>29/04-01/05</t>
  </si>
  <si>
    <t>18/06-20/06</t>
  </si>
  <si>
    <t>Suite Junior</t>
  </si>
  <si>
    <t>03/05-25/05</t>
  </si>
  <si>
    <t>05/10-06/10</t>
  </si>
  <si>
    <t>26/05-15/06</t>
  </si>
  <si>
    <t>15/09-04/10</t>
  </si>
  <si>
    <t>16/06-02/07</t>
  </si>
  <si>
    <t>03/07-31/07</t>
  </si>
  <si>
    <t>04/09-31/10</t>
  </si>
  <si>
    <t>13/05-28/05</t>
  </si>
  <si>
    <t>18/09-01/10</t>
  </si>
  <si>
    <t>19/06-09/07</t>
  </si>
  <si>
    <t>24/08-17/09</t>
  </si>
  <si>
    <t>10/07-23/08</t>
  </si>
  <si>
    <t>18/04-29/04</t>
  </si>
  <si>
    <t>02/05-01/06</t>
  </si>
  <si>
    <t>05/06-09/08</t>
  </si>
  <si>
    <t>30/08-26/10</t>
  </si>
  <si>
    <t>29/10-21/12</t>
  </si>
  <si>
    <t>24/03-25/03</t>
  </si>
  <si>
    <t>27/10-28/10</t>
  </si>
  <si>
    <t>01/01-06/01</t>
  </si>
  <si>
    <t>30/04-01/05</t>
  </si>
  <si>
    <t>02/06-04/06</t>
  </si>
  <si>
    <t>10/08-29/08</t>
  </si>
  <si>
    <t>22/12-31/12</t>
  </si>
  <si>
    <t xml:space="preserve">Dates </t>
  </si>
  <si>
    <t>07/04-16/06</t>
  </si>
  <si>
    <t>18/09-31/10</t>
  </si>
  <si>
    <t>17/06-17/09</t>
  </si>
  <si>
    <t>20/04-05/06</t>
  </si>
  <si>
    <t>06/06-09/07</t>
  </si>
  <si>
    <t>10/07-25/08</t>
  </si>
  <si>
    <t>Family Room</t>
  </si>
  <si>
    <t>01/05-21/05</t>
  </si>
  <si>
    <t>26/05-31/10</t>
  </si>
  <si>
    <t>22/05-25/05</t>
  </si>
  <si>
    <t>16/09-31/12</t>
  </si>
  <si>
    <t>01/07-15/09</t>
  </si>
  <si>
    <t>10/04-29/05</t>
  </si>
  <si>
    <t>30/05-30/06</t>
  </si>
  <si>
    <t>25/08-30/08</t>
  </si>
  <si>
    <t>20/04-15/05</t>
  </si>
  <si>
    <t>16/05-18/06</t>
  </si>
  <si>
    <t>19/06-11/07</t>
  </si>
  <si>
    <t>12/07-10/10</t>
  </si>
  <si>
    <t>01/09-08/09</t>
  </si>
  <si>
    <t>21/06-11/07</t>
  </si>
  <si>
    <t>18/04-14/06</t>
  </si>
  <si>
    <t>18/12-31/12</t>
  </si>
  <si>
    <t>01/04-20/10</t>
  </si>
  <si>
    <t>11/09-31/12</t>
  </si>
  <si>
    <t>01/06-10/09</t>
  </si>
  <si>
    <t>01/10-31/11</t>
  </si>
  <si>
    <t>01/01-15/11</t>
  </si>
  <si>
    <t>09/04-19/04</t>
  </si>
  <si>
    <t>26/07-31/08</t>
  </si>
  <si>
    <t>16/10-30/10</t>
  </si>
  <si>
    <t>16/05-05/06</t>
  </si>
  <si>
    <t>26/09-15/10</t>
  </si>
  <si>
    <t>04/07-28/08</t>
  </si>
  <si>
    <t>01/01-30/03</t>
  </si>
  <si>
    <t>01/11-31/11</t>
  </si>
  <si>
    <t>14/05-20/06</t>
  </si>
  <si>
    <t>01/06-16/07</t>
  </si>
  <si>
    <t>17/07-31/08</t>
  </si>
  <si>
    <t>10/04-31/05</t>
  </si>
  <si>
    <t>17/09-31/10</t>
  </si>
  <si>
    <t>04/07-13/07</t>
  </si>
  <si>
    <t>14/07-26/08</t>
  </si>
  <si>
    <t>01/01-30/11</t>
  </si>
  <si>
    <t>12/05-15/06</t>
  </si>
  <si>
    <t>15/09-02/10</t>
  </si>
  <si>
    <t>16/06-16/07</t>
  </si>
  <si>
    <t>17/07-27/08</t>
  </si>
  <si>
    <t>01/07-19/07</t>
  </si>
  <si>
    <t>20/07-31/08</t>
  </si>
  <si>
    <t>01/04-09/06</t>
  </si>
  <si>
    <t>24/09-31/12</t>
  </si>
  <si>
    <t>10/06-09/07</t>
  </si>
  <si>
    <t>01/09-23/09</t>
  </si>
  <si>
    <t>10/07-31/08</t>
  </si>
  <si>
    <t>01/05-18/05</t>
  </si>
  <si>
    <t>18/09-15/10</t>
  </si>
  <si>
    <t>19/05-13/07</t>
  </si>
  <si>
    <t>14/07-03/09</t>
  </si>
  <si>
    <t>01/01-12/04</t>
  </si>
  <si>
    <t>18/04-31/05</t>
  </si>
  <si>
    <t>01/06-12/07</t>
  </si>
  <si>
    <t>13/07-31/08</t>
  </si>
  <si>
    <t>01/05-10/07</t>
  </si>
  <si>
    <t>11/07-30/09</t>
  </si>
  <si>
    <t>23/04-12/06</t>
  </si>
  <si>
    <t>01/06-01/06</t>
  </si>
  <si>
    <t>05/06-17/07</t>
  </si>
  <si>
    <t>13/04-16/04</t>
  </si>
  <si>
    <t>17/04-31/05</t>
  </si>
  <si>
    <t>AL</t>
  </si>
  <si>
    <t>21/05-31/05</t>
  </si>
  <si>
    <t>05/05-31/05</t>
  </si>
  <si>
    <t>21/09-28/09</t>
  </si>
  <si>
    <t>14/09-20/09</t>
  </si>
  <si>
    <t>01/09-13/09</t>
  </si>
  <si>
    <t>24/07-11/08</t>
  </si>
  <si>
    <t>01/04-10/05</t>
  </si>
  <si>
    <t>11/05-10/06</t>
  </si>
  <si>
    <t>20/09-15/10</t>
  </si>
  <si>
    <t>11/06-19/09</t>
  </si>
  <si>
    <t>29/04-31/05</t>
  </si>
  <si>
    <t>01/07-18/09</t>
  </si>
  <si>
    <t>18/04-30/04</t>
  </si>
  <si>
    <t>01/06-15/06</t>
  </si>
  <si>
    <t>16/06-30/06</t>
  </si>
  <si>
    <t>27/03-30/04</t>
  </si>
  <si>
    <t>16/10-05/11</t>
  </si>
  <si>
    <t>01/07-25/09</t>
  </si>
  <si>
    <t>05/04-31/05</t>
  </si>
  <si>
    <t>02/05-26/05</t>
  </si>
  <si>
    <t>02/10-29/10</t>
  </si>
  <si>
    <t>27/05-16/06</t>
  </si>
  <si>
    <t>21/08-03/09</t>
  </si>
  <si>
    <t>29/07-20/08</t>
  </si>
  <si>
    <t>02/01-20/12</t>
  </si>
  <si>
    <t>17/06-31/08</t>
  </si>
  <si>
    <t>09/04-23/05</t>
  </si>
  <si>
    <t>10/12-31/12</t>
  </si>
  <si>
    <t>01/02-08/04</t>
  </si>
  <si>
    <t>24/04-16/06</t>
  </si>
  <si>
    <t>01/09-09/12</t>
  </si>
  <si>
    <t>01/03-30/06</t>
  </si>
  <si>
    <t>01/01-08/09</t>
  </si>
  <si>
    <t>18/09-31/12</t>
  </si>
  <si>
    <t>09/09-17/09</t>
  </si>
  <si>
    <t>26/04-20/05</t>
  </si>
  <si>
    <t>16/10-29/10</t>
  </si>
  <si>
    <t>30/07-19/08</t>
  </si>
  <si>
    <t>21/04-13/05</t>
  </si>
  <si>
    <t>14/05-10/06</t>
  </si>
  <si>
    <t>16/07-29/07</t>
  </si>
  <si>
    <t>08/10-31/10</t>
  </si>
  <si>
    <t>24/09-07/10</t>
  </si>
  <si>
    <t>05/05-20/07</t>
  </si>
  <si>
    <t>01/10-26/10</t>
  </si>
  <si>
    <t>01/06-21/06</t>
  </si>
  <si>
    <t>22/06-19/07</t>
  </si>
  <si>
    <t>07/10-31/10</t>
  </si>
  <si>
    <t>30/04-21/05</t>
  </si>
  <si>
    <t>22/05-04/06</t>
  </si>
  <si>
    <t>02/10-16/10</t>
  </si>
  <si>
    <t>05/06-18/06</t>
  </si>
  <si>
    <t>10/07-28/08</t>
  </si>
  <si>
    <t>01/06-23/06</t>
  </si>
  <si>
    <t>23/09-06/10</t>
  </si>
  <si>
    <t>24/06-21/07</t>
  </si>
  <si>
    <t>09/09-22/09</t>
  </si>
  <si>
    <t>22/07-08/09</t>
  </si>
  <si>
    <t>02/05-12/05</t>
  </si>
  <si>
    <t>13/05-26/05</t>
  </si>
  <si>
    <t>30/09-13/10</t>
  </si>
  <si>
    <t>27/05-23/06</t>
  </si>
  <si>
    <t>23/09-29/09</t>
  </si>
  <si>
    <t>24/06-28/07</t>
  </si>
  <si>
    <t>26/08-22/09</t>
  </si>
  <si>
    <t>29/07-25/08</t>
  </si>
  <si>
    <t>11/07-15/09</t>
  </si>
  <si>
    <t>20/06-15/09</t>
  </si>
  <si>
    <t>12/05-08/06</t>
  </si>
  <si>
    <t>22/09-15/10</t>
  </si>
  <si>
    <t>09/06-29/06</t>
  </si>
  <si>
    <t>11/09-21/09</t>
  </si>
  <si>
    <t>30/06-30/07</t>
  </si>
  <si>
    <t>21/08-10/09</t>
  </si>
  <si>
    <t>01/05-25/05</t>
  </si>
  <si>
    <t>02/10-20/10</t>
  </si>
  <si>
    <t>22/09-01/10</t>
  </si>
  <si>
    <t>04/09-21/09</t>
  </si>
  <si>
    <t>07/07-03/09</t>
  </si>
  <si>
    <t>13/04-19/05</t>
  </si>
  <si>
    <t>20/05-09/06</t>
  </si>
  <si>
    <t>10/06-05/07</t>
  </si>
  <si>
    <t>06/07-31/08</t>
  </si>
  <si>
    <t>10/05-28/05</t>
  </si>
  <si>
    <t>19/06-16/07</t>
  </si>
  <si>
    <t>01/08-27/08</t>
  </si>
  <si>
    <t>17/07-31/07</t>
  </si>
  <si>
    <t>28/08-10/09</t>
  </si>
  <si>
    <t>26/04-31/05</t>
  </si>
  <si>
    <t>01/07-10/07</t>
  </si>
  <si>
    <t>06/09-25/09</t>
  </si>
  <si>
    <t>11/07-05/09</t>
  </si>
  <si>
    <t>20/05-31/05</t>
  </si>
  <si>
    <t>15/04-20/05</t>
  </si>
  <si>
    <t>02/10-15/10</t>
  </si>
  <si>
    <t>21/05-16/06</t>
  </si>
  <si>
    <t>16/09-01/10</t>
  </si>
  <si>
    <t>117/06-14/07</t>
  </si>
  <si>
    <t>15/07-01/09</t>
  </si>
  <si>
    <t>15/09-07/10</t>
  </si>
  <si>
    <t>23/06-24/07</t>
  </si>
  <si>
    <t>27/04-10/06</t>
  </si>
  <si>
    <t>21/09-27/10</t>
  </si>
  <si>
    <t>19/07-81/08</t>
  </si>
  <si>
    <t>25/04-10/06</t>
  </si>
  <si>
    <t>26/09-20/10</t>
  </si>
  <si>
    <t>26/08-25/09</t>
  </si>
  <si>
    <t>01/06-27/06</t>
  </si>
  <si>
    <t>28/06-18/07</t>
  </si>
  <si>
    <t>20/08-30/09</t>
  </si>
  <si>
    <t>19/07-19/08</t>
  </si>
  <si>
    <t>22/09-07/10</t>
  </si>
  <si>
    <t>23/06-06/07</t>
  </si>
  <si>
    <t>18/08-31/08</t>
  </si>
  <si>
    <t>01/09-10/10</t>
  </si>
  <si>
    <t>16/06-20/07</t>
  </si>
  <si>
    <t>19/05-25/05</t>
  </si>
  <si>
    <t>15/09-21/09</t>
  </si>
  <si>
    <t>08/09-14/09</t>
  </si>
  <si>
    <t>29/04-06/05</t>
  </si>
  <si>
    <t>01/10-22/10</t>
  </si>
  <si>
    <t>07/05-02/06</t>
  </si>
  <si>
    <t>03/06-01/07</t>
  </si>
  <si>
    <t>08/09-28/09</t>
  </si>
  <si>
    <t>22/09-10/10</t>
  </si>
  <si>
    <t>01/04-06/04</t>
  </si>
  <si>
    <t>07/04-27/04</t>
  </si>
  <si>
    <t>28/04-31/07</t>
  </si>
  <si>
    <t>24/09-15/10</t>
  </si>
  <si>
    <t>11/07-26/08</t>
  </si>
  <si>
    <t>24/08-09/09</t>
  </si>
  <si>
    <t>05/06-14/07</t>
  </si>
  <si>
    <t>26/08-01/10</t>
  </si>
  <si>
    <t>28/04-12/06</t>
  </si>
  <si>
    <t>12/09-25/10</t>
  </si>
  <si>
    <t>10/06-12/07</t>
  </si>
  <si>
    <t>01/05-20/06</t>
  </si>
  <si>
    <t>12/09-04/10</t>
  </si>
  <si>
    <t>21/06-10/07</t>
  </si>
  <si>
    <t>11/07-28/08</t>
  </si>
  <si>
    <t>08/05-27/05</t>
  </si>
  <si>
    <t>28/05-10/06</t>
  </si>
  <si>
    <t>11/10-15/11</t>
  </si>
  <si>
    <t>01/04-15/06</t>
  </si>
  <si>
    <t>16/06-26/07</t>
  </si>
  <si>
    <t>27/07-31/08</t>
  </si>
  <si>
    <t>21/04-10/05</t>
  </si>
  <si>
    <t>Studio Sea View</t>
  </si>
  <si>
    <t>05/04-30/04</t>
  </si>
  <si>
    <t>08/06-10/07</t>
  </si>
  <si>
    <t>27/08-15/10</t>
  </si>
  <si>
    <t>11/05-20/06</t>
  </si>
  <si>
    <t>21/06-21/07</t>
  </si>
  <si>
    <t>27/08-10/10</t>
  </si>
  <si>
    <t>22/07-26/08</t>
  </si>
  <si>
    <t>16/04-31/05</t>
  </si>
  <si>
    <t>01/06-03/06</t>
  </si>
  <si>
    <t>04/06-22/07</t>
  </si>
  <si>
    <t>23/07-31/08</t>
  </si>
  <si>
    <t>26/05-21/06</t>
  </si>
  <si>
    <t>22/06-26/07</t>
  </si>
  <si>
    <t>12/04-26/05</t>
  </si>
  <si>
    <t>24/06-27/08</t>
  </si>
  <si>
    <t>14/04-30/04</t>
  </si>
  <si>
    <t>10/09-31/10</t>
  </si>
  <si>
    <t>01/09-09/09</t>
  </si>
  <si>
    <t>09/04-14/05</t>
  </si>
  <si>
    <t>02/10-31/10</t>
  </si>
  <si>
    <t>15/05-28/05</t>
  </si>
  <si>
    <t>29/05-09/07</t>
  </si>
  <si>
    <t>22/04-14/05</t>
  </si>
  <si>
    <t>10/04-14/05</t>
  </si>
  <si>
    <t>23/09-31/10</t>
  </si>
  <si>
    <t>22/04-18/05</t>
  </si>
  <si>
    <t>09/10-31/10</t>
  </si>
  <si>
    <t>19/05-04/06</t>
  </si>
  <si>
    <t>05/06-30/06</t>
  </si>
  <si>
    <t>01/07-17/07</t>
  </si>
  <si>
    <t>18/07-27/08</t>
  </si>
  <si>
    <t>01/04-15/07</t>
  </si>
  <si>
    <t>01/06-06/07</t>
  </si>
  <si>
    <t>14/09-24/09</t>
  </si>
  <si>
    <t>12/10-31/10</t>
  </si>
  <si>
    <t>05/10-11/10</t>
  </si>
  <si>
    <t>01/08-28/06</t>
  </si>
  <si>
    <t>29/06-26/07</t>
  </si>
  <si>
    <t>21/04-21/05</t>
  </si>
  <si>
    <t>06/10-30/10</t>
  </si>
  <si>
    <t>22/05-15/06</t>
  </si>
  <si>
    <t>23/04-14/05</t>
  </si>
  <si>
    <t>15/05-11/06</t>
  </si>
  <si>
    <t>12/06-16/07</t>
  </si>
  <si>
    <t>14/04-12/05</t>
  </si>
  <si>
    <t>07/10-30/10</t>
  </si>
  <si>
    <t>13/05-02/06</t>
  </si>
  <si>
    <t>03/06-07/07</t>
  </si>
  <si>
    <t>08/07-25/08</t>
  </si>
  <si>
    <t>29/08-19/09</t>
  </si>
  <si>
    <t>19/04-20/05</t>
  </si>
  <si>
    <t>29/04-12/05</t>
  </si>
  <si>
    <t>30/09-20/10</t>
  </si>
  <si>
    <t>27/05-30/06</t>
  </si>
  <si>
    <t>16/09-22/09</t>
  </si>
  <si>
    <t>01/07-07/07</t>
  </si>
  <si>
    <t>24/04-07/05</t>
  </si>
  <si>
    <t>09/10-29/10</t>
  </si>
  <si>
    <t>08/05-04/06</t>
  </si>
  <si>
    <t>03/07-22/07</t>
  </si>
  <si>
    <t>23/07-20/08</t>
  </si>
  <si>
    <t>18/04-02/06</t>
  </si>
  <si>
    <t>03/06-06/07</t>
  </si>
  <si>
    <t>01/09-18/09</t>
  </si>
  <si>
    <t>07/07-31/08</t>
  </si>
  <si>
    <t>12/07-31/08</t>
  </si>
  <si>
    <t>01/03-31/08</t>
  </si>
  <si>
    <t>01/01-09/04</t>
  </si>
  <si>
    <t>24/04-31/05</t>
  </si>
  <si>
    <t>10/04-23/04</t>
  </si>
  <si>
    <t>10/05-31/05</t>
  </si>
  <si>
    <t>01/07-05/08</t>
  </si>
  <si>
    <t>06/08-20/08</t>
  </si>
  <si>
    <t>27/05-15/06</t>
  </si>
  <si>
    <t>03/09-17/09</t>
  </si>
  <si>
    <t>15/07-28/07</t>
  </si>
  <si>
    <t>22/08-02/09</t>
  </si>
  <si>
    <t>29/07-21/08</t>
  </si>
  <si>
    <t>26/05-06/06</t>
  </si>
  <si>
    <t>17/09-26/09</t>
  </si>
  <si>
    <t>13/04-25/05</t>
  </si>
  <si>
    <t>27/09-28/10</t>
  </si>
  <si>
    <t>07/06-29/06</t>
  </si>
  <si>
    <t>03/09-16/09</t>
  </si>
  <si>
    <t>30/06-21/07</t>
  </si>
  <si>
    <t>22/07-27/08</t>
  </si>
  <si>
    <t>01/04-30/4</t>
  </si>
  <si>
    <t>13/04-15/05</t>
  </si>
  <si>
    <t>16/09-10/10</t>
  </si>
  <si>
    <t>25/09-15/10</t>
  </si>
  <si>
    <t>02/06-29/06</t>
  </si>
  <si>
    <t>30/06-23/07</t>
  </si>
  <si>
    <t>28/04-26/05</t>
  </si>
  <si>
    <t>17/06-21/07</t>
  </si>
  <si>
    <t>09/04-09/05</t>
  </si>
  <si>
    <t>11/05-22/06</t>
  </si>
  <si>
    <t>29/09-08/10</t>
  </si>
  <si>
    <t>23/06-22/07</t>
  </si>
  <si>
    <t>25/08-28/09</t>
  </si>
  <si>
    <t>05/10-31/10</t>
  </si>
  <si>
    <t>29/09-04/10</t>
  </si>
  <si>
    <t>01/06-01/07</t>
  </si>
  <si>
    <t>17/09-28/09</t>
  </si>
  <si>
    <t>16/07-19/08</t>
  </si>
  <si>
    <t>02/07-15/07</t>
  </si>
  <si>
    <t>20/08-16/09</t>
  </si>
  <si>
    <t>1-20</t>
  </si>
  <si>
    <t xml:space="preserve">  KALAMATA</t>
  </si>
  <si>
    <t xml:space="preserve">  GYTHEIO ………………………………..</t>
  </si>
  <si>
    <t xml:space="preserve">  SYROS …...…………………………………………. </t>
  </si>
  <si>
    <t xml:space="preserve">  PYLOS ……………………..………………………</t>
  </si>
  <si>
    <t>29-32</t>
  </si>
  <si>
    <t>34-43</t>
  </si>
  <si>
    <t>55-56</t>
  </si>
  <si>
    <t>70-71</t>
  </si>
  <si>
    <t>72-74</t>
  </si>
  <si>
    <t>79-83</t>
  </si>
  <si>
    <t>87-91</t>
  </si>
  <si>
    <t>94-106</t>
  </si>
  <si>
    <t>107-108</t>
  </si>
  <si>
    <t>109-110</t>
  </si>
  <si>
    <t>112-116</t>
  </si>
  <si>
    <t>117-118</t>
  </si>
  <si>
    <t xml:space="preserve">“Ovadias Tours" office is open from 10 a.m to 5 p.m closed on weekends and holidays. In order to be able to assist you at any time and  confront any problems that might occur. Incidents that will not be brought to our knowledge during your stay, will not have the opportunity to be given the proper attention &amp; action and definitely will be non refunded if reported after your departure.Rates are an indication and changeable according to the availability, you can link directly with hotel's website for the updates rates. </t>
  </si>
  <si>
    <t>All rates quoted in this Tariff are in EURO and are valid for the year 2021 for the periods as indicated.
HOTEL Rates are PER PERSON and APARTMENT. Rates are PER ROOM.</t>
  </si>
  <si>
    <t>AEGINA 01/01-31/12/2021</t>
  </si>
  <si>
    <t>ATHENS 01/01-31/12/2021</t>
  </si>
  <si>
    <t>ATHENS COAST 01/01-31/12/2021</t>
  </si>
  <si>
    <t>CEFALONIA 01/01-31/12/2021</t>
  </si>
  <si>
    <t>CHIOS 01/01-31/12/2021</t>
  </si>
  <si>
    <t>CORFU 01/01-31/12/2021</t>
  </si>
  <si>
    <t>CRETE 01/01-31/12/2021</t>
  </si>
  <si>
    <t>IOS 01/01-31/12/2021</t>
  </si>
  <si>
    <t>KOS 01/01-31/12/2021</t>
  </si>
  <si>
    <t>MYKONOS 01/01-31/12/2021</t>
  </si>
  <si>
    <t>NAXOS 01/01-31/12/2021</t>
  </si>
  <si>
    <t>PAROS 01/01-31/12/2021</t>
  </si>
  <si>
    <t>PATMOS 01/01-31/12/2021</t>
  </si>
  <si>
    <t>POROS 01/01-31/12/2021</t>
  </si>
  <si>
    <t>RHODES 01/01-31/12/2021</t>
  </si>
  <si>
    <t>SAMOS 01/01-31/12/2021</t>
  </si>
  <si>
    <t>SANTORINI 01/01-31/12/2021</t>
  </si>
  <si>
    <t>SKIATHOS 01/01-31/12/2021</t>
  </si>
  <si>
    <t>SKOPELOS 01/01-31/12/2021</t>
  </si>
  <si>
    <t>THESSALONIKI  01/01-31/12/2021</t>
  </si>
  <si>
    <t>ZAKYNTHOS  01/01-31/12/2021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</si>
</sst>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m"/>
    <numFmt numFmtId="165" formatCode="dd/mm"/>
    <numFmt numFmtId="166" formatCode="#,##0.0&quot;0&quot;"/>
  </numFmts>
  <fonts count="42" x14ac:knownFonts="1">
    <font>
      <sz val="10"/>
      <name val="Arial"/>
      <charset val="161"/>
    </font>
    <font>
      <b/>
      <i/>
      <sz val="12"/>
      <name val="Arial"/>
      <family val="2"/>
    </font>
    <font>
      <b/>
      <sz val="10"/>
      <name val="Arial"/>
      <family val="2"/>
    </font>
    <font>
      <b/>
      <i/>
      <sz val="10"/>
      <name val="Arial"/>
      <family val="2"/>
    </font>
    <font>
      <b/>
      <i/>
      <u/>
      <sz val="12"/>
      <name val="Arial"/>
      <family val="2"/>
    </font>
    <font>
      <b/>
      <sz val="14"/>
      <name val="Arial"/>
      <family val="2"/>
    </font>
    <font>
      <b/>
      <sz val="16"/>
      <name val="Arial"/>
      <family val="2"/>
    </font>
    <font>
      <sz val="10"/>
      <name val="Arial"/>
      <family val="2"/>
    </font>
    <font>
      <b/>
      <i/>
      <u/>
      <sz val="10"/>
      <name val="Arial"/>
      <family val="2"/>
    </font>
    <font>
      <sz val="10"/>
      <name val="Symbol"/>
      <family val="1"/>
      <charset val="2"/>
    </font>
    <font>
      <b/>
      <sz val="8"/>
      <name val="Arial"/>
      <family val="2"/>
    </font>
    <font>
      <sz val="8"/>
      <name val="Arial"/>
      <family val="2"/>
    </font>
    <font>
      <b/>
      <u/>
      <sz val="12"/>
      <name val="Arial"/>
      <family val="2"/>
    </font>
    <font>
      <u/>
      <sz val="10"/>
      <color indexed="12"/>
      <name val="Arial"/>
      <family val="2"/>
      <charset val="161"/>
    </font>
    <font>
      <sz val="9"/>
      <name val="Arial"/>
      <family val="2"/>
    </font>
    <font>
      <u/>
      <sz val="10"/>
      <name val="Arial"/>
      <family val="2"/>
    </font>
    <font>
      <sz val="10"/>
      <name val="Arial"/>
      <family val="2"/>
      <charset val="161"/>
    </font>
    <font>
      <sz val="8"/>
      <name val="Arial"/>
      <family val="2"/>
      <charset val="161"/>
    </font>
    <font>
      <sz val="12"/>
      <name val="Times New Roman"/>
      <family val="1"/>
      <charset val="161"/>
    </font>
    <font>
      <b/>
      <sz val="12"/>
      <name val="Times New Roman"/>
      <family val="1"/>
      <charset val="161"/>
    </font>
    <font>
      <u/>
      <sz val="12"/>
      <color indexed="8"/>
      <name val="Times New Roman"/>
      <family val="1"/>
      <charset val="161"/>
    </font>
    <font>
      <b/>
      <sz val="11"/>
      <name val="Arial"/>
      <family val="2"/>
    </font>
    <font>
      <b/>
      <sz val="9"/>
      <name val="Arial"/>
      <family val="2"/>
    </font>
    <font>
      <sz val="9"/>
      <name val="Arial"/>
      <family val="2"/>
      <charset val="161"/>
    </font>
    <font>
      <b/>
      <sz val="10"/>
      <name val="Arial"/>
      <family val="2"/>
      <charset val="161"/>
    </font>
    <font>
      <b/>
      <sz val="12"/>
      <name val="Arial"/>
      <family val="2"/>
      <charset val="161"/>
    </font>
    <font>
      <b/>
      <sz val="9"/>
      <name val="Arial"/>
      <family val="2"/>
      <charset val="161"/>
    </font>
    <font>
      <b/>
      <sz val="11"/>
      <name val="Arial"/>
      <family val="2"/>
      <charset val="161"/>
    </font>
    <font>
      <b/>
      <sz val="14"/>
      <name val="Arial"/>
      <family val="2"/>
      <charset val="161"/>
    </font>
    <font>
      <b/>
      <i/>
      <sz val="10"/>
      <name val="Arial"/>
      <family val="2"/>
      <charset val="161"/>
    </font>
    <font>
      <i/>
      <sz val="10"/>
      <name val="Arial"/>
      <family val="2"/>
      <charset val="161"/>
    </font>
    <font>
      <sz val="10"/>
      <color indexed="10"/>
      <name val="Arial"/>
      <family val="2"/>
      <charset val="161"/>
    </font>
    <font>
      <sz val="10"/>
      <color indexed="8"/>
      <name val="Arial"/>
      <family val="2"/>
      <charset val="161"/>
    </font>
    <font>
      <u/>
      <sz val="12"/>
      <color indexed="12"/>
      <name val="Arial"/>
      <family val="2"/>
      <charset val="161"/>
    </font>
    <font>
      <i/>
      <sz val="9"/>
      <name val="Arial"/>
      <family val="2"/>
      <charset val="161"/>
    </font>
    <font>
      <i/>
      <sz val="8"/>
      <name val="Arial"/>
      <family val="2"/>
      <charset val="161"/>
    </font>
    <font>
      <b/>
      <i/>
      <sz val="9"/>
      <name val="Arial"/>
      <family val="2"/>
      <charset val="161"/>
    </font>
    <font>
      <b/>
      <i/>
      <sz val="12"/>
      <color indexed="8"/>
      <name val="Arial"/>
      <family val="2"/>
      <charset val="161"/>
    </font>
    <font>
      <sz val="9"/>
      <color indexed="8"/>
      <name val="Arial"/>
      <family val="2"/>
      <charset val="161"/>
    </font>
    <font>
      <sz val="14"/>
      <name val="Times New Roman"/>
      <family val="1"/>
      <charset val="161"/>
    </font>
    <font>
      <sz val="10"/>
      <name val="Times New Roman"/>
      <family val="1"/>
      <charset val="161"/>
    </font>
    <font>
      <sz val="12"/>
      <name val="Arial"/>
      <family val="2"/>
      <charset val="161"/>
    </font>
  </fonts>
  <fills count="3">
    <fill>
      <patternFill patternType="none"/>
    </fill>
    <fill>
      <patternFill patternType="gray125"/>
    </fill>
    <fill>
      <patternFill patternType="solid">
        <fgColor indexed="9"/>
        <bgColor indexed="64"/>
      </patternFill>
    </fill>
  </fills>
  <borders count="6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medium">
        <color indexed="64"/>
      </left>
      <right/>
      <top style="thin">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medium">
        <color indexed="64"/>
      </right>
      <top/>
      <bottom style="thin">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0" fontId="13" fillId="0" borderId="0" applyNumberFormat="0" applyFill="0" applyBorder="0" applyAlignment="0" applyProtection="0">
      <alignment vertical="top"/>
      <protection locked="0"/>
    </xf>
    <xf numFmtId="0" fontId="16" fillId="0" borderId="0"/>
    <xf numFmtId="0" fontId="16" fillId="0" borderId="0"/>
  </cellStyleXfs>
  <cellXfs count="503">
    <xf numFmtId="0" fontId="0" fillId="0" borderId="0" xfId="0"/>
    <xf numFmtId="0" fontId="2" fillId="0" borderId="0" xfId="0" applyFont="1"/>
    <xf numFmtId="0" fontId="3" fillId="0" borderId="0" xfId="0" applyFont="1"/>
    <xf numFmtId="0" fontId="1" fillId="0" borderId="0" xfId="0" applyFont="1" applyAlignment="1"/>
    <xf numFmtId="0" fontId="2" fillId="0" borderId="0" xfId="0" applyFont="1" applyAlignment="1">
      <alignment horizontal="center"/>
    </xf>
    <xf numFmtId="0" fontId="7" fillId="0" borderId="0" xfId="0" applyFont="1"/>
    <xf numFmtId="0" fontId="8" fillId="0" borderId="0" xfId="0" applyFont="1"/>
    <xf numFmtId="0" fontId="4" fillId="0" borderId="0" xfId="0" applyFont="1"/>
    <xf numFmtId="0" fontId="9" fillId="0" borderId="0" xfId="0" applyFont="1"/>
    <xf numFmtId="0" fontId="11" fillId="0" borderId="0" xfId="0" applyFont="1" applyAlignment="1">
      <alignment horizontal="right"/>
    </xf>
    <xf numFmtId="0" fontId="10" fillId="0" borderId="0" xfId="0" applyFont="1" applyAlignment="1">
      <alignment horizontal="right"/>
    </xf>
    <xf numFmtId="0" fontId="0" fillId="0" borderId="0" xfId="0" applyAlignment="1">
      <alignment horizontal="right"/>
    </xf>
    <xf numFmtId="0" fontId="9" fillId="0" borderId="0" xfId="0" applyFont="1" applyAlignment="1">
      <alignment horizontal="right"/>
    </xf>
    <xf numFmtId="0" fontId="16" fillId="0" borderId="0" xfId="3"/>
    <xf numFmtId="0" fontId="16" fillId="0" borderId="0" xfId="0" applyFont="1" applyFill="1" applyAlignment="1" applyProtection="1">
      <alignment horizontal="left"/>
      <protection hidden="1"/>
    </xf>
    <xf numFmtId="0" fontId="16" fillId="0" borderId="0" xfId="0" applyFont="1" applyFill="1" applyAlignment="1" applyProtection="1">
      <alignment horizontal="left" vertical="center"/>
      <protection hidden="1"/>
    </xf>
    <xf numFmtId="0" fontId="16" fillId="0" borderId="0" xfId="0" applyFont="1" applyFill="1" applyAlignment="1" applyProtection="1">
      <alignment horizontal="center" vertical="center"/>
      <protection hidden="1"/>
    </xf>
    <xf numFmtId="0" fontId="16" fillId="0" borderId="0" xfId="0" applyFont="1" applyFill="1" applyProtection="1">
      <protection hidden="1"/>
    </xf>
    <xf numFmtId="0" fontId="29" fillId="0" borderId="0" xfId="0" applyFont="1" applyFill="1" applyAlignment="1" applyProtection="1">
      <alignment horizontal="left" vertical="center"/>
      <protection hidden="1"/>
    </xf>
    <xf numFmtId="0" fontId="29" fillId="0" borderId="0" xfId="0" applyFont="1" applyFill="1" applyAlignment="1" applyProtection="1">
      <alignment horizontal="center" vertical="center"/>
      <protection hidden="1"/>
    </xf>
    <xf numFmtId="0" fontId="16" fillId="0" borderId="1" xfId="0" applyFont="1" applyFill="1" applyBorder="1" applyAlignment="1" applyProtection="1">
      <alignment horizontal="left"/>
      <protection hidden="1"/>
    </xf>
    <xf numFmtId="0" fontId="16" fillId="0" borderId="2" xfId="0" applyFont="1" applyFill="1" applyBorder="1" applyAlignment="1" applyProtection="1">
      <alignment horizontal="left" vertical="center"/>
      <protection hidden="1"/>
    </xf>
    <xf numFmtId="0" fontId="16" fillId="0" borderId="2" xfId="0" applyFont="1" applyFill="1" applyBorder="1" applyAlignment="1" applyProtection="1">
      <alignment horizontal="center" vertical="center"/>
      <protection hidden="1"/>
    </xf>
    <xf numFmtId="0" fontId="16" fillId="0" borderId="3" xfId="0" applyFont="1" applyFill="1" applyBorder="1" applyAlignment="1" applyProtection="1">
      <alignment horizontal="center" vertical="center"/>
      <protection hidden="1"/>
    </xf>
    <xf numFmtId="0" fontId="16" fillId="0" borderId="4" xfId="0" applyFont="1" applyFill="1" applyBorder="1" applyAlignment="1" applyProtection="1">
      <alignment horizontal="left"/>
      <protection hidden="1"/>
    </xf>
    <xf numFmtId="0" fontId="24" fillId="0" borderId="5" xfId="0" applyFont="1" applyFill="1" applyBorder="1" applyAlignment="1" applyProtection="1">
      <alignment horizontal="center" vertical="center"/>
      <protection hidden="1"/>
    </xf>
    <xf numFmtId="0" fontId="30" fillId="0" borderId="0" xfId="0" applyFont="1" applyFill="1" applyBorder="1" applyAlignment="1" applyProtection="1">
      <alignment horizontal="left" vertical="center"/>
      <protection hidden="1"/>
    </xf>
    <xf numFmtId="0" fontId="16" fillId="0" borderId="0" xfId="0" applyFont="1" applyFill="1" applyBorder="1" applyAlignment="1" applyProtection="1">
      <alignment horizontal="left" vertical="center"/>
      <protection hidden="1"/>
    </xf>
    <xf numFmtId="0" fontId="16" fillId="0" borderId="0" xfId="0" applyFont="1" applyFill="1" applyBorder="1" applyAlignment="1" applyProtection="1">
      <alignment horizontal="center" vertical="center"/>
      <protection hidden="1"/>
    </xf>
    <xf numFmtId="0" fontId="16" fillId="0" borderId="5" xfId="0" applyFont="1" applyFill="1" applyBorder="1" applyAlignment="1" applyProtection="1">
      <alignment horizontal="center" vertical="center"/>
      <protection hidden="1"/>
    </xf>
    <xf numFmtId="0" fontId="16" fillId="0" borderId="6" xfId="0" applyFont="1" applyFill="1" applyBorder="1" applyAlignment="1" applyProtection="1">
      <alignment horizontal="left"/>
      <protection hidden="1"/>
    </xf>
    <xf numFmtId="0" fontId="16" fillId="0" borderId="7" xfId="0" applyFont="1" applyFill="1" applyBorder="1" applyAlignment="1" applyProtection="1">
      <alignment horizontal="left" vertical="center"/>
      <protection hidden="1"/>
    </xf>
    <xf numFmtId="0" fontId="16" fillId="0" borderId="7" xfId="0" applyFont="1" applyFill="1" applyBorder="1" applyAlignment="1" applyProtection="1">
      <alignment horizontal="center" vertical="center"/>
      <protection hidden="1"/>
    </xf>
    <xf numFmtId="0" fontId="16" fillId="0" borderId="8" xfId="0" applyFont="1" applyFill="1" applyBorder="1" applyAlignment="1" applyProtection="1">
      <alignment horizontal="center" vertical="center"/>
      <protection hidden="1"/>
    </xf>
    <xf numFmtId="0" fontId="16" fillId="0" borderId="1" xfId="0" applyNumberFormat="1" applyFont="1" applyFill="1" applyBorder="1" applyAlignment="1" applyProtection="1">
      <alignment horizontal="center" vertical="center"/>
      <protection hidden="1"/>
    </xf>
    <xf numFmtId="0" fontId="16" fillId="0" borderId="9" xfId="0" applyNumberFormat="1" applyFont="1" applyFill="1" applyBorder="1" applyAlignment="1" applyProtection="1">
      <alignment horizontal="center" vertical="center"/>
      <protection hidden="1"/>
    </xf>
    <xf numFmtId="14" fontId="16" fillId="0" borderId="9" xfId="0" applyNumberFormat="1" applyFont="1" applyFill="1" applyBorder="1" applyAlignment="1" applyProtection="1">
      <alignment horizontal="center" vertical="center"/>
      <protection hidden="1"/>
    </xf>
    <xf numFmtId="0" fontId="16" fillId="0" borderId="9" xfId="0" applyFont="1" applyFill="1" applyBorder="1" applyAlignment="1" applyProtection="1">
      <alignment horizontal="center" vertical="center"/>
      <protection hidden="1"/>
    </xf>
    <xf numFmtId="0" fontId="16" fillId="0" borderId="6" xfId="0" applyNumberFormat="1" applyFont="1" applyFill="1" applyBorder="1" applyAlignment="1" applyProtection="1">
      <alignment horizontal="center" vertical="center"/>
      <protection hidden="1"/>
    </xf>
    <xf numFmtId="0" fontId="16" fillId="0" borderId="10" xfId="0" applyNumberFormat="1" applyFont="1" applyFill="1" applyBorder="1" applyAlignment="1" applyProtection="1">
      <alignment horizontal="center" vertical="center"/>
      <protection hidden="1"/>
    </xf>
    <xf numFmtId="0" fontId="16" fillId="0" borderId="10" xfId="0" applyFont="1" applyFill="1" applyBorder="1" applyAlignment="1" applyProtection="1">
      <alignment horizontal="center" vertical="center"/>
      <protection hidden="1"/>
    </xf>
    <xf numFmtId="166" fontId="16" fillId="0" borderId="1" xfId="0" applyNumberFormat="1" applyFont="1" applyFill="1" applyBorder="1" applyAlignment="1" applyProtection="1">
      <alignment horizontal="center" vertical="center"/>
      <protection hidden="1"/>
    </xf>
    <xf numFmtId="166" fontId="16" fillId="0" borderId="9" xfId="0" applyNumberFormat="1" applyFont="1" applyFill="1" applyBorder="1" applyAlignment="1" applyProtection="1">
      <alignment horizontal="center" vertical="center"/>
      <protection hidden="1"/>
    </xf>
    <xf numFmtId="166" fontId="16" fillId="0" borderId="4" xfId="0" applyNumberFormat="1" applyFont="1" applyFill="1" applyBorder="1" applyAlignment="1" applyProtection="1">
      <alignment horizontal="center" vertical="center"/>
      <protection hidden="1"/>
    </xf>
    <xf numFmtId="166" fontId="16" fillId="0" borderId="11" xfId="0" applyNumberFormat="1" applyFont="1" applyFill="1" applyBorder="1" applyAlignment="1" applyProtection="1">
      <alignment horizontal="center" vertical="center"/>
      <protection hidden="1"/>
    </xf>
    <xf numFmtId="166" fontId="16" fillId="0" borderId="6" xfId="0" applyNumberFormat="1" applyFont="1" applyFill="1" applyBorder="1" applyAlignment="1" applyProtection="1">
      <alignment horizontal="center" vertical="center"/>
      <protection hidden="1"/>
    </xf>
    <xf numFmtId="166" fontId="16" fillId="0" borderId="10" xfId="0" applyNumberFormat="1" applyFont="1" applyFill="1" applyBorder="1" applyAlignment="1" applyProtection="1">
      <alignment horizontal="center" vertical="center"/>
      <protection hidden="1"/>
    </xf>
    <xf numFmtId="0" fontId="30" fillId="0" borderId="7" xfId="0" applyFont="1" applyFill="1" applyBorder="1" applyAlignment="1" applyProtection="1">
      <alignment horizontal="left" vertical="center"/>
      <protection hidden="1"/>
    </xf>
    <xf numFmtId="0" fontId="16" fillId="0" borderId="1" xfId="0" applyFont="1" applyFill="1" applyBorder="1" applyAlignment="1" applyProtection="1">
      <alignment horizontal="center" vertical="center"/>
      <protection hidden="1"/>
    </xf>
    <xf numFmtId="14" fontId="16" fillId="0" borderId="6" xfId="0" applyNumberFormat="1" applyFont="1" applyFill="1" applyBorder="1" applyAlignment="1" applyProtection="1">
      <alignment horizontal="center" vertical="center"/>
      <protection hidden="1"/>
    </xf>
    <xf numFmtId="0" fontId="31" fillId="0" borderId="0" xfId="0" applyFont="1" applyFill="1" applyBorder="1" applyAlignment="1" applyProtection="1">
      <alignment horizontal="left"/>
      <protection hidden="1"/>
    </xf>
    <xf numFmtId="14" fontId="16" fillId="0" borderId="1" xfId="0" applyNumberFormat="1" applyFont="1" applyFill="1" applyBorder="1" applyAlignment="1" applyProtection="1">
      <alignment horizontal="center" vertical="center"/>
      <protection hidden="1"/>
    </xf>
    <xf numFmtId="0" fontId="16" fillId="0" borderId="0" xfId="0" applyFont="1" applyFill="1" applyBorder="1" applyAlignment="1" applyProtection="1">
      <alignment horizontal="left"/>
      <protection hidden="1"/>
    </xf>
    <xf numFmtId="166" fontId="16" fillId="0" borderId="0" xfId="0" applyNumberFormat="1" applyFont="1" applyFill="1" applyBorder="1" applyAlignment="1" applyProtection="1">
      <alignment horizontal="center" vertical="center"/>
      <protection hidden="1"/>
    </xf>
    <xf numFmtId="0" fontId="16" fillId="0" borderId="2" xfId="0" applyFont="1" applyFill="1" applyBorder="1" applyAlignment="1" applyProtection="1">
      <alignment horizontal="left"/>
      <protection hidden="1"/>
    </xf>
    <xf numFmtId="0" fontId="16" fillId="0" borderId="12" xfId="0" applyFont="1" applyFill="1" applyBorder="1" applyAlignment="1" applyProtection="1">
      <alignment horizontal="left" vertical="center"/>
      <protection hidden="1"/>
    </xf>
    <xf numFmtId="0" fontId="16" fillId="0" borderId="13" xfId="0" applyFont="1" applyFill="1" applyBorder="1" applyAlignment="1" applyProtection="1">
      <alignment horizontal="center" vertical="center"/>
      <protection hidden="1"/>
    </xf>
    <xf numFmtId="166" fontId="16" fillId="0" borderId="0" xfId="0" applyNumberFormat="1" applyFont="1" applyFill="1" applyAlignment="1" applyProtection="1">
      <alignment horizontal="center" vertical="center"/>
      <protection hidden="1"/>
    </xf>
    <xf numFmtId="0" fontId="30" fillId="0" borderId="2" xfId="0" applyFont="1" applyFill="1" applyBorder="1" applyAlignment="1" applyProtection="1">
      <alignment horizontal="left" vertical="center"/>
      <protection hidden="1"/>
    </xf>
    <xf numFmtId="0" fontId="29" fillId="0" borderId="0" xfId="0" applyFont="1" applyFill="1" applyBorder="1" applyAlignment="1" applyProtection="1">
      <alignment horizontal="center" vertical="center"/>
      <protection hidden="1"/>
    </xf>
    <xf numFmtId="0" fontId="13" fillId="0" borderId="0" xfId="1" applyFont="1" applyFill="1" applyBorder="1" applyAlignment="1" applyProtection="1">
      <alignment horizontal="center"/>
      <protection hidden="1"/>
    </xf>
    <xf numFmtId="0" fontId="16" fillId="0" borderId="0" xfId="0" applyFont="1" applyFill="1" applyBorder="1" applyAlignment="1" applyProtection="1">
      <alignment vertical="center"/>
      <protection hidden="1"/>
    </xf>
    <xf numFmtId="14" fontId="16" fillId="0" borderId="4" xfId="0" applyNumberFormat="1" applyFont="1" applyFill="1" applyBorder="1" applyAlignment="1" applyProtection="1">
      <alignment horizontal="center" vertical="center"/>
      <protection hidden="1"/>
    </xf>
    <xf numFmtId="0" fontId="16" fillId="0" borderId="11" xfId="0" applyFont="1" applyFill="1" applyBorder="1" applyAlignment="1" applyProtection="1">
      <alignment horizontal="center" vertical="center"/>
      <protection hidden="1"/>
    </xf>
    <xf numFmtId="0" fontId="16" fillId="0" borderId="12" xfId="0" applyFont="1" applyFill="1" applyBorder="1" applyAlignment="1" applyProtection="1">
      <alignment horizontal="center" vertical="center"/>
      <protection hidden="1"/>
    </xf>
    <xf numFmtId="0" fontId="16" fillId="0" borderId="6" xfId="0" applyFont="1" applyFill="1" applyBorder="1" applyAlignment="1" applyProtection="1">
      <alignment horizontal="center" vertical="center"/>
      <protection hidden="1"/>
    </xf>
    <xf numFmtId="0" fontId="16" fillId="0" borderId="14" xfId="0" applyFont="1" applyFill="1" applyBorder="1" applyAlignment="1" applyProtection="1">
      <alignment horizontal="center" vertical="center"/>
      <protection hidden="1"/>
    </xf>
    <xf numFmtId="0" fontId="16" fillId="0" borderId="4" xfId="0" applyFont="1" applyFill="1" applyBorder="1" applyAlignment="1" applyProtection="1">
      <alignment horizontal="center" vertical="center"/>
      <protection hidden="1"/>
    </xf>
    <xf numFmtId="0" fontId="16" fillId="0" borderId="0" xfId="0" applyFont="1"/>
    <xf numFmtId="0" fontId="16" fillId="0" borderId="15" xfId="0" applyFont="1" applyFill="1" applyBorder="1" applyAlignment="1" applyProtection="1">
      <alignment horizontal="center" vertical="center"/>
      <protection hidden="1"/>
    </xf>
    <xf numFmtId="0" fontId="32" fillId="0" borderId="0" xfId="0" applyFont="1"/>
    <xf numFmtId="3" fontId="16" fillId="0" borderId="1" xfId="0" applyNumberFormat="1" applyFont="1" applyFill="1" applyBorder="1" applyAlignment="1" applyProtection="1">
      <alignment horizontal="center" vertical="center"/>
      <protection hidden="1"/>
    </xf>
    <xf numFmtId="3" fontId="16" fillId="0" borderId="4" xfId="0" applyNumberFormat="1" applyFont="1" applyFill="1" applyBorder="1" applyAlignment="1" applyProtection="1">
      <alignment horizontal="center" vertical="center"/>
      <protection hidden="1"/>
    </xf>
    <xf numFmtId="3" fontId="16" fillId="0" borderId="6" xfId="0" applyNumberFormat="1" applyFont="1" applyFill="1" applyBorder="1" applyAlignment="1" applyProtection="1">
      <alignment horizontal="center" vertical="center"/>
      <protection hidden="1"/>
    </xf>
    <xf numFmtId="3" fontId="16" fillId="0" borderId="9" xfId="0" applyNumberFormat="1" applyFont="1" applyFill="1" applyBorder="1" applyAlignment="1" applyProtection="1">
      <alignment horizontal="center" vertical="center"/>
      <protection hidden="1"/>
    </xf>
    <xf numFmtId="3" fontId="16" fillId="0" borderId="11" xfId="0" applyNumberFormat="1" applyFont="1" applyFill="1" applyBorder="1" applyAlignment="1" applyProtection="1">
      <alignment horizontal="center" vertical="center"/>
      <protection hidden="1"/>
    </xf>
    <xf numFmtId="3" fontId="16" fillId="0" borderId="10" xfId="0" applyNumberFormat="1" applyFont="1" applyFill="1" applyBorder="1" applyAlignment="1" applyProtection="1">
      <alignment horizontal="center" vertical="center"/>
      <protection hidden="1"/>
    </xf>
    <xf numFmtId="3" fontId="16" fillId="0" borderId="0" xfId="0" applyNumberFormat="1" applyFont="1" applyFill="1" applyAlignment="1" applyProtection="1">
      <alignment horizontal="center" vertical="center"/>
      <protection hidden="1"/>
    </xf>
    <xf numFmtId="166" fontId="16" fillId="0" borderId="2" xfId="0" applyNumberFormat="1" applyFont="1" applyFill="1" applyBorder="1" applyAlignment="1" applyProtection="1">
      <alignment horizontal="center" vertical="center"/>
      <protection hidden="1"/>
    </xf>
    <xf numFmtId="166" fontId="16" fillId="0" borderId="3" xfId="0" applyNumberFormat="1" applyFont="1" applyFill="1" applyBorder="1" applyAlignment="1" applyProtection="1">
      <alignment horizontal="center" vertical="center"/>
      <protection hidden="1"/>
    </xf>
    <xf numFmtId="0" fontId="16" fillId="0" borderId="7" xfId="0" applyFont="1" applyFill="1" applyBorder="1" applyProtection="1">
      <protection hidden="1"/>
    </xf>
    <xf numFmtId="166" fontId="16" fillId="0" borderId="12" xfId="0" applyNumberFormat="1" applyFont="1" applyFill="1" applyBorder="1" applyAlignment="1" applyProtection="1">
      <alignment horizontal="center" vertical="center"/>
      <protection hidden="1"/>
    </xf>
    <xf numFmtId="166" fontId="16" fillId="0" borderId="14" xfId="0" applyNumberFormat="1" applyFont="1" applyFill="1" applyBorder="1" applyAlignment="1" applyProtection="1">
      <alignment horizontal="center" vertical="center"/>
      <protection hidden="1"/>
    </xf>
    <xf numFmtId="14" fontId="16" fillId="0" borderId="0" xfId="0" applyNumberFormat="1" applyFont="1" applyFill="1" applyBorder="1" applyAlignment="1" applyProtection="1">
      <alignment horizontal="center" vertical="center"/>
      <protection hidden="1"/>
    </xf>
    <xf numFmtId="0" fontId="16" fillId="0" borderId="15" xfId="0" applyFont="1" applyFill="1" applyBorder="1" applyAlignment="1" applyProtection="1">
      <alignment horizontal="left"/>
      <protection hidden="1"/>
    </xf>
    <xf numFmtId="0" fontId="16" fillId="0" borderId="9" xfId="0" applyFont="1" applyFill="1" applyBorder="1" applyProtection="1">
      <protection hidden="1"/>
    </xf>
    <xf numFmtId="0" fontId="16" fillId="0" borderId="10" xfId="0" applyFont="1" applyFill="1" applyBorder="1" applyProtection="1">
      <protection hidden="1"/>
    </xf>
    <xf numFmtId="14" fontId="16" fillId="0" borderId="10" xfId="0" applyNumberFormat="1" applyFont="1" applyFill="1" applyBorder="1" applyAlignment="1" applyProtection="1">
      <alignment horizontal="center" vertical="center"/>
      <protection hidden="1"/>
    </xf>
    <xf numFmtId="0" fontId="16" fillId="0" borderId="9" xfId="0" applyFont="1" applyFill="1" applyBorder="1" applyAlignment="1" applyProtection="1">
      <alignment horizontal="left" vertical="center"/>
      <protection hidden="1"/>
    </xf>
    <xf numFmtId="0" fontId="16" fillId="0" borderId="7" xfId="0" applyFont="1" applyBorder="1"/>
    <xf numFmtId="0" fontId="16" fillId="0" borderId="0" xfId="0" applyFont="1" applyFill="1" applyAlignment="1" applyProtection="1">
      <alignment horizontal="center"/>
      <protection hidden="1"/>
    </xf>
    <xf numFmtId="0" fontId="16" fillId="0" borderId="0" xfId="0" applyFont="1" applyFill="1" applyBorder="1" applyProtection="1">
      <protection hidden="1"/>
    </xf>
    <xf numFmtId="164" fontId="16" fillId="0" borderId="1" xfId="0" applyNumberFormat="1" applyFont="1" applyFill="1" applyBorder="1" applyAlignment="1" applyProtection="1">
      <alignment horizontal="center" vertical="center"/>
      <protection hidden="1"/>
    </xf>
    <xf numFmtId="165" fontId="16" fillId="0" borderId="10" xfId="0" applyNumberFormat="1" applyFont="1" applyFill="1" applyBorder="1" applyAlignment="1" applyProtection="1">
      <alignment horizontal="center" vertical="center"/>
      <protection hidden="1"/>
    </xf>
    <xf numFmtId="0" fontId="16" fillId="0" borderId="7" xfId="0" applyFont="1" applyFill="1" applyBorder="1" applyAlignment="1" applyProtection="1">
      <alignment horizontal="center"/>
      <protection hidden="1"/>
    </xf>
    <xf numFmtId="166" fontId="16" fillId="0" borderId="5" xfId="0" applyNumberFormat="1" applyFont="1" applyFill="1" applyBorder="1" applyAlignment="1" applyProtection="1">
      <alignment horizontal="center" vertical="center"/>
      <protection hidden="1"/>
    </xf>
    <xf numFmtId="166" fontId="16" fillId="0" borderId="8" xfId="0" applyNumberFormat="1" applyFont="1" applyFill="1" applyBorder="1" applyAlignment="1" applyProtection="1">
      <alignment horizontal="center" vertical="center"/>
      <protection hidden="1"/>
    </xf>
    <xf numFmtId="0" fontId="16" fillId="0" borderId="5" xfId="0" applyFont="1" applyFill="1" applyBorder="1" applyProtection="1">
      <protection hidden="1"/>
    </xf>
    <xf numFmtId="0" fontId="16" fillId="0" borderId="0" xfId="0" applyFont="1" applyProtection="1">
      <protection hidden="1"/>
    </xf>
    <xf numFmtId="0" fontId="16" fillId="0" borderId="10" xfId="0" applyFont="1" applyFill="1" applyBorder="1" applyAlignment="1" applyProtection="1">
      <alignment horizontal="center"/>
      <protection hidden="1"/>
    </xf>
    <xf numFmtId="1" fontId="16" fillId="0" borderId="11" xfId="0" applyNumberFormat="1" applyFont="1" applyFill="1" applyBorder="1" applyAlignment="1" applyProtection="1">
      <alignment horizontal="center" vertical="center"/>
      <protection hidden="1"/>
    </xf>
    <xf numFmtId="1" fontId="16" fillId="0" borderId="5" xfId="0" applyNumberFormat="1" applyFont="1" applyFill="1" applyBorder="1" applyAlignment="1" applyProtection="1">
      <alignment horizontal="center" vertical="center"/>
      <protection hidden="1"/>
    </xf>
    <xf numFmtId="1" fontId="16" fillId="0" borderId="11" xfId="0" applyNumberFormat="1" applyFont="1" applyFill="1" applyBorder="1" applyAlignment="1" applyProtection="1">
      <alignment horizontal="center"/>
      <protection hidden="1"/>
    </xf>
    <xf numFmtId="1" fontId="16" fillId="0" borderId="10" xfId="0" applyNumberFormat="1" applyFont="1" applyFill="1" applyBorder="1" applyAlignment="1" applyProtection="1">
      <alignment horizontal="center"/>
      <protection hidden="1"/>
    </xf>
    <xf numFmtId="1" fontId="16" fillId="0" borderId="8" xfId="0" applyNumberFormat="1" applyFont="1" applyFill="1" applyBorder="1" applyAlignment="1" applyProtection="1">
      <alignment horizontal="center" vertical="center"/>
      <protection hidden="1"/>
    </xf>
    <xf numFmtId="1" fontId="16" fillId="0" borderId="10" xfId="0" applyNumberFormat="1" applyFont="1" applyFill="1" applyBorder="1" applyAlignment="1" applyProtection="1">
      <alignment horizontal="center" vertical="center"/>
      <protection hidden="1"/>
    </xf>
    <xf numFmtId="0" fontId="16" fillId="0" borderId="8" xfId="0" applyFont="1" applyFill="1" applyBorder="1" applyProtection="1">
      <protection hidden="1"/>
    </xf>
    <xf numFmtId="0" fontId="16" fillId="0" borderId="9" xfId="0" applyFont="1" applyFill="1" applyBorder="1" applyAlignment="1" applyProtection="1">
      <alignment horizontal="center"/>
      <protection hidden="1"/>
    </xf>
    <xf numFmtId="1" fontId="16" fillId="0" borderId="0" xfId="0" applyNumberFormat="1" applyFont="1" applyFill="1" applyAlignment="1" applyProtection="1">
      <alignment horizontal="left"/>
      <protection hidden="1"/>
    </xf>
    <xf numFmtId="1" fontId="16" fillId="0" borderId="0" xfId="0" applyNumberFormat="1" applyFont="1" applyFill="1" applyAlignment="1" applyProtection="1">
      <alignment horizontal="left" vertical="center"/>
      <protection hidden="1"/>
    </xf>
    <xf numFmtId="1" fontId="16" fillId="0" borderId="0" xfId="0" applyNumberFormat="1" applyFont="1" applyFill="1" applyAlignment="1" applyProtection="1">
      <alignment horizontal="center" vertical="center"/>
      <protection hidden="1"/>
    </xf>
    <xf numFmtId="1" fontId="16" fillId="0" borderId="0" xfId="0" applyNumberFormat="1" applyFont="1" applyFill="1" applyProtection="1">
      <protection hidden="1"/>
    </xf>
    <xf numFmtId="1" fontId="16" fillId="0" borderId="1" xfId="0" applyNumberFormat="1" applyFont="1" applyFill="1" applyBorder="1" applyAlignment="1" applyProtection="1">
      <alignment horizontal="left"/>
      <protection hidden="1"/>
    </xf>
    <xf numFmtId="1" fontId="16" fillId="0" borderId="2" xfId="0" applyNumberFormat="1" applyFont="1" applyFill="1" applyBorder="1" applyAlignment="1" applyProtection="1">
      <alignment horizontal="left" vertical="center"/>
      <protection hidden="1"/>
    </xf>
    <xf numFmtId="1" fontId="16" fillId="0" borderId="2" xfId="0" applyNumberFormat="1" applyFont="1" applyFill="1" applyBorder="1" applyAlignment="1" applyProtection="1">
      <alignment horizontal="center" vertical="center"/>
      <protection hidden="1"/>
    </xf>
    <xf numFmtId="1" fontId="16" fillId="0" borderId="3" xfId="0" applyNumberFormat="1" applyFont="1" applyFill="1" applyBorder="1" applyAlignment="1" applyProtection="1">
      <alignment horizontal="center" vertical="center"/>
      <protection hidden="1"/>
    </xf>
    <xf numFmtId="1" fontId="16" fillId="0" borderId="4" xfId="0" applyNumberFormat="1" applyFont="1" applyFill="1" applyBorder="1" applyAlignment="1" applyProtection="1">
      <alignment horizontal="left"/>
      <protection hidden="1"/>
    </xf>
    <xf numFmtId="1" fontId="24" fillId="0" borderId="5" xfId="0" applyNumberFormat="1" applyFont="1" applyFill="1" applyBorder="1" applyAlignment="1" applyProtection="1">
      <alignment horizontal="center" vertical="center"/>
      <protection hidden="1"/>
    </xf>
    <xf numFmtId="1" fontId="30" fillId="0" borderId="0" xfId="0" applyNumberFormat="1" applyFont="1" applyFill="1" applyBorder="1" applyAlignment="1" applyProtection="1">
      <alignment horizontal="left" vertical="center"/>
      <protection hidden="1"/>
    </xf>
    <xf numFmtId="1" fontId="16" fillId="0" borderId="0" xfId="0" applyNumberFormat="1" applyFont="1" applyFill="1" applyBorder="1" applyAlignment="1" applyProtection="1">
      <alignment horizontal="left" vertical="center"/>
      <protection hidden="1"/>
    </xf>
    <xf numFmtId="1" fontId="16" fillId="0" borderId="0" xfId="0" applyNumberFormat="1" applyFont="1" applyFill="1" applyBorder="1" applyAlignment="1" applyProtection="1">
      <alignment horizontal="center" vertical="center"/>
      <protection hidden="1"/>
    </xf>
    <xf numFmtId="1" fontId="16" fillId="0" borderId="6" xfId="0" applyNumberFormat="1" applyFont="1" applyFill="1" applyBorder="1" applyAlignment="1" applyProtection="1">
      <alignment horizontal="left"/>
      <protection hidden="1"/>
    </xf>
    <xf numFmtId="1" fontId="16" fillId="0" borderId="7" xfId="0" applyNumberFormat="1" applyFont="1" applyFill="1" applyBorder="1" applyAlignment="1" applyProtection="1">
      <alignment horizontal="left" vertical="center"/>
      <protection hidden="1"/>
    </xf>
    <xf numFmtId="1" fontId="16" fillId="0" borderId="7" xfId="0" applyNumberFormat="1" applyFont="1" applyFill="1" applyBorder="1" applyAlignment="1" applyProtection="1">
      <alignment horizontal="center" vertical="center"/>
      <protection hidden="1"/>
    </xf>
    <xf numFmtId="1" fontId="16" fillId="0" borderId="4" xfId="0" applyNumberFormat="1" applyFont="1" applyFill="1" applyBorder="1" applyAlignment="1" applyProtection="1">
      <alignment horizontal="center" vertical="center"/>
      <protection hidden="1"/>
    </xf>
    <xf numFmtId="1" fontId="16" fillId="0" borderId="6" xfId="0" applyNumberFormat="1" applyFont="1" applyFill="1" applyBorder="1" applyAlignment="1" applyProtection="1">
      <alignment horizontal="center" vertical="center"/>
      <protection hidden="1"/>
    </xf>
    <xf numFmtId="1" fontId="16" fillId="0" borderId="9" xfId="0" applyNumberFormat="1" applyFont="1" applyFill="1" applyBorder="1" applyAlignment="1" applyProtection="1">
      <alignment horizontal="center" vertical="center"/>
      <protection hidden="1"/>
    </xf>
    <xf numFmtId="1" fontId="16" fillId="0" borderId="1" xfId="0" applyNumberFormat="1" applyFont="1" applyFill="1" applyBorder="1" applyAlignment="1" applyProtection="1">
      <alignment horizontal="center" vertical="center"/>
      <protection hidden="1"/>
    </xf>
    <xf numFmtId="1" fontId="16" fillId="0" borderId="9" xfId="0" applyNumberFormat="1" applyFont="1" applyFill="1" applyBorder="1" applyProtection="1">
      <protection hidden="1"/>
    </xf>
    <xf numFmtId="1" fontId="13" fillId="0" borderId="0" xfId="1" applyNumberFormat="1" applyFont="1" applyFill="1" applyBorder="1" applyAlignment="1" applyProtection="1">
      <alignment horizontal="center"/>
      <protection hidden="1"/>
    </xf>
    <xf numFmtId="1" fontId="16" fillId="0" borderId="0" xfId="0" applyNumberFormat="1" applyFont="1" applyFill="1" applyBorder="1" applyProtection="1">
      <protection hidden="1"/>
    </xf>
    <xf numFmtId="1" fontId="16" fillId="0" borderId="0" xfId="0" applyNumberFormat="1" applyFont="1" applyFill="1" applyBorder="1" applyAlignment="1" applyProtection="1">
      <protection hidden="1"/>
    </xf>
    <xf numFmtId="1" fontId="16" fillId="0" borderId="10" xfId="0" applyNumberFormat="1" applyFont="1" applyFill="1" applyBorder="1" applyProtection="1">
      <protection hidden="1"/>
    </xf>
    <xf numFmtId="1" fontId="30" fillId="0" borderId="7" xfId="0" applyNumberFormat="1" applyFont="1" applyFill="1" applyBorder="1" applyAlignment="1" applyProtection="1">
      <alignment horizontal="left" vertical="center"/>
      <protection hidden="1"/>
    </xf>
    <xf numFmtId="1" fontId="16" fillId="0" borderId="15" xfId="0" applyNumberFormat="1" applyFont="1" applyFill="1" applyBorder="1" applyAlignment="1" applyProtection="1">
      <alignment horizontal="left"/>
      <protection hidden="1"/>
    </xf>
    <xf numFmtId="1" fontId="16" fillId="0" borderId="12" xfId="0" applyNumberFormat="1" applyFont="1" applyFill="1" applyBorder="1" applyAlignment="1" applyProtection="1">
      <alignment horizontal="left" vertical="center"/>
      <protection hidden="1"/>
    </xf>
    <xf numFmtId="1" fontId="16" fillId="0" borderId="12" xfId="0" applyNumberFormat="1" applyFont="1" applyFill="1" applyBorder="1" applyAlignment="1" applyProtection="1">
      <alignment horizontal="center" vertical="center"/>
      <protection hidden="1"/>
    </xf>
    <xf numFmtId="1" fontId="16" fillId="0" borderId="14" xfId="0" applyNumberFormat="1" applyFont="1" applyFill="1" applyBorder="1" applyAlignment="1" applyProtection="1">
      <alignment horizontal="center" vertical="center"/>
      <protection hidden="1"/>
    </xf>
    <xf numFmtId="1" fontId="29" fillId="0" borderId="0" xfId="0" applyNumberFormat="1" applyFont="1" applyFill="1" applyAlignment="1" applyProtection="1">
      <alignment horizontal="left" vertical="center"/>
      <protection hidden="1"/>
    </xf>
    <xf numFmtId="1" fontId="29" fillId="0" borderId="0" xfId="0" applyNumberFormat="1" applyFont="1" applyFill="1" applyAlignment="1" applyProtection="1">
      <alignment horizontal="center" vertical="center"/>
      <protection hidden="1"/>
    </xf>
    <xf numFmtId="1" fontId="16" fillId="0" borderId="0" xfId="0" applyNumberFormat="1" applyFont="1" applyProtection="1">
      <protection hidden="1"/>
    </xf>
    <xf numFmtId="1" fontId="16" fillId="0" borderId="0" xfId="0" applyNumberFormat="1" applyFont="1"/>
    <xf numFmtId="1" fontId="16" fillId="0" borderId="7" xfId="0" applyNumberFormat="1" applyFont="1" applyBorder="1"/>
    <xf numFmtId="1" fontId="16" fillId="0" borderId="0" xfId="0" applyNumberFormat="1" applyFont="1" applyFill="1" applyAlignment="1" applyProtection="1">
      <protection hidden="1"/>
    </xf>
    <xf numFmtId="1" fontId="16" fillId="0" borderId="9" xfId="0" applyNumberFormat="1" applyFont="1" applyFill="1" applyBorder="1" applyAlignment="1" applyProtection="1">
      <alignment horizontal="center"/>
      <protection hidden="1"/>
    </xf>
    <xf numFmtId="1" fontId="16" fillId="0" borderId="7" xfId="0" applyNumberFormat="1" applyFont="1" applyBorder="1" applyAlignment="1">
      <alignment horizontal="center"/>
    </xf>
    <xf numFmtId="1" fontId="13" fillId="0" borderId="0" xfId="1" applyNumberFormat="1" applyFont="1" applyFill="1" applyBorder="1" applyAlignment="1" applyProtection="1">
      <protection hidden="1"/>
    </xf>
    <xf numFmtId="1" fontId="23" fillId="0" borderId="0" xfId="0" applyNumberFormat="1" applyFont="1" applyFill="1" applyBorder="1" applyAlignment="1" applyProtection="1">
      <alignment horizontal="left" vertical="center"/>
      <protection hidden="1"/>
    </xf>
    <xf numFmtId="1" fontId="16" fillId="0" borderId="15" xfId="0" applyNumberFormat="1" applyFont="1" applyBorder="1" applyProtection="1">
      <protection hidden="1"/>
    </xf>
    <xf numFmtId="1" fontId="16" fillId="0" borderId="12" xfId="0" applyNumberFormat="1" applyFont="1" applyBorder="1" applyProtection="1">
      <protection hidden="1"/>
    </xf>
    <xf numFmtId="1" fontId="16" fillId="0" borderId="14" xfId="0" applyNumberFormat="1" applyFont="1" applyBorder="1" applyProtection="1">
      <protection hidden="1"/>
    </xf>
    <xf numFmtId="1" fontId="17" fillId="0" borderId="0" xfId="0" applyNumberFormat="1" applyFont="1" applyFill="1" applyBorder="1" applyAlignment="1" applyProtection="1">
      <alignment horizontal="left" vertical="center"/>
      <protection hidden="1"/>
    </xf>
    <xf numFmtId="0" fontId="0" fillId="0" borderId="0" xfId="0" applyNumberFormat="1" applyAlignment="1">
      <alignment horizontal="right"/>
    </xf>
    <xf numFmtId="0" fontId="13" fillId="0" borderId="0" xfId="1" applyNumberFormat="1" applyFill="1" applyAlignment="1" applyProtection="1">
      <alignment horizontal="right" indent="1"/>
    </xf>
    <xf numFmtId="0" fontId="13" fillId="0" borderId="0" xfId="1" applyNumberFormat="1" applyAlignment="1" applyProtection="1">
      <alignment horizontal="right" indent="1"/>
    </xf>
    <xf numFmtId="0" fontId="15" fillId="0" borderId="0" xfId="0" applyNumberFormat="1" applyFont="1" applyAlignment="1">
      <alignment horizontal="right" indent="1"/>
    </xf>
    <xf numFmtId="1" fontId="16" fillId="0" borderId="15" xfId="0" applyNumberFormat="1" applyFont="1" applyFill="1" applyBorder="1" applyAlignment="1" applyProtection="1">
      <alignment horizontal="center" vertical="center"/>
      <protection hidden="1"/>
    </xf>
    <xf numFmtId="1" fontId="16" fillId="0" borderId="13" xfId="0" applyNumberFormat="1" applyFont="1" applyFill="1" applyBorder="1" applyAlignment="1" applyProtection="1">
      <alignment horizontal="center" vertical="center"/>
      <protection hidden="1"/>
    </xf>
    <xf numFmtId="1" fontId="16" fillId="0" borderId="0" xfId="3" applyNumberFormat="1"/>
    <xf numFmtId="1" fontId="20" fillId="0" borderId="0" xfId="1" applyNumberFormat="1" applyFont="1" applyFill="1" applyAlignment="1" applyProtection="1">
      <alignment horizontal="center" vertical="center"/>
      <protection hidden="1"/>
    </xf>
    <xf numFmtId="1" fontId="10" fillId="2" borderId="16" xfId="3" applyNumberFormat="1" applyFont="1" applyFill="1" applyBorder="1" applyAlignment="1">
      <alignment horizontal="center" vertical="center"/>
    </xf>
    <xf numFmtId="1" fontId="10" fillId="2" borderId="17" xfId="3" applyNumberFormat="1" applyFont="1" applyFill="1" applyBorder="1" applyAlignment="1">
      <alignment horizontal="center" vertical="center"/>
    </xf>
    <xf numFmtId="1" fontId="14" fillId="0" borderId="18" xfId="3" applyNumberFormat="1" applyFont="1" applyBorder="1"/>
    <xf numFmtId="1" fontId="22" fillId="0" borderId="19" xfId="3" applyNumberFormat="1" applyFont="1" applyBorder="1" applyAlignment="1">
      <alignment horizontal="right"/>
    </xf>
    <xf numFmtId="1" fontId="14" fillId="0" borderId="20" xfId="3" applyNumberFormat="1" applyFont="1" applyBorder="1"/>
    <xf numFmtId="1" fontId="22" fillId="0" borderId="21" xfId="3" applyNumberFormat="1" applyFont="1" applyBorder="1" applyAlignment="1">
      <alignment horizontal="right"/>
    </xf>
    <xf numFmtId="1" fontId="16" fillId="0" borderId="0" xfId="3" applyNumberFormat="1" applyFont="1"/>
    <xf numFmtId="1" fontId="22" fillId="2" borderId="22" xfId="3" applyNumberFormat="1" applyFont="1" applyFill="1" applyBorder="1" applyAlignment="1">
      <alignment horizontal="center" vertical="center"/>
    </xf>
    <xf numFmtId="1" fontId="22" fillId="2" borderId="23" xfId="3" applyNumberFormat="1" applyFont="1" applyFill="1" applyBorder="1" applyAlignment="1">
      <alignment horizontal="center" vertical="center"/>
    </xf>
    <xf numFmtId="1" fontId="22" fillId="2" borderId="24" xfId="3" applyNumberFormat="1" applyFont="1" applyFill="1" applyBorder="1" applyAlignment="1">
      <alignment horizontal="center" vertical="center"/>
    </xf>
    <xf numFmtId="1" fontId="14" fillId="2" borderId="23" xfId="3" applyNumberFormat="1" applyFont="1" applyFill="1" applyBorder="1" applyAlignment="1">
      <alignment horizontal="left" vertical="center"/>
    </xf>
    <xf numFmtId="1" fontId="22" fillId="2" borderId="24" xfId="3" applyNumberFormat="1" applyFont="1" applyFill="1" applyBorder="1" applyAlignment="1">
      <alignment horizontal="right" vertical="center"/>
    </xf>
    <xf numFmtId="1" fontId="14" fillId="2" borderId="25" xfId="3" applyNumberFormat="1" applyFont="1" applyFill="1" applyBorder="1" applyAlignment="1">
      <alignment horizontal="left" vertical="center"/>
    </xf>
    <xf numFmtId="1" fontId="22" fillId="2" borderId="26" xfId="3" applyNumberFormat="1" applyFont="1" applyFill="1" applyBorder="1" applyAlignment="1">
      <alignment horizontal="right" vertical="center"/>
    </xf>
    <xf numFmtId="1" fontId="14" fillId="2" borderId="20" xfId="3" applyNumberFormat="1" applyFont="1" applyFill="1" applyBorder="1" applyAlignment="1">
      <alignment horizontal="left" vertical="center"/>
    </xf>
    <xf numFmtId="1" fontId="22" fillId="2" borderId="21" xfId="3" applyNumberFormat="1" applyFont="1" applyFill="1" applyBorder="1" applyAlignment="1">
      <alignment horizontal="right" vertical="center"/>
    </xf>
    <xf numFmtId="1" fontId="14" fillId="2" borderId="25" xfId="3" applyNumberFormat="1" applyFont="1" applyFill="1" applyBorder="1" applyAlignment="1">
      <alignment horizontal="left" vertical="center" wrapText="1"/>
    </xf>
    <xf numFmtId="1" fontId="14" fillId="2" borderId="27" xfId="3" applyNumberFormat="1" applyFont="1" applyFill="1" applyBorder="1"/>
    <xf numFmtId="1" fontId="14" fillId="2" borderId="7" xfId="3" applyNumberFormat="1" applyFont="1" applyFill="1" applyBorder="1"/>
    <xf numFmtId="1" fontId="16" fillId="0" borderId="0" xfId="3" applyNumberFormat="1" applyAlignment="1">
      <alignment horizontal="right"/>
    </xf>
    <xf numFmtId="1" fontId="22" fillId="2" borderId="16" xfId="3" applyNumberFormat="1" applyFont="1" applyFill="1" applyBorder="1" applyAlignment="1">
      <alignment horizontal="center" vertical="center"/>
    </xf>
    <xf numFmtId="1" fontId="22" fillId="2" borderId="17" xfId="3" applyNumberFormat="1" applyFont="1" applyFill="1" applyBorder="1" applyAlignment="1">
      <alignment horizontal="center" vertical="center"/>
    </xf>
    <xf numFmtId="1" fontId="22" fillId="2" borderId="28" xfId="3" applyNumberFormat="1" applyFont="1" applyFill="1" applyBorder="1" applyAlignment="1">
      <alignment horizontal="center" vertical="center"/>
    </xf>
    <xf numFmtId="1" fontId="14" fillId="2" borderId="29" xfId="3" applyNumberFormat="1" applyFont="1" applyFill="1" applyBorder="1" applyAlignment="1">
      <alignment horizontal="left" vertical="center"/>
    </xf>
    <xf numFmtId="1" fontId="22" fillId="2" borderId="30" xfId="3" applyNumberFormat="1" applyFont="1" applyFill="1" applyBorder="1" applyAlignment="1">
      <alignment horizontal="right" vertical="center"/>
    </xf>
    <xf numFmtId="1" fontId="14" fillId="2" borderId="18" xfId="3" applyNumberFormat="1" applyFont="1" applyFill="1" applyBorder="1" applyAlignment="1">
      <alignment horizontal="left" vertical="center"/>
    </xf>
    <xf numFmtId="1" fontId="22" fillId="2" borderId="19" xfId="3" applyNumberFormat="1" applyFont="1" applyFill="1" applyBorder="1" applyAlignment="1">
      <alignment horizontal="right" vertical="center"/>
    </xf>
    <xf numFmtId="1" fontId="14" fillId="2" borderId="27" xfId="3" applyNumberFormat="1" applyFont="1" applyFill="1" applyBorder="1" applyAlignment="1">
      <alignment horizontal="left" vertical="center"/>
    </xf>
    <xf numFmtId="1" fontId="22" fillId="2" borderId="31" xfId="3" applyNumberFormat="1" applyFont="1" applyFill="1" applyBorder="1" applyAlignment="1">
      <alignment horizontal="right" vertical="center"/>
    </xf>
    <xf numFmtId="1" fontId="14" fillId="2" borderId="32" xfId="3" applyNumberFormat="1" applyFont="1" applyFill="1" applyBorder="1" applyAlignment="1">
      <alignment horizontal="left" vertical="center"/>
    </xf>
    <xf numFmtId="1" fontId="22" fillId="2" borderId="33" xfId="3" applyNumberFormat="1" applyFont="1" applyFill="1" applyBorder="1" applyAlignment="1">
      <alignment horizontal="right" vertical="center"/>
    </xf>
    <xf numFmtId="1" fontId="14" fillId="2" borderId="16" xfId="3" applyNumberFormat="1" applyFont="1" applyFill="1" applyBorder="1" applyAlignment="1">
      <alignment horizontal="center" vertical="center"/>
    </xf>
    <xf numFmtId="1" fontId="26" fillId="0" borderId="34" xfId="3" applyNumberFormat="1" applyFont="1" applyBorder="1" applyAlignment="1">
      <alignment horizontal="center"/>
    </xf>
    <xf numFmtId="1" fontId="26" fillId="0" borderId="27" xfId="3" applyNumberFormat="1" applyFont="1" applyBorder="1" applyAlignment="1">
      <alignment horizontal="center"/>
    </xf>
    <xf numFmtId="1" fontId="26" fillId="0" borderId="31" xfId="3" applyNumberFormat="1" applyFont="1" applyBorder="1" applyAlignment="1">
      <alignment horizontal="center"/>
    </xf>
    <xf numFmtId="1" fontId="23" fillId="0" borderId="32" xfId="3" applyNumberFormat="1" applyFont="1" applyBorder="1"/>
    <xf numFmtId="1" fontId="26" fillId="0" borderId="33" xfId="3" applyNumberFormat="1" applyFont="1" applyBorder="1" applyAlignment="1">
      <alignment horizontal="right"/>
    </xf>
    <xf numFmtId="1" fontId="23" fillId="0" borderId="20" xfId="3" applyNumberFormat="1" applyFont="1" applyBorder="1"/>
    <xf numFmtId="1" fontId="26" fillId="0" borderId="21" xfId="3" applyNumberFormat="1" applyFont="1" applyBorder="1" applyAlignment="1">
      <alignment horizontal="right"/>
    </xf>
    <xf numFmtId="1" fontId="22" fillId="2" borderId="32" xfId="3" applyNumberFormat="1" applyFont="1" applyFill="1" applyBorder="1" applyAlignment="1">
      <alignment horizontal="center" vertical="center"/>
    </xf>
    <xf numFmtId="1" fontId="22" fillId="2" borderId="25" xfId="3" applyNumberFormat="1" applyFont="1" applyFill="1" applyBorder="1" applyAlignment="1">
      <alignment horizontal="right" vertical="center"/>
    </xf>
    <xf numFmtId="1" fontId="22" fillId="2" borderId="20" xfId="3" applyNumberFormat="1" applyFont="1" applyFill="1" applyBorder="1" applyAlignment="1">
      <alignment horizontal="right" vertical="center"/>
    </xf>
    <xf numFmtId="1" fontId="26" fillId="0" borderId="16" xfId="3" applyNumberFormat="1" applyFont="1" applyBorder="1" applyAlignment="1">
      <alignment horizontal="center"/>
    </xf>
    <xf numFmtId="1" fontId="26" fillId="0" borderId="17" xfId="3" applyNumberFormat="1" applyFont="1" applyBorder="1" applyAlignment="1">
      <alignment horizontal="center"/>
    </xf>
    <xf numFmtId="1" fontId="26" fillId="0" borderId="28" xfId="3" applyNumberFormat="1" applyFont="1" applyBorder="1" applyAlignment="1">
      <alignment horizontal="center"/>
    </xf>
    <xf numFmtId="1" fontId="23" fillId="0" borderId="27" xfId="3" applyNumberFormat="1" applyFont="1" applyBorder="1"/>
    <xf numFmtId="1" fontId="26" fillId="2" borderId="31" xfId="3" applyNumberFormat="1" applyFont="1" applyFill="1" applyBorder="1" applyAlignment="1">
      <alignment horizontal="right" vertical="center"/>
    </xf>
    <xf numFmtId="1" fontId="26" fillId="2" borderId="21" xfId="3" applyNumberFormat="1" applyFont="1" applyFill="1" applyBorder="1" applyAlignment="1">
      <alignment horizontal="right" vertical="center"/>
    </xf>
    <xf numFmtId="1" fontId="26" fillId="2" borderId="16" xfId="3" applyNumberFormat="1" applyFont="1" applyFill="1" applyBorder="1" applyAlignment="1">
      <alignment horizontal="center" vertical="center"/>
    </xf>
    <xf numFmtId="1" fontId="26" fillId="2" borderId="17" xfId="3" applyNumberFormat="1" applyFont="1" applyFill="1" applyBorder="1" applyAlignment="1">
      <alignment horizontal="center" vertical="center"/>
    </xf>
    <xf numFmtId="1" fontId="26" fillId="2" borderId="28" xfId="3" applyNumberFormat="1" applyFont="1" applyFill="1" applyBorder="1" applyAlignment="1">
      <alignment horizontal="center" vertical="center"/>
    </xf>
    <xf numFmtId="1" fontId="22" fillId="2" borderId="34" xfId="3" applyNumberFormat="1" applyFont="1" applyFill="1" applyBorder="1" applyAlignment="1">
      <alignment horizontal="center" vertical="center"/>
    </xf>
    <xf numFmtId="1" fontId="22" fillId="2" borderId="27" xfId="3" applyNumberFormat="1" applyFont="1" applyFill="1" applyBorder="1" applyAlignment="1">
      <alignment horizontal="center" vertical="center"/>
    </xf>
    <xf numFmtId="1" fontId="22" fillId="2" borderId="31" xfId="3" applyNumberFormat="1" applyFont="1" applyFill="1" applyBorder="1" applyAlignment="1">
      <alignment horizontal="center" vertical="center"/>
    </xf>
    <xf numFmtId="1" fontId="14" fillId="2" borderId="35" xfId="3" applyNumberFormat="1" applyFont="1" applyFill="1" applyBorder="1" applyAlignment="1">
      <alignment horizontal="center" vertical="center"/>
    </xf>
    <xf numFmtId="0" fontId="0" fillId="0" borderId="0" xfId="0" applyAlignment="1">
      <alignment vertical="top" wrapText="1"/>
    </xf>
    <xf numFmtId="0" fontId="37" fillId="0" borderId="0" xfId="0" applyFont="1"/>
    <xf numFmtId="0" fontId="2" fillId="0" borderId="0" xfId="0" applyFont="1" applyAlignment="1">
      <alignment vertical="top" wrapText="1"/>
    </xf>
    <xf numFmtId="0" fontId="0" fillId="0" borderId="0" xfId="0" applyAlignment="1">
      <alignment wrapText="1"/>
    </xf>
    <xf numFmtId="0" fontId="16" fillId="0" borderId="0" xfId="0" applyFont="1" applyAlignment="1">
      <alignment vertical="top" wrapText="1"/>
    </xf>
    <xf numFmtId="0" fontId="38" fillId="0" borderId="0" xfId="0" applyFont="1" applyAlignment="1"/>
    <xf numFmtId="0" fontId="23" fillId="0" borderId="0" xfId="0" applyFont="1" applyAlignment="1">
      <alignment vertical="top"/>
    </xf>
    <xf numFmtId="0" fontId="16" fillId="0" borderId="0" xfId="3" applyBorder="1"/>
    <xf numFmtId="9" fontId="16" fillId="0" borderId="0" xfId="3" applyNumberFormat="1"/>
    <xf numFmtId="164" fontId="16" fillId="0" borderId="4" xfId="0" applyNumberFormat="1" applyFont="1" applyFill="1" applyBorder="1" applyAlignment="1" applyProtection="1">
      <alignment horizontal="center" vertical="center"/>
      <protection hidden="1"/>
    </xf>
    <xf numFmtId="1" fontId="30" fillId="0" borderId="0" xfId="0" applyNumberFormat="1" applyFont="1" applyFill="1" applyBorder="1" applyAlignment="1" applyProtection="1">
      <alignment horizontal="left" vertical="center" wrapText="1"/>
      <protection hidden="1"/>
    </xf>
    <xf numFmtId="1" fontId="30" fillId="0" borderId="5" xfId="0" applyNumberFormat="1" applyFont="1" applyFill="1" applyBorder="1" applyAlignment="1" applyProtection="1">
      <alignment horizontal="left" vertical="center" wrapText="1"/>
      <protection hidden="1"/>
    </xf>
    <xf numFmtId="16" fontId="16" fillId="0" borderId="9" xfId="0" applyNumberFormat="1" applyFont="1" applyFill="1" applyBorder="1" applyAlignment="1" applyProtection="1">
      <alignment horizontal="center" vertical="center"/>
      <protection hidden="1"/>
    </xf>
    <xf numFmtId="0" fontId="16" fillId="0" borderId="4" xfId="0" applyFont="1" applyFill="1" applyBorder="1" applyAlignment="1" applyProtection="1">
      <alignment horizontal="left" vertical="center"/>
      <protection hidden="1"/>
    </xf>
    <xf numFmtId="3" fontId="16" fillId="0" borderId="0" xfId="0" applyNumberFormat="1" applyFont="1" applyFill="1" applyBorder="1" applyAlignment="1" applyProtection="1">
      <alignment horizontal="center" vertical="center"/>
      <protection hidden="1"/>
    </xf>
    <xf numFmtId="0" fontId="16" fillId="0" borderId="32" xfId="0" applyFont="1" applyFill="1" applyBorder="1" applyAlignment="1" applyProtection="1">
      <alignment horizontal="center" vertical="center"/>
      <protection hidden="1"/>
    </xf>
    <xf numFmtId="0" fontId="16" fillId="0" borderId="34" xfId="0" applyFont="1" applyFill="1" applyBorder="1" applyAlignment="1" applyProtection="1">
      <alignment horizontal="center" vertical="center"/>
      <protection hidden="1"/>
    </xf>
    <xf numFmtId="0" fontId="16" fillId="0" borderId="27" xfId="0" applyFont="1" applyFill="1" applyBorder="1" applyAlignment="1" applyProtection="1">
      <alignment horizontal="center" vertical="center"/>
      <protection hidden="1"/>
    </xf>
    <xf numFmtId="0" fontId="16" fillId="0" borderId="31" xfId="0" applyFont="1" applyFill="1" applyBorder="1" applyAlignment="1" applyProtection="1">
      <alignment horizontal="center" vertical="center"/>
      <protection hidden="1"/>
    </xf>
    <xf numFmtId="0" fontId="16" fillId="0" borderId="36" xfId="0" applyFont="1" applyFill="1" applyBorder="1" applyAlignment="1" applyProtection="1">
      <alignment horizontal="center" vertical="center"/>
      <protection hidden="1"/>
    </xf>
    <xf numFmtId="0" fontId="16" fillId="0" borderId="33" xfId="0" applyFont="1" applyFill="1" applyBorder="1" applyAlignment="1" applyProtection="1">
      <alignment horizontal="center" vertical="center"/>
      <protection hidden="1"/>
    </xf>
    <xf numFmtId="14" fontId="16" fillId="0" borderId="35" xfId="0" applyNumberFormat="1" applyFont="1" applyFill="1" applyBorder="1" applyAlignment="1" applyProtection="1">
      <alignment horizontal="center" vertical="center"/>
      <protection hidden="1"/>
    </xf>
    <xf numFmtId="0" fontId="16" fillId="0" borderId="20" xfId="0" applyFont="1" applyFill="1" applyBorder="1" applyAlignment="1" applyProtection="1">
      <alignment horizontal="center" vertical="center"/>
      <protection hidden="1"/>
    </xf>
    <xf numFmtId="0" fontId="16" fillId="0" borderId="21" xfId="0" applyFont="1" applyFill="1" applyBorder="1" applyAlignment="1" applyProtection="1">
      <alignment horizontal="center" vertical="center"/>
      <protection hidden="1"/>
    </xf>
    <xf numFmtId="1" fontId="16" fillId="0" borderId="0" xfId="0" applyNumberFormat="1" applyFont="1" applyFill="1" applyBorder="1" applyAlignment="1" applyProtection="1">
      <alignment horizontal="left"/>
      <protection hidden="1"/>
    </xf>
    <xf numFmtId="1" fontId="16" fillId="0" borderId="11" xfId="0" applyNumberFormat="1" applyFont="1" applyFill="1" applyBorder="1" applyAlignment="1" applyProtection="1">
      <alignment horizontal="left" vertical="center" wrapText="1"/>
      <protection hidden="1"/>
    </xf>
    <xf numFmtId="1" fontId="30" fillId="0" borderId="2" xfId="0" applyNumberFormat="1" applyFont="1" applyFill="1" applyBorder="1" applyAlignment="1" applyProtection="1">
      <alignment horizontal="left" vertical="center" wrapText="1"/>
      <protection hidden="1"/>
    </xf>
    <xf numFmtId="1" fontId="30" fillId="0" borderId="3" xfId="0" applyNumberFormat="1" applyFont="1" applyFill="1" applyBorder="1" applyAlignment="1" applyProtection="1">
      <alignment horizontal="left" vertical="center" wrapText="1"/>
      <protection hidden="1"/>
    </xf>
    <xf numFmtId="1" fontId="16" fillId="0" borderId="9" xfId="0" applyNumberFormat="1" applyFont="1" applyFill="1" applyBorder="1" applyAlignment="1" applyProtection="1">
      <alignment horizontal="left" vertical="center" wrapText="1"/>
      <protection hidden="1"/>
    </xf>
    <xf numFmtId="1" fontId="30" fillId="0" borderId="9" xfId="0" applyNumberFormat="1" applyFont="1" applyFill="1" applyBorder="1" applyAlignment="1" applyProtection="1">
      <alignment horizontal="left" vertical="center" wrapText="1"/>
      <protection hidden="1"/>
    </xf>
    <xf numFmtId="1" fontId="30" fillId="0" borderId="11" xfId="0" applyNumberFormat="1" applyFont="1" applyFill="1" applyBorder="1" applyAlignment="1" applyProtection="1">
      <alignment horizontal="left" vertical="center" wrapText="1"/>
      <protection hidden="1"/>
    </xf>
    <xf numFmtId="1" fontId="30" fillId="0" borderId="12" xfId="0" applyNumberFormat="1" applyFont="1" applyFill="1" applyBorder="1" applyAlignment="1" applyProtection="1">
      <alignment horizontal="left" vertical="center" wrapText="1"/>
      <protection hidden="1"/>
    </xf>
    <xf numFmtId="1" fontId="16" fillId="0" borderId="14" xfId="0" applyNumberFormat="1" applyFont="1" applyFill="1" applyBorder="1" applyAlignment="1" applyProtection="1">
      <alignment horizontal="left" vertical="center" wrapText="1"/>
      <protection hidden="1"/>
    </xf>
    <xf numFmtId="1" fontId="30" fillId="0" borderId="14" xfId="0" applyNumberFormat="1" applyFont="1" applyFill="1" applyBorder="1" applyAlignment="1" applyProtection="1">
      <alignment horizontal="left" vertical="center" wrapText="1"/>
      <protection hidden="1"/>
    </xf>
    <xf numFmtId="1" fontId="16" fillId="0" borderId="13" xfId="0" applyNumberFormat="1" applyFont="1" applyFill="1" applyBorder="1" applyAlignment="1" applyProtection="1">
      <alignment horizontal="left" vertical="center" wrapText="1"/>
      <protection hidden="1"/>
    </xf>
    <xf numFmtId="49" fontId="13" fillId="0" borderId="0" xfId="1" applyNumberFormat="1" applyFont="1" applyAlignment="1" applyProtection="1">
      <alignment horizontal="right" indent="1"/>
      <protection locked="0"/>
    </xf>
    <xf numFmtId="1" fontId="16" fillId="0" borderId="0" xfId="3" applyNumberFormat="1" applyFont="1" applyBorder="1" applyAlignment="1" applyProtection="1">
      <alignment vertical="top"/>
      <protection locked="0"/>
    </xf>
    <xf numFmtId="1" fontId="16" fillId="0" borderId="2" xfId="3" applyNumberFormat="1" applyFont="1" applyBorder="1" applyAlignment="1" applyProtection="1">
      <alignment vertical="top" wrapText="1"/>
      <protection locked="0"/>
    </xf>
    <xf numFmtId="1" fontId="16" fillId="0" borderId="2" xfId="3" applyNumberFormat="1" applyFont="1" applyBorder="1" applyAlignment="1" applyProtection="1">
      <alignment vertical="top"/>
      <protection locked="0"/>
    </xf>
    <xf numFmtId="1" fontId="16" fillId="0" borderId="0" xfId="3" applyNumberFormat="1" applyFont="1" applyBorder="1" applyAlignment="1" applyProtection="1">
      <alignment horizontal="right" vertical="top" wrapText="1"/>
      <protection locked="0"/>
    </xf>
    <xf numFmtId="1" fontId="16" fillId="0" borderId="0" xfId="3" applyNumberFormat="1" applyFont="1" applyBorder="1" applyAlignment="1" applyProtection="1">
      <alignment vertical="center"/>
      <protection locked="0"/>
    </xf>
    <xf numFmtId="1" fontId="16" fillId="0" borderId="0" xfId="3" applyNumberFormat="1" applyFont="1" applyBorder="1" applyAlignment="1" applyProtection="1">
      <alignment vertical="center" wrapText="1"/>
      <protection locked="0"/>
    </xf>
    <xf numFmtId="1" fontId="16" fillId="0" borderId="0" xfId="3" applyNumberFormat="1" applyFont="1" applyBorder="1" applyAlignment="1" applyProtection="1">
      <alignment horizontal="right" vertical="center" wrapText="1"/>
      <protection locked="0"/>
    </xf>
    <xf numFmtId="1" fontId="22" fillId="2" borderId="14" xfId="3" applyNumberFormat="1" applyFont="1" applyFill="1" applyBorder="1" applyAlignment="1">
      <alignment horizontal="center" vertical="center"/>
    </xf>
    <xf numFmtId="1" fontId="14" fillId="2" borderId="28" xfId="3" applyNumberFormat="1" applyFont="1" applyFill="1" applyBorder="1" applyAlignment="1">
      <alignment horizontal="left" vertical="center"/>
    </xf>
    <xf numFmtId="1" fontId="22" fillId="2" borderId="13" xfId="3" applyNumberFormat="1" applyFont="1" applyFill="1" applyBorder="1" applyAlignment="1">
      <alignment horizontal="right" vertical="center"/>
    </xf>
    <xf numFmtId="14" fontId="16" fillId="0" borderId="15" xfId="0" applyNumberFormat="1" applyFont="1" applyFill="1" applyBorder="1" applyAlignment="1" applyProtection="1">
      <alignment horizontal="center" vertical="center"/>
      <protection hidden="1"/>
    </xf>
    <xf numFmtId="0" fontId="13" fillId="0" borderId="0" xfId="1" applyNumberFormat="1" applyFont="1" applyAlignment="1" applyProtection="1">
      <alignment horizontal="right" indent="1"/>
    </xf>
    <xf numFmtId="1" fontId="16" fillId="0" borderId="7" xfId="3" applyNumberFormat="1" applyFont="1" applyBorder="1" applyAlignment="1" applyProtection="1">
      <alignment vertical="top"/>
      <protection locked="0"/>
    </xf>
    <xf numFmtId="1" fontId="16" fillId="0" borderId="7" xfId="3" applyNumberFormat="1" applyFont="1" applyBorder="1" applyAlignment="1" applyProtection="1">
      <alignment vertical="top" wrapText="1"/>
      <protection locked="0"/>
    </xf>
    <xf numFmtId="1" fontId="16" fillId="0" borderId="7" xfId="3" applyNumberFormat="1" applyFont="1" applyBorder="1" applyAlignment="1" applyProtection="1">
      <alignment horizontal="right" vertical="top" wrapText="1"/>
      <protection locked="0"/>
    </xf>
    <xf numFmtId="1" fontId="16" fillId="0" borderId="0" xfId="3" applyNumberFormat="1" applyFont="1" applyBorder="1" applyAlignment="1" applyProtection="1">
      <alignment vertical="top" wrapText="1"/>
      <protection locked="0"/>
    </xf>
    <xf numFmtId="1" fontId="14" fillId="2" borderId="22" xfId="3" applyNumberFormat="1" applyFont="1" applyFill="1" applyBorder="1" applyAlignment="1">
      <alignment horizontal="center" vertical="center"/>
    </xf>
    <xf numFmtId="1" fontId="18" fillId="0" borderId="0" xfId="2" applyNumberFormat="1" applyFont="1" applyProtection="1">
      <protection hidden="1"/>
    </xf>
    <xf numFmtId="1" fontId="22" fillId="0" borderId="21" xfId="2" applyNumberFormat="1" applyFont="1" applyBorder="1" applyAlignment="1">
      <alignment horizontal="right"/>
    </xf>
    <xf numFmtId="1" fontId="14" fillId="0" borderId="20" xfId="2" applyNumberFormat="1" applyFont="1" applyBorder="1"/>
    <xf numFmtId="1" fontId="22" fillId="2" borderId="33" xfId="2" applyNumberFormat="1" applyFont="1" applyFill="1" applyBorder="1" applyAlignment="1">
      <alignment horizontal="right" vertical="center"/>
    </xf>
    <xf numFmtId="1" fontId="14" fillId="2" borderId="32" xfId="2" applyNumberFormat="1" applyFont="1" applyFill="1" applyBorder="1" applyAlignment="1">
      <alignment horizontal="left" vertical="center"/>
    </xf>
    <xf numFmtId="1" fontId="22" fillId="2" borderId="31" xfId="2" applyNumberFormat="1" applyFont="1" applyFill="1" applyBorder="1" applyAlignment="1">
      <alignment horizontal="right" vertical="center"/>
    </xf>
    <xf numFmtId="1" fontId="14" fillId="2" borderId="27" xfId="2" applyNumberFormat="1" applyFont="1" applyFill="1" applyBorder="1" applyAlignment="1">
      <alignment horizontal="left" vertical="center"/>
    </xf>
    <xf numFmtId="1" fontId="22" fillId="2" borderId="28" xfId="2" applyNumberFormat="1" applyFont="1" applyFill="1" applyBorder="1" applyAlignment="1">
      <alignment horizontal="center" vertical="center"/>
    </xf>
    <xf numFmtId="1" fontId="22" fillId="2" borderId="17" xfId="2" applyNumberFormat="1" applyFont="1" applyFill="1" applyBorder="1" applyAlignment="1">
      <alignment horizontal="center" vertical="center"/>
    </xf>
    <xf numFmtId="1" fontId="22" fillId="2" borderId="16" xfId="2" applyNumberFormat="1" applyFont="1" applyFill="1" applyBorder="1" applyAlignment="1">
      <alignment horizontal="center" vertical="center"/>
    </xf>
    <xf numFmtId="1" fontId="22" fillId="2" borderId="21" xfId="2" applyNumberFormat="1" applyFont="1" applyFill="1" applyBorder="1" applyAlignment="1">
      <alignment horizontal="right" vertical="center"/>
    </xf>
    <xf numFmtId="1" fontId="14" fillId="2" borderId="20" xfId="2" applyNumberFormat="1" applyFont="1" applyFill="1" applyBorder="1" applyAlignment="1">
      <alignment horizontal="left" vertical="center"/>
    </xf>
    <xf numFmtId="1" fontId="16" fillId="0" borderId="0" xfId="2" applyNumberFormat="1" applyAlignment="1">
      <alignment horizontal="right"/>
    </xf>
    <xf numFmtId="1" fontId="16" fillId="0" borderId="0" xfId="2" applyNumberFormat="1"/>
    <xf numFmtId="1" fontId="26" fillId="0" borderId="21" xfId="2" applyNumberFormat="1" applyFont="1" applyBorder="1" applyAlignment="1">
      <alignment horizontal="right"/>
    </xf>
    <xf numFmtId="1" fontId="23" fillId="0" borderId="7" xfId="2" applyNumberFormat="1" applyFont="1" applyBorder="1"/>
    <xf numFmtId="1" fontId="26" fillId="0" borderId="26" xfId="2" applyNumberFormat="1" applyFont="1" applyBorder="1" applyAlignment="1">
      <alignment horizontal="right"/>
    </xf>
    <xf numFmtId="1" fontId="23" fillId="0" borderId="32" xfId="2" applyNumberFormat="1" applyFont="1" applyBorder="1"/>
    <xf numFmtId="1" fontId="26" fillId="0" borderId="30" xfId="2" applyNumberFormat="1" applyFont="1" applyBorder="1" applyAlignment="1">
      <alignment horizontal="right"/>
    </xf>
    <xf numFmtId="1" fontId="23" fillId="0" borderId="0" xfId="2" applyNumberFormat="1" applyFont="1" applyBorder="1"/>
    <xf numFmtId="1" fontId="26" fillId="0" borderId="33" xfId="2" applyNumberFormat="1" applyFont="1" applyBorder="1" applyAlignment="1">
      <alignment horizontal="right"/>
    </xf>
    <xf numFmtId="1" fontId="23" fillId="0" borderId="18" xfId="2" applyNumberFormat="1" applyFont="1" applyBorder="1"/>
    <xf numFmtId="1" fontId="23" fillId="0" borderId="37" xfId="2" applyNumberFormat="1" applyFont="1" applyBorder="1"/>
    <xf numFmtId="1" fontId="26" fillId="0" borderId="31" xfId="2" applyNumberFormat="1" applyFont="1" applyBorder="1" applyAlignment="1">
      <alignment horizontal="right"/>
    </xf>
    <xf numFmtId="1" fontId="23" fillId="0" borderId="27" xfId="2" applyNumberFormat="1" applyFont="1" applyBorder="1"/>
    <xf numFmtId="1" fontId="23" fillId="0" borderId="20" xfId="2" applyNumberFormat="1" applyFont="1" applyBorder="1"/>
    <xf numFmtId="1" fontId="18" fillId="0" borderId="0" xfId="2" applyNumberFormat="1" applyFont="1" applyAlignment="1" applyProtection="1">
      <alignment horizontal="center"/>
      <protection hidden="1"/>
    </xf>
    <xf numFmtId="1" fontId="26" fillId="0" borderId="24" xfId="2" applyNumberFormat="1" applyFont="1" applyBorder="1" applyAlignment="1">
      <alignment horizontal="right"/>
    </xf>
    <xf numFmtId="1" fontId="23" fillId="0" borderId="2" xfId="2" applyNumberFormat="1" applyFont="1" applyBorder="1"/>
    <xf numFmtId="1" fontId="26" fillId="0" borderId="28" xfId="2" applyNumberFormat="1" applyFont="1" applyBorder="1" applyAlignment="1">
      <alignment horizontal="center"/>
    </xf>
    <xf numFmtId="1" fontId="26" fillId="0" borderId="12" xfId="2" applyNumberFormat="1" applyFont="1" applyBorder="1" applyAlignment="1">
      <alignment horizontal="center"/>
    </xf>
    <xf numFmtId="1" fontId="26" fillId="0" borderId="16" xfId="2" applyNumberFormat="1" applyFont="1" applyBorder="1" applyAlignment="1">
      <alignment horizontal="center"/>
    </xf>
    <xf numFmtId="1" fontId="18" fillId="0" borderId="7" xfId="2" applyNumberFormat="1" applyFont="1" applyBorder="1" applyProtection="1">
      <protection hidden="1"/>
    </xf>
    <xf numFmtId="1" fontId="22" fillId="2" borderId="26" xfId="2" applyNumberFormat="1" applyFont="1" applyFill="1" applyBorder="1" applyAlignment="1">
      <alignment horizontal="right" vertical="center"/>
    </xf>
    <xf numFmtId="1" fontId="14" fillId="2" borderId="25" xfId="2" applyNumberFormat="1" applyFont="1" applyFill="1" applyBorder="1" applyAlignment="1">
      <alignment horizontal="left" vertical="center"/>
    </xf>
    <xf numFmtId="1" fontId="22" fillId="2" borderId="19" xfId="2" applyNumberFormat="1" applyFont="1" applyFill="1" applyBorder="1" applyAlignment="1">
      <alignment horizontal="right" vertical="center"/>
    </xf>
    <xf numFmtId="1" fontId="14" fillId="2" borderId="18" xfId="2" applyNumberFormat="1" applyFont="1" applyFill="1" applyBorder="1" applyAlignment="1">
      <alignment horizontal="left" vertical="center"/>
    </xf>
    <xf numFmtId="1" fontId="22" fillId="2" borderId="28" xfId="2" applyNumberFormat="1" applyFont="1" applyFill="1" applyBorder="1" applyAlignment="1">
      <alignment horizontal="center" vertical="center" wrapText="1"/>
    </xf>
    <xf numFmtId="1" fontId="22" fillId="2" borderId="17" xfId="2" applyNumberFormat="1" applyFont="1" applyFill="1" applyBorder="1" applyAlignment="1">
      <alignment horizontal="left" vertical="center"/>
    </xf>
    <xf numFmtId="1" fontId="22" fillId="2" borderId="16" xfId="2" applyNumberFormat="1" applyFont="1" applyFill="1" applyBorder="1" applyAlignment="1">
      <alignment horizontal="left" vertical="center"/>
    </xf>
    <xf numFmtId="1" fontId="18" fillId="0" borderId="0" xfId="2" applyNumberFormat="1" applyFont="1" applyProtection="1">
      <protection locked="0" hidden="1"/>
    </xf>
    <xf numFmtId="1" fontId="14" fillId="2" borderId="38" xfId="2" applyNumberFormat="1" applyFont="1" applyFill="1" applyBorder="1" applyAlignment="1">
      <alignment horizontal="center" vertical="center"/>
    </xf>
    <xf numFmtId="1" fontId="14" fillId="2" borderId="36" xfId="2" applyNumberFormat="1" applyFont="1" applyFill="1" applyBorder="1" applyAlignment="1">
      <alignment horizontal="center" vertical="center"/>
    </xf>
    <xf numFmtId="1" fontId="10" fillId="2" borderId="17" xfId="2" applyNumberFormat="1" applyFont="1" applyFill="1" applyBorder="1" applyAlignment="1">
      <alignment horizontal="center" vertical="center"/>
    </xf>
    <xf numFmtId="1" fontId="10" fillId="2" borderId="16" xfId="2" applyNumberFormat="1" applyFont="1" applyFill="1" applyBorder="1" applyAlignment="1">
      <alignment horizontal="center" vertical="center"/>
    </xf>
    <xf numFmtId="1" fontId="19" fillId="0" borderId="0" xfId="2" applyNumberFormat="1" applyFont="1" applyAlignment="1" applyProtection="1">
      <alignment horizontal="center"/>
      <protection hidden="1"/>
    </xf>
    <xf numFmtId="0" fontId="13" fillId="0" borderId="0" xfId="1" applyAlignment="1" applyProtection="1"/>
    <xf numFmtId="0" fontId="39" fillId="0" borderId="0" xfId="0" applyFont="1"/>
    <xf numFmtId="0" fontId="16" fillId="0" borderId="0" xfId="0" applyFont="1" applyBorder="1"/>
    <xf numFmtId="0" fontId="40" fillId="0" borderId="0" xfId="0" applyFont="1"/>
    <xf numFmtId="14" fontId="16" fillId="0" borderId="6" xfId="0" applyNumberFormat="1" applyFont="1" applyFill="1" applyBorder="1" applyAlignment="1" applyProtection="1">
      <alignment horizontal="left" vertical="center"/>
      <protection hidden="1"/>
    </xf>
    <xf numFmtId="1" fontId="16" fillId="0" borderId="32" xfId="0" applyNumberFormat="1" applyFont="1" applyFill="1" applyBorder="1" applyAlignment="1" applyProtection="1">
      <alignment horizontal="center" vertical="center"/>
      <protection hidden="1"/>
    </xf>
    <xf numFmtId="0" fontId="16" fillId="0" borderId="7" xfId="0" applyFont="1" applyBorder="1" applyAlignment="1">
      <alignment horizontal="center"/>
    </xf>
    <xf numFmtId="0" fontId="16" fillId="0" borderId="39" xfId="0" applyFont="1" applyFill="1" applyBorder="1" applyAlignment="1" applyProtection="1">
      <alignment horizontal="center" vertical="center"/>
      <protection hidden="1"/>
    </xf>
    <xf numFmtId="14" fontId="16" fillId="0" borderId="18" xfId="0" applyNumberFormat="1" applyFont="1" applyFill="1" applyBorder="1" applyAlignment="1" applyProtection="1">
      <alignment horizontal="center" vertical="center"/>
      <protection hidden="1"/>
    </xf>
    <xf numFmtId="1" fontId="41" fillId="0" borderId="0" xfId="0" applyNumberFormat="1" applyFont="1" applyFill="1" applyAlignment="1" applyProtection="1">
      <alignment horizontal="center" vertical="center"/>
      <protection hidden="1"/>
    </xf>
    <xf numFmtId="0" fontId="24" fillId="0" borderId="0" xfId="0" applyFont="1" applyFill="1" applyBorder="1" applyAlignment="1" applyProtection="1">
      <alignment horizontal="center" vertical="center"/>
      <protection hidden="1"/>
    </xf>
    <xf numFmtId="0" fontId="16" fillId="0" borderId="37" xfId="0" applyFont="1" applyFill="1" applyBorder="1" applyAlignment="1" applyProtection="1">
      <alignment horizontal="left" vertical="center"/>
      <protection hidden="1"/>
    </xf>
    <xf numFmtId="0" fontId="16" fillId="0" borderId="37" xfId="0" applyFont="1" applyFill="1" applyBorder="1" applyAlignment="1" applyProtection="1">
      <alignment horizontal="center" vertical="center"/>
      <protection hidden="1"/>
    </xf>
    <xf numFmtId="3" fontId="16" fillId="0" borderId="40" xfId="0" applyNumberFormat="1" applyFont="1" applyFill="1" applyBorder="1" applyAlignment="1" applyProtection="1">
      <alignment horizontal="center" vertical="center"/>
      <protection hidden="1"/>
    </xf>
    <xf numFmtId="166" fontId="16" fillId="0" borderId="40" xfId="0" applyNumberFormat="1" applyFont="1" applyFill="1" applyBorder="1" applyAlignment="1" applyProtection="1">
      <alignment horizontal="center" vertical="center"/>
      <protection hidden="1"/>
    </xf>
    <xf numFmtId="166" fontId="16" fillId="0" borderId="38" xfId="0" applyNumberFormat="1" applyFont="1" applyFill="1" applyBorder="1" applyAlignment="1" applyProtection="1">
      <alignment horizontal="center" vertical="center"/>
      <protection hidden="1"/>
    </xf>
    <xf numFmtId="166" fontId="16" fillId="0" borderId="41" xfId="0" applyNumberFormat="1" applyFont="1" applyFill="1" applyBorder="1" applyAlignment="1" applyProtection="1">
      <alignment horizontal="center" vertical="center"/>
      <protection hidden="1"/>
    </xf>
    <xf numFmtId="0" fontId="16" fillId="0" borderId="42" xfId="0" applyFont="1" applyFill="1" applyBorder="1" applyAlignment="1" applyProtection="1">
      <alignment horizontal="left" vertical="center"/>
      <protection hidden="1"/>
    </xf>
    <xf numFmtId="0" fontId="16" fillId="0" borderId="43" xfId="0" applyFont="1" applyFill="1" applyBorder="1" applyAlignment="1" applyProtection="1">
      <alignment horizontal="left" vertical="center"/>
      <protection hidden="1"/>
    </xf>
    <xf numFmtId="0" fontId="16" fillId="0" borderId="43" xfId="0" applyFont="1" applyFill="1" applyBorder="1" applyAlignment="1" applyProtection="1">
      <alignment horizontal="center" vertical="center"/>
      <protection hidden="1"/>
    </xf>
    <xf numFmtId="3" fontId="16" fillId="0" borderId="44" xfId="0" applyNumberFormat="1" applyFont="1" applyFill="1" applyBorder="1" applyAlignment="1" applyProtection="1">
      <alignment horizontal="center" vertical="center"/>
      <protection hidden="1"/>
    </xf>
    <xf numFmtId="166" fontId="16" fillId="0" borderId="44" xfId="0" applyNumberFormat="1" applyFont="1" applyFill="1" applyBorder="1" applyAlignment="1" applyProtection="1">
      <alignment horizontal="center" vertical="center"/>
      <protection hidden="1"/>
    </xf>
    <xf numFmtId="166" fontId="16" fillId="0" borderId="45" xfId="0" applyNumberFormat="1" applyFont="1" applyFill="1" applyBorder="1" applyAlignment="1" applyProtection="1">
      <alignment horizontal="center" vertical="center"/>
      <protection hidden="1"/>
    </xf>
    <xf numFmtId="0" fontId="16" fillId="0" borderId="46" xfId="0" applyFont="1" applyFill="1" applyBorder="1" applyAlignment="1" applyProtection="1">
      <alignment horizontal="left"/>
      <protection hidden="1"/>
    </xf>
    <xf numFmtId="0" fontId="16" fillId="0" borderId="47" xfId="0" applyFont="1" applyFill="1" applyBorder="1" applyAlignment="1" applyProtection="1">
      <alignment horizontal="left"/>
      <protection hidden="1"/>
    </xf>
    <xf numFmtId="0" fontId="16" fillId="0" borderId="42" xfId="0" applyFont="1" applyFill="1" applyBorder="1" applyAlignment="1" applyProtection="1">
      <alignment horizontal="left"/>
      <protection hidden="1"/>
    </xf>
    <xf numFmtId="1" fontId="16" fillId="0" borderId="0" xfId="0" applyNumberFormat="1" applyFont="1" applyFill="1" applyBorder="1" applyAlignment="1" applyProtection="1">
      <alignment horizontal="center"/>
      <protection hidden="1"/>
    </xf>
    <xf numFmtId="14" fontId="16" fillId="0" borderId="48" xfId="0" applyNumberFormat="1" applyFont="1" applyFill="1" applyBorder="1" applyAlignment="1" applyProtection="1">
      <alignment horizontal="center" vertical="center"/>
      <protection hidden="1"/>
    </xf>
    <xf numFmtId="0" fontId="16" fillId="0" borderId="40" xfId="0" applyFont="1" applyFill="1" applyBorder="1" applyAlignment="1" applyProtection="1">
      <alignment horizontal="center" vertical="center"/>
      <protection hidden="1"/>
    </xf>
    <xf numFmtId="0" fontId="16" fillId="0" borderId="38" xfId="0" applyFont="1" applyFill="1" applyBorder="1" applyAlignment="1" applyProtection="1">
      <alignment horizontal="center" vertical="center"/>
      <protection hidden="1"/>
    </xf>
    <xf numFmtId="0" fontId="16" fillId="0" borderId="41" xfId="0" applyFont="1" applyFill="1" applyBorder="1" applyAlignment="1" applyProtection="1">
      <alignment horizontal="center" vertical="center"/>
      <protection hidden="1"/>
    </xf>
    <xf numFmtId="0" fontId="16" fillId="0" borderId="49" xfId="0" applyFont="1" applyFill="1" applyBorder="1" applyAlignment="1" applyProtection="1">
      <alignment horizontal="center" vertical="center"/>
      <protection hidden="1"/>
    </xf>
    <xf numFmtId="0" fontId="16" fillId="0" borderId="50" xfId="0" applyFont="1" applyFill="1" applyBorder="1" applyAlignment="1" applyProtection="1">
      <alignment horizontal="center" vertical="center"/>
      <protection hidden="1"/>
    </xf>
    <xf numFmtId="0" fontId="16" fillId="0" borderId="51" xfId="0" applyFont="1" applyFill="1" applyBorder="1" applyAlignment="1" applyProtection="1">
      <alignment horizontal="center" vertical="center"/>
      <protection hidden="1"/>
    </xf>
    <xf numFmtId="0" fontId="16" fillId="0" borderId="52" xfId="0" applyFont="1" applyFill="1" applyBorder="1" applyAlignment="1" applyProtection="1">
      <alignment horizontal="center" vertical="center"/>
      <protection hidden="1"/>
    </xf>
    <xf numFmtId="0" fontId="30" fillId="0" borderId="46" xfId="0" applyFont="1" applyFill="1" applyBorder="1" applyAlignment="1" applyProtection="1">
      <alignment horizontal="left" vertical="center"/>
      <protection hidden="1"/>
    </xf>
    <xf numFmtId="0" fontId="16" fillId="0" borderId="53" xfId="0" applyFont="1" applyFill="1" applyBorder="1" applyAlignment="1" applyProtection="1">
      <alignment horizontal="center" vertical="center"/>
      <protection hidden="1"/>
    </xf>
    <xf numFmtId="0" fontId="30" fillId="0" borderId="47" xfId="0" applyFont="1" applyFill="1" applyBorder="1" applyAlignment="1" applyProtection="1">
      <alignment horizontal="left" vertical="center"/>
      <protection hidden="1"/>
    </xf>
    <xf numFmtId="0" fontId="16" fillId="0" borderId="54" xfId="0" applyFont="1" applyFill="1" applyBorder="1" applyAlignment="1" applyProtection="1">
      <alignment horizontal="center" vertical="center"/>
      <protection hidden="1"/>
    </xf>
    <xf numFmtId="0" fontId="16" fillId="0" borderId="55" xfId="0" applyFont="1" applyFill="1" applyBorder="1" applyAlignment="1" applyProtection="1">
      <alignment horizontal="center" vertical="center"/>
      <protection hidden="1"/>
    </xf>
    <xf numFmtId="1" fontId="16" fillId="0" borderId="37" xfId="0" applyNumberFormat="1" applyFont="1" applyFill="1" applyBorder="1" applyAlignment="1" applyProtection="1">
      <alignment horizontal="center" vertical="center"/>
      <protection hidden="1"/>
    </xf>
    <xf numFmtId="1" fontId="16" fillId="0" borderId="40" xfId="0" applyNumberFormat="1" applyFont="1" applyFill="1" applyBorder="1" applyAlignment="1" applyProtection="1">
      <alignment horizontal="center" vertical="center"/>
      <protection hidden="1"/>
    </xf>
    <xf numFmtId="1" fontId="16" fillId="0" borderId="38" xfId="0" applyNumberFormat="1" applyFont="1" applyFill="1" applyBorder="1" applyAlignment="1" applyProtection="1">
      <alignment horizontal="center" vertical="center"/>
      <protection hidden="1"/>
    </xf>
    <xf numFmtId="1" fontId="16" fillId="0" borderId="41" xfId="0" applyNumberFormat="1" applyFont="1" applyFill="1" applyBorder="1" applyAlignment="1" applyProtection="1">
      <alignment horizontal="center" vertical="center"/>
      <protection hidden="1"/>
    </xf>
    <xf numFmtId="1" fontId="16" fillId="0" borderId="42" xfId="0" applyNumberFormat="1" applyFont="1" applyBorder="1"/>
    <xf numFmtId="1" fontId="16" fillId="0" borderId="43" xfId="0" applyNumberFormat="1" applyFont="1" applyBorder="1"/>
    <xf numFmtId="1" fontId="16" fillId="0" borderId="43" xfId="0" applyNumberFormat="1" applyFont="1" applyFill="1" applyBorder="1" applyAlignment="1" applyProtection="1">
      <alignment horizontal="center" vertical="center"/>
      <protection hidden="1"/>
    </xf>
    <xf numFmtId="1" fontId="16" fillId="0" borderId="44" xfId="0" applyNumberFormat="1" applyFont="1" applyFill="1" applyBorder="1" applyAlignment="1" applyProtection="1">
      <alignment horizontal="center" vertical="center"/>
      <protection hidden="1"/>
    </xf>
    <xf numFmtId="1" fontId="16" fillId="0" borderId="45" xfId="0" applyNumberFormat="1" applyFont="1" applyFill="1" applyBorder="1" applyAlignment="1" applyProtection="1">
      <alignment horizontal="center" vertical="center"/>
      <protection hidden="1"/>
    </xf>
    <xf numFmtId="1" fontId="16" fillId="0" borderId="0" xfId="0" applyNumberFormat="1" applyFont="1" applyBorder="1"/>
    <xf numFmtId="1" fontId="16" fillId="0" borderId="0" xfId="0" applyNumberFormat="1" applyFont="1" applyBorder="1" applyAlignment="1">
      <alignment horizontal="center"/>
    </xf>
    <xf numFmtId="1" fontId="16" fillId="0" borderId="46" xfId="0" applyNumberFormat="1" applyFont="1" applyFill="1" applyBorder="1" applyAlignment="1" applyProtection="1">
      <alignment horizontal="left"/>
      <protection hidden="1"/>
    </xf>
    <xf numFmtId="1" fontId="16" fillId="0" borderId="47" xfId="0" applyNumberFormat="1" applyFont="1" applyFill="1" applyBorder="1" applyAlignment="1" applyProtection="1">
      <alignment horizontal="left"/>
      <protection hidden="1"/>
    </xf>
    <xf numFmtId="1" fontId="16" fillId="0" borderId="42" xfId="0" applyNumberFormat="1" applyFont="1" applyFill="1" applyBorder="1" applyAlignment="1" applyProtection="1">
      <alignment horizontal="left"/>
      <protection hidden="1"/>
    </xf>
    <xf numFmtId="0" fontId="0" fillId="0" borderId="46" xfId="0" applyBorder="1"/>
    <xf numFmtId="0" fontId="0" fillId="0" borderId="37" xfId="0" applyBorder="1"/>
    <xf numFmtId="0" fontId="0" fillId="0" borderId="53" xfId="0" applyBorder="1"/>
    <xf numFmtId="0" fontId="24" fillId="0" borderId="54" xfId="0" applyFont="1" applyFill="1" applyBorder="1" applyAlignment="1" applyProtection="1">
      <alignment horizontal="center" vertical="center"/>
      <protection hidden="1"/>
    </xf>
    <xf numFmtId="0" fontId="16" fillId="0" borderId="56" xfId="0" applyFont="1" applyFill="1" applyBorder="1" applyAlignment="1" applyProtection="1">
      <alignment horizontal="left"/>
      <protection hidden="1"/>
    </xf>
    <xf numFmtId="0" fontId="16" fillId="0" borderId="57" xfId="0" applyFont="1" applyFill="1" applyBorder="1" applyAlignment="1" applyProtection="1">
      <alignment horizontal="center" vertical="center"/>
      <protection hidden="1"/>
    </xf>
    <xf numFmtId="0" fontId="16" fillId="0" borderId="58" xfId="0" applyFont="1" applyFill="1" applyBorder="1" applyAlignment="1" applyProtection="1">
      <alignment horizontal="left"/>
      <protection hidden="1"/>
    </xf>
    <xf numFmtId="166" fontId="16" fillId="0" borderId="22" xfId="0" applyNumberFormat="1" applyFont="1" applyFill="1" applyBorder="1" applyAlignment="1" applyProtection="1">
      <alignment horizontal="center" vertical="center"/>
      <protection hidden="1"/>
    </xf>
    <xf numFmtId="0" fontId="16" fillId="0" borderId="43" xfId="0" applyFont="1" applyBorder="1"/>
    <xf numFmtId="0" fontId="12" fillId="0" borderId="0" xfId="0" applyFont="1" applyAlignment="1">
      <alignment horizontal="center"/>
    </xf>
    <xf numFmtId="0" fontId="6" fillId="0" borderId="0" xfId="0" applyFont="1" applyAlignment="1">
      <alignment horizontal="center" vertical="center"/>
    </xf>
    <xf numFmtId="0" fontId="5" fillId="0" borderId="0" xfId="0" applyFont="1" applyAlignment="1">
      <alignment horizontal="center" vertical="center"/>
    </xf>
    <xf numFmtId="0" fontId="22" fillId="0" borderId="0" xfId="0" applyFont="1" applyAlignment="1">
      <alignment vertical="top" wrapText="1"/>
    </xf>
    <xf numFmtId="0" fontId="14" fillId="0" borderId="0" xfId="0" applyFont="1" applyAlignment="1">
      <alignment vertical="top" wrapText="1"/>
    </xf>
    <xf numFmtId="0" fontId="14" fillId="0" borderId="0" xfId="0" applyFont="1" applyAlignment="1">
      <alignment wrapText="1"/>
    </xf>
    <xf numFmtId="0" fontId="23" fillId="0" borderId="0" xfId="0" applyFont="1" applyAlignment="1">
      <alignment vertical="top" wrapText="1"/>
    </xf>
    <xf numFmtId="0" fontId="23" fillId="0" borderId="0" xfId="0" applyFont="1" applyAlignment="1">
      <alignment wrapText="1"/>
    </xf>
    <xf numFmtId="0" fontId="38" fillId="0" borderId="0" xfId="0" applyFont="1" applyAlignment="1">
      <alignment vertical="top" wrapText="1"/>
    </xf>
    <xf numFmtId="0" fontId="2" fillId="0" borderId="0" xfId="0" applyFont="1" applyAlignment="1">
      <alignment horizontal="center"/>
    </xf>
    <xf numFmtId="0" fontId="28" fillId="0" borderId="0" xfId="0" applyFont="1" applyAlignment="1">
      <alignment horizontal="center" vertical="center"/>
    </xf>
    <xf numFmtId="1" fontId="14" fillId="2" borderId="22" xfId="2" applyNumberFormat="1" applyFont="1" applyFill="1" applyBorder="1" applyAlignment="1">
      <alignment horizontal="center" vertical="center"/>
    </xf>
    <xf numFmtId="1" fontId="14" fillId="2" borderId="57" xfId="2" applyNumberFormat="1" applyFont="1" applyFill="1" applyBorder="1" applyAlignment="1">
      <alignment horizontal="center" vertical="center"/>
    </xf>
    <xf numFmtId="1" fontId="14" fillId="2" borderId="22" xfId="3" applyNumberFormat="1" applyFont="1" applyFill="1" applyBorder="1" applyAlignment="1">
      <alignment horizontal="center" vertical="center"/>
    </xf>
    <xf numFmtId="1" fontId="14" fillId="2" borderId="57" xfId="3" applyNumberFormat="1" applyFont="1" applyFill="1" applyBorder="1" applyAlignment="1">
      <alignment horizontal="center" vertical="center"/>
    </xf>
    <xf numFmtId="1" fontId="14" fillId="2" borderId="25" xfId="3" applyNumberFormat="1" applyFont="1" applyFill="1" applyBorder="1" applyAlignment="1">
      <alignment horizontal="center" vertical="center"/>
    </xf>
    <xf numFmtId="1" fontId="14" fillId="2" borderId="29" xfId="3" applyNumberFormat="1" applyFont="1" applyFill="1" applyBorder="1" applyAlignment="1">
      <alignment horizontal="center" vertical="center"/>
    </xf>
    <xf numFmtId="1" fontId="14" fillId="2" borderId="18" xfId="3" applyNumberFormat="1" applyFont="1" applyFill="1" applyBorder="1" applyAlignment="1">
      <alignment horizontal="center" vertical="center"/>
    </xf>
    <xf numFmtId="1" fontId="16" fillId="0" borderId="0" xfId="3" applyNumberFormat="1" applyFont="1" applyBorder="1" applyAlignment="1" applyProtection="1">
      <alignment vertical="top" wrapText="1"/>
      <protection locked="0"/>
    </xf>
    <xf numFmtId="1" fontId="21" fillId="0" borderId="15" xfId="3" applyNumberFormat="1" applyFont="1" applyBorder="1" applyAlignment="1">
      <alignment horizontal="center"/>
    </xf>
    <xf numFmtId="1" fontId="21" fillId="0" borderId="12" xfId="3" applyNumberFormat="1" applyFont="1" applyBorder="1" applyAlignment="1">
      <alignment horizontal="center"/>
    </xf>
    <xf numFmtId="1" fontId="21" fillId="0" borderId="14" xfId="3" applyNumberFormat="1" applyFont="1" applyBorder="1" applyAlignment="1">
      <alignment horizontal="center"/>
    </xf>
    <xf numFmtId="1" fontId="27" fillId="0" borderId="15" xfId="3" applyNumberFormat="1" applyFont="1" applyBorder="1" applyAlignment="1">
      <alignment horizontal="center"/>
    </xf>
    <xf numFmtId="1" fontId="27" fillId="0" borderId="12" xfId="3" applyNumberFormat="1" applyFont="1" applyBorder="1" applyAlignment="1">
      <alignment horizontal="center"/>
    </xf>
    <xf numFmtId="1" fontId="27" fillId="0" borderId="14" xfId="3" applyNumberFormat="1" applyFont="1" applyBorder="1" applyAlignment="1">
      <alignment horizontal="center"/>
    </xf>
    <xf numFmtId="1" fontId="23" fillId="0" borderId="38" xfId="3" applyNumberFormat="1" applyFont="1" applyBorder="1" applyAlignment="1">
      <alignment horizontal="center" vertical="center"/>
    </xf>
    <xf numFmtId="1" fontId="23" fillId="0" borderId="41" xfId="3" applyNumberFormat="1" applyFont="1" applyBorder="1" applyAlignment="1">
      <alignment horizontal="center" vertical="center"/>
    </xf>
    <xf numFmtId="1" fontId="23" fillId="0" borderId="57" xfId="3" applyNumberFormat="1" applyFont="1" applyBorder="1" applyAlignment="1">
      <alignment horizontal="center" vertical="center"/>
    </xf>
    <xf numFmtId="1" fontId="14" fillId="2" borderId="38" xfId="2" applyNumberFormat="1" applyFont="1" applyFill="1" applyBorder="1" applyAlignment="1">
      <alignment horizontal="center" vertical="center"/>
    </xf>
    <xf numFmtId="1" fontId="14" fillId="2" borderId="41" xfId="2" applyNumberFormat="1" applyFont="1" applyFill="1" applyBorder="1" applyAlignment="1">
      <alignment horizontal="center" vertical="center"/>
    </xf>
    <xf numFmtId="1" fontId="16" fillId="0" borderId="0" xfId="2" applyNumberFormat="1" applyFont="1" applyAlignment="1" applyProtection="1">
      <alignment horizontal="center" wrapText="1"/>
      <protection hidden="1"/>
    </xf>
    <xf numFmtId="0" fontId="16" fillId="0" borderId="0" xfId="2" applyAlignment="1">
      <alignment wrapText="1"/>
    </xf>
    <xf numFmtId="1" fontId="23" fillId="0" borderId="22" xfId="2" applyNumberFormat="1" applyFont="1" applyBorder="1" applyAlignment="1">
      <alignment horizontal="center" vertical="center" wrapText="1"/>
    </xf>
    <xf numFmtId="1" fontId="23" fillId="0" borderId="41" xfId="2" applyNumberFormat="1" applyFont="1" applyBorder="1" applyAlignment="1">
      <alignment horizontal="center" vertical="center" wrapText="1"/>
    </xf>
    <xf numFmtId="1" fontId="23" fillId="0" borderId="57" xfId="2" applyNumberFormat="1" applyFont="1" applyBorder="1" applyAlignment="1">
      <alignment horizontal="center" vertical="center" wrapText="1"/>
    </xf>
    <xf numFmtId="1" fontId="21" fillId="0" borderId="6" xfId="3" applyNumberFormat="1" applyFont="1" applyBorder="1" applyAlignment="1">
      <alignment horizontal="center"/>
    </xf>
    <xf numFmtId="1" fontId="21" fillId="0" borderId="7" xfId="3" applyNumberFormat="1" applyFont="1" applyBorder="1" applyAlignment="1">
      <alignment horizontal="center"/>
    </xf>
    <xf numFmtId="1" fontId="21" fillId="0" borderId="8" xfId="3" applyNumberFormat="1" applyFont="1" applyBorder="1" applyAlignment="1">
      <alignment horizontal="center"/>
    </xf>
    <xf numFmtId="1" fontId="14" fillId="2" borderId="41" xfId="3" applyNumberFormat="1" applyFont="1" applyFill="1" applyBorder="1" applyAlignment="1">
      <alignment horizontal="center" vertical="center"/>
    </xf>
    <xf numFmtId="1" fontId="14" fillId="0" borderId="22" xfId="3" applyNumberFormat="1" applyFont="1" applyBorder="1" applyAlignment="1">
      <alignment horizontal="center" vertical="center"/>
    </xf>
    <xf numFmtId="1" fontId="14" fillId="0" borderId="57" xfId="3" applyNumberFormat="1" applyFont="1" applyBorder="1" applyAlignment="1">
      <alignment horizontal="center" vertical="center"/>
    </xf>
    <xf numFmtId="1" fontId="16" fillId="0" borderId="15" xfId="3" applyNumberFormat="1" applyFont="1" applyBorder="1"/>
    <xf numFmtId="1" fontId="16" fillId="0" borderId="12" xfId="3" applyNumberFormat="1" applyFont="1" applyBorder="1"/>
    <xf numFmtId="1" fontId="16" fillId="0" borderId="14" xfId="3" applyNumberFormat="1" applyFont="1" applyBorder="1"/>
    <xf numFmtId="1" fontId="21" fillId="0" borderId="15" xfId="2" applyNumberFormat="1" applyFont="1" applyBorder="1" applyAlignment="1">
      <alignment horizontal="center"/>
    </xf>
    <xf numFmtId="1" fontId="21" fillId="0" borderId="12" xfId="2" applyNumberFormat="1" applyFont="1" applyBorder="1" applyAlignment="1">
      <alignment horizontal="center"/>
    </xf>
    <xf numFmtId="1" fontId="21" fillId="0" borderId="14" xfId="2" applyNumberFormat="1" applyFont="1" applyBorder="1" applyAlignment="1">
      <alignment horizontal="center"/>
    </xf>
    <xf numFmtId="1" fontId="16" fillId="0" borderId="41" xfId="2" applyNumberFormat="1" applyBorder="1" applyAlignment="1">
      <alignment horizontal="center" vertical="center"/>
    </xf>
    <xf numFmtId="1" fontId="16" fillId="0" borderId="57" xfId="2" applyNumberFormat="1" applyBorder="1" applyAlignment="1">
      <alignment horizontal="center" vertical="center"/>
    </xf>
    <xf numFmtId="1" fontId="14" fillId="2" borderId="45" xfId="2" applyNumberFormat="1" applyFont="1" applyFill="1" applyBorder="1" applyAlignment="1">
      <alignment horizontal="center" vertical="center"/>
    </xf>
    <xf numFmtId="1" fontId="21" fillId="0" borderId="59" xfId="3" applyNumberFormat="1" applyFont="1" applyBorder="1" applyAlignment="1">
      <alignment horizontal="center"/>
    </xf>
    <xf numFmtId="1" fontId="16" fillId="0" borderId="15" xfId="3" applyNumberFormat="1" applyFont="1" applyBorder="1" applyAlignment="1" applyProtection="1">
      <alignment vertical="center" wrapText="1"/>
      <protection locked="0"/>
    </xf>
    <xf numFmtId="1" fontId="16" fillId="0" borderId="12" xfId="3" applyNumberFormat="1" applyFont="1" applyBorder="1" applyAlignment="1" applyProtection="1">
      <alignment vertical="center" wrapText="1"/>
      <protection locked="0"/>
    </xf>
    <xf numFmtId="1" fontId="16" fillId="0" borderId="14" xfId="3" applyNumberFormat="1" applyFont="1" applyBorder="1" applyAlignment="1" applyProtection="1">
      <alignment vertical="center" wrapText="1"/>
      <protection locked="0"/>
    </xf>
    <xf numFmtId="1" fontId="14" fillId="2" borderId="38" xfId="3" applyNumberFormat="1" applyFont="1" applyFill="1" applyBorder="1" applyAlignment="1">
      <alignment horizontal="center" vertical="center"/>
    </xf>
    <xf numFmtId="1" fontId="14" fillId="2" borderId="39" xfId="3" applyNumberFormat="1" applyFont="1" applyFill="1" applyBorder="1" applyAlignment="1">
      <alignment horizontal="center" vertical="center"/>
    </xf>
    <xf numFmtId="1" fontId="23" fillId="0" borderId="22" xfId="3" applyNumberFormat="1" applyFont="1" applyBorder="1" applyAlignment="1">
      <alignment horizontal="center" vertical="center"/>
    </xf>
    <xf numFmtId="0" fontId="16" fillId="0" borderId="2" xfId="0" applyFont="1" applyFill="1" applyBorder="1" applyAlignment="1" applyProtection="1">
      <alignment horizontal="left" vertical="center"/>
      <protection hidden="1"/>
    </xf>
    <xf numFmtId="0" fontId="16" fillId="0" borderId="0" xfId="0" applyFont="1" applyFill="1" applyBorder="1" applyAlignment="1" applyProtection="1">
      <alignment horizontal="left" vertical="center"/>
      <protection hidden="1"/>
    </xf>
    <xf numFmtId="0" fontId="30" fillId="0" borderId="0" xfId="0" applyFont="1" applyFill="1" applyBorder="1" applyAlignment="1" applyProtection="1">
      <alignment horizontal="left" vertical="center" wrapText="1"/>
      <protection hidden="1"/>
    </xf>
    <xf numFmtId="0" fontId="30" fillId="0" borderId="5" xfId="0" applyFont="1" applyFill="1" applyBorder="1" applyAlignment="1" applyProtection="1">
      <alignment horizontal="left" vertical="center" wrapText="1"/>
      <protection hidden="1"/>
    </xf>
    <xf numFmtId="0" fontId="0" fillId="0" borderId="0" xfId="0" applyAlignment="1">
      <alignment horizontal="left" vertical="center" wrapText="1"/>
    </xf>
    <xf numFmtId="0" fontId="0" fillId="0" borderId="5" xfId="0" applyBorder="1" applyAlignment="1">
      <alignment horizontal="left" vertical="center" wrapText="1"/>
    </xf>
    <xf numFmtId="0" fontId="33" fillId="0" borderId="60" xfId="1" applyFont="1" applyFill="1" applyBorder="1" applyAlignment="1" applyProtection="1">
      <alignment horizontal="center" vertical="center"/>
      <protection hidden="1"/>
    </xf>
    <xf numFmtId="0" fontId="33" fillId="0" borderId="61" xfId="1" applyFont="1" applyFill="1" applyBorder="1" applyAlignment="1" applyProtection="1">
      <alignment horizontal="center" vertical="center"/>
      <protection hidden="1"/>
    </xf>
    <xf numFmtId="0" fontId="33" fillId="0" borderId="62" xfId="1" applyFont="1" applyFill="1" applyBorder="1" applyAlignment="1" applyProtection="1">
      <alignment horizontal="center" vertical="center"/>
      <protection hidden="1"/>
    </xf>
    <xf numFmtId="0" fontId="16" fillId="0" borderId="7" xfId="0" applyFont="1" applyFill="1" applyBorder="1" applyAlignment="1" applyProtection="1">
      <alignment horizontal="left" vertical="center"/>
      <protection hidden="1"/>
    </xf>
    <xf numFmtId="0" fontId="30" fillId="0" borderId="0" xfId="0" applyFont="1" applyFill="1" applyBorder="1" applyAlignment="1" applyProtection="1">
      <alignment vertical="center" wrapText="1"/>
      <protection hidden="1"/>
    </xf>
    <xf numFmtId="0" fontId="30" fillId="0" borderId="5" xfId="0" applyFont="1" applyFill="1" applyBorder="1" applyAlignment="1" applyProtection="1">
      <alignment vertical="center" wrapText="1"/>
      <protection hidden="1"/>
    </xf>
    <xf numFmtId="0" fontId="0" fillId="0" borderId="0" xfId="0" applyAlignment="1">
      <alignment vertical="center" wrapText="1"/>
    </xf>
    <xf numFmtId="0" fontId="0" fillId="0" borderId="5" xfId="0" applyBorder="1" applyAlignment="1">
      <alignment vertical="center" wrapText="1"/>
    </xf>
    <xf numFmtId="0" fontId="16" fillId="0" borderId="0" xfId="0" applyFont="1" applyFill="1" applyBorder="1" applyAlignment="1" applyProtection="1">
      <alignment horizontal="left" vertical="center" wrapText="1"/>
      <protection hidden="1"/>
    </xf>
    <xf numFmtId="0" fontId="33" fillId="0" borderId="0" xfId="1" applyFont="1" applyFill="1" applyBorder="1" applyAlignment="1" applyProtection="1">
      <alignment horizontal="center" vertical="center"/>
      <protection hidden="1"/>
    </xf>
    <xf numFmtId="0" fontId="16" fillId="0" borderId="42" xfId="0" applyFont="1" applyFill="1" applyBorder="1" applyAlignment="1" applyProtection="1">
      <alignment horizontal="left" vertical="center"/>
      <protection hidden="1"/>
    </xf>
    <xf numFmtId="0" fontId="16" fillId="0" borderId="43" xfId="0" applyFont="1" applyFill="1" applyBorder="1" applyAlignment="1" applyProtection="1">
      <alignment horizontal="left" vertical="center"/>
      <protection hidden="1"/>
    </xf>
    <xf numFmtId="0" fontId="16" fillId="0" borderId="47" xfId="0" applyFont="1" applyFill="1" applyBorder="1" applyAlignment="1" applyProtection="1">
      <alignment horizontal="left" vertical="center"/>
      <protection hidden="1"/>
    </xf>
    <xf numFmtId="0" fontId="16" fillId="0" borderId="46" xfId="0" applyFont="1" applyFill="1" applyBorder="1" applyAlignment="1" applyProtection="1">
      <alignment horizontal="left" vertical="center"/>
      <protection hidden="1"/>
    </xf>
    <xf numFmtId="0" fontId="16" fillId="0" borderId="37" xfId="0" applyFont="1" applyFill="1" applyBorder="1" applyAlignment="1" applyProtection="1">
      <alignment horizontal="left" vertical="center"/>
      <protection hidden="1"/>
    </xf>
    <xf numFmtId="0" fontId="13" fillId="0" borderId="60" xfId="1" applyFill="1" applyBorder="1" applyAlignment="1" applyProtection="1">
      <alignment horizontal="center" vertical="center"/>
      <protection hidden="1"/>
    </xf>
    <xf numFmtId="0" fontId="13" fillId="0" borderId="61" xfId="1" applyFill="1" applyBorder="1" applyAlignment="1" applyProtection="1">
      <alignment horizontal="center" vertical="center"/>
      <protection hidden="1"/>
    </xf>
    <xf numFmtId="0" fontId="13" fillId="0" borderId="62" xfId="1" applyFill="1" applyBorder="1" applyAlignment="1" applyProtection="1">
      <alignment horizontal="center" vertical="center"/>
      <protection hidden="1"/>
    </xf>
    <xf numFmtId="0" fontId="34" fillId="0" borderId="0" xfId="0" applyFont="1" applyFill="1" applyBorder="1" applyAlignment="1" applyProtection="1">
      <alignment horizontal="left" vertical="center" wrapText="1"/>
      <protection hidden="1"/>
    </xf>
    <xf numFmtId="0" fontId="34" fillId="0" borderId="5" xfId="0" applyFont="1" applyFill="1" applyBorder="1" applyAlignment="1" applyProtection="1">
      <alignment horizontal="left" vertical="center" wrapText="1"/>
      <protection hidden="1"/>
    </xf>
    <xf numFmtId="1" fontId="16" fillId="0" borderId="7" xfId="0" applyNumberFormat="1" applyFont="1" applyFill="1" applyBorder="1" applyAlignment="1" applyProtection="1">
      <alignment horizontal="left" vertical="center"/>
      <protection hidden="1"/>
    </xf>
    <xf numFmtId="1" fontId="16" fillId="0" borderId="0" xfId="0" applyNumberFormat="1" applyFont="1" applyFill="1" applyBorder="1" applyAlignment="1" applyProtection="1">
      <alignment horizontal="left" vertical="center"/>
      <protection hidden="1"/>
    </xf>
    <xf numFmtId="1" fontId="33" fillId="0" borderId="60" xfId="1" applyNumberFormat="1" applyFont="1" applyFill="1" applyBorder="1" applyAlignment="1" applyProtection="1">
      <alignment horizontal="center" vertical="center"/>
      <protection hidden="1"/>
    </xf>
    <xf numFmtId="1" fontId="33" fillId="0" borderId="61" xfId="1" applyNumberFormat="1" applyFont="1" applyFill="1" applyBorder="1" applyAlignment="1" applyProtection="1">
      <alignment horizontal="center" vertical="center"/>
      <protection hidden="1"/>
    </xf>
    <xf numFmtId="1" fontId="33" fillId="0" borderId="62" xfId="1" applyNumberFormat="1" applyFont="1" applyFill="1" applyBorder="1" applyAlignment="1" applyProtection="1">
      <alignment horizontal="center" vertical="center"/>
      <protection hidden="1"/>
    </xf>
    <xf numFmtId="1" fontId="30" fillId="0" borderId="0" xfId="0" applyNumberFormat="1" applyFont="1" applyFill="1" applyBorder="1" applyAlignment="1" applyProtection="1">
      <alignment horizontal="left" vertical="center" wrapText="1"/>
      <protection hidden="1"/>
    </xf>
    <xf numFmtId="1" fontId="30" fillId="0" borderId="5" xfId="0" applyNumberFormat="1" applyFont="1" applyFill="1" applyBorder="1" applyAlignment="1" applyProtection="1">
      <alignment horizontal="left" vertical="center" wrapText="1"/>
      <protection hidden="1"/>
    </xf>
    <xf numFmtId="1" fontId="16" fillId="0" borderId="2" xfId="0" applyNumberFormat="1" applyFont="1" applyFill="1" applyBorder="1" applyAlignment="1" applyProtection="1">
      <alignment horizontal="left" vertical="center"/>
      <protection hidden="1"/>
    </xf>
    <xf numFmtId="1" fontId="0" fillId="0" borderId="0" xfId="0" applyNumberFormat="1" applyAlignment="1">
      <alignment horizontal="left" vertical="center" wrapText="1"/>
    </xf>
    <xf numFmtId="1" fontId="0" fillId="0" borderId="5" xfId="0" applyNumberFormat="1" applyBorder="1" applyAlignment="1">
      <alignment horizontal="left" vertical="center" wrapText="1"/>
    </xf>
    <xf numFmtId="1" fontId="16" fillId="0" borderId="56" xfId="0" applyNumberFormat="1" applyFont="1" applyFill="1" applyBorder="1" applyAlignment="1" applyProtection="1">
      <alignment horizontal="left" vertical="center"/>
      <protection hidden="1"/>
    </xf>
    <xf numFmtId="1" fontId="16" fillId="0" borderId="46" xfId="0" applyNumberFormat="1" applyFont="1" applyFill="1" applyBorder="1" applyAlignment="1" applyProtection="1">
      <alignment horizontal="left" vertical="center"/>
      <protection hidden="1"/>
    </xf>
    <xf numFmtId="1" fontId="16" fillId="0" borderId="37" xfId="0" applyNumberFormat="1" applyFont="1" applyFill="1" applyBorder="1" applyAlignment="1" applyProtection="1">
      <alignment horizontal="left" vertical="center"/>
      <protection hidden="1"/>
    </xf>
    <xf numFmtId="1" fontId="16" fillId="0" borderId="47" xfId="0" applyNumberFormat="1" applyFont="1" applyFill="1" applyBorder="1" applyAlignment="1" applyProtection="1">
      <alignment horizontal="left" vertical="center"/>
      <protection hidden="1"/>
    </xf>
    <xf numFmtId="1" fontId="16" fillId="0" borderId="0" xfId="0" applyNumberFormat="1" applyFont="1" applyFill="1" applyBorder="1" applyAlignment="1" applyProtection="1">
      <alignment horizontal="left" vertical="center" wrapText="1"/>
      <protection hidden="1"/>
    </xf>
    <xf numFmtId="1" fontId="0" fillId="0" borderId="0" xfId="0" applyNumberFormat="1" applyAlignment="1">
      <alignment vertical="center" wrapText="1"/>
    </xf>
    <xf numFmtId="1" fontId="0" fillId="0" borderId="5" xfId="0" applyNumberFormat="1" applyBorder="1" applyAlignment="1">
      <alignment vertical="center" wrapText="1"/>
    </xf>
    <xf numFmtId="1" fontId="0" fillId="0" borderId="7" xfId="0" applyNumberFormat="1" applyBorder="1" applyAlignment="1">
      <alignment vertical="center" wrapText="1"/>
    </xf>
    <xf numFmtId="1" fontId="0" fillId="0" borderId="8" xfId="0" applyNumberFormat="1" applyBorder="1" applyAlignment="1">
      <alignment vertical="center" wrapText="1"/>
    </xf>
    <xf numFmtId="1" fontId="16" fillId="0" borderId="43" xfId="0" applyNumberFormat="1" applyFont="1" applyFill="1" applyBorder="1" applyAlignment="1" applyProtection="1">
      <alignment horizontal="left" vertical="center"/>
      <protection hidden="1"/>
    </xf>
    <xf numFmtId="1" fontId="30" fillId="0" borderId="0" xfId="0" applyNumberFormat="1" applyFont="1" applyFill="1" applyBorder="1" applyAlignment="1" applyProtection="1">
      <alignment vertical="center" wrapText="1"/>
      <protection hidden="1"/>
    </xf>
    <xf numFmtId="1" fontId="30" fillId="0" borderId="5" xfId="0" applyNumberFormat="1" applyFont="1" applyFill="1" applyBorder="1" applyAlignment="1" applyProtection="1">
      <alignment vertical="center" wrapText="1"/>
      <protection hidden="1"/>
    </xf>
    <xf numFmtId="1" fontId="35" fillId="0" borderId="0" xfId="0" applyNumberFormat="1" applyFont="1" applyFill="1" applyBorder="1" applyAlignment="1" applyProtection="1">
      <alignment horizontal="left" vertical="center" wrapText="1"/>
      <protection hidden="1"/>
    </xf>
    <xf numFmtId="1" fontId="35" fillId="0" borderId="5" xfId="0" applyNumberFormat="1" applyFont="1" applyFill="1" applyBorder="1" applyAlignment="1" applyProtection="1">
      <alignment horizontal="left" vertical="center" wrapText="1"/>
      <protection hidden="1"/>
    </xf>
    <xf numFmtId="1" fontId="33" fillId="0" borderId="15" xfId="1" applyNumberFormat="1" applyFont="1" applyFill="1" applyBorder="1" applyAlignment="1" applyProtection="1">
      <alignment horizontal="center" vertical="center"/>
      <protection hidden="1"/>
    </xf>
    <xf numFmtId="1" fontId="33" fillId="0" borderId="12" xfId="1" applyNumberFormat="1" applyFont="1" applyFill="1" applyBorder="1" applyAlignment="1" applyProtection="1">
      <alignment horizontal="center" vertical="center"/>
      <protection hidden="1"/>
    </xf>
    <xf numFmtId="1" fontId="33" fillId="0" borderId="14" xfId="1" applyNumberFormat="1" applyFont="1" applyFill="1" applyBorder="1" applyAlignment="1" applyProtection="1">
      <alignment horizontal="center" vertical="center"/>
      <protection hidden="1"/>
    </xf>
    <xf numFmtId="1" fontId="34" fillId="0" borderId="0" xfId="0" applyNumberFormat="1" applyFont="1" applyFill="1" applyBorder="1" applyAlignment="1" applyProtection="1">
      <alignment horizontal="left" vertical="center" wrapText="1"/>
      <protection hidden="1"/>
    </xf>
    <xf numFmtId="1" fontId="34" fillId="0" borderId="5" xfId="0" applyNumberFormat="1" applyFont="1" applyFill="1" applyBorder="1" applyAlignment="1" applyProtection="1">
      <alignment horizontal="left" vertical="center" wrapText="1"/>
      <protection hidden="1"/>
    </xf>
    <xf numFmtId="0" fontId="30" fillId="0" borderId="54" xfId="0" applyFont="1" applyFill="1" applyBorder="1" applyAlignment="1" applyProtection="1">
      <alignment horizontal="left" vertical="center" wrapText="1"/>
      <protection hidden="1"/>
    </xf>
    <xf numFmtId="1" fontId="34" fillId="0" borderId="0" xfId="0" applyNumberFormat="1" applyFont="1" applyFill="1" applyBorder="1" applyAlignment="1" applyProtection="1">
      <alignment vertical="center" wrapText="1"/>
      <protection hidden="1"/>
    </xf>
    <xf numFmtId="1" fontId="34" fillId="0" borderId="5" xfId="0" applyNumberFormat="1" applyFont="1" applyFill="1" applyBorder="1" applyAlignment="1" applyProtection="1">
      <alignment vertical="center" wrapText="1"/>
      <protection hidden="1"/>
    </xf>
    <xf numFmtId="0" fontId="33" fillId="0" borderId="15" xfId="1" applyFont="1" applyBorder="1" applyAlignment="1" applyProtection="1">
      <alignment horizontal="center"/>
    </xf>
    <xf numFmtId="0" fontId="33" fillId="0" borderId="12" xfId="1" applyFont="1" applyBorder="1" applyAlignment="1" applyProtection="1">
      <alignment horizontal="center"/>
    </xf>
    <xf numFmtId="0" fontId="33" fillId="0" borderId="14" xfId="1" applyFont="1" applyBorder="1" applyAlignment="1" applyProtection="1">
      <alignment horizontal="center"/>
    </xf>
    <xf numFmtId="1" fontId="35" fillId="0" borderId="0" xfId="0" applyNumberFormat="1" applyFont="1" applyFill="1" applyBorder="1" applyAlignment="1" applyProtection="1">
      <alignment vertical="center" wrapText="1"/>
      <protection hidden="1"/>
    </xf>
    <xf numFmtId="1" fontId="35" fillId="0" borderId="5" xfId="0" applyNumberFormat="1" applyFont="1" applyFill="1" applyBorder="1" applyAlignment="1" applyProtection="1">
      <alignment vertical="center" wrapText="1"/>
      <protection hidden="1"/>
    </xf>
    <xf numFmtId="1" fontId="25" fillId="0" borderId="15" xfId="0" applyNumberFormat="1" applyFont="1" applyFill="1" applyBorder="1" applyAlignment="1" applyProtection="1">
      <alignment horizontal="center" vertical="center"/>
      <protection hidden="1"/>
    </xf>
    <xf numFmtId="1" fontId="25" fillId="0" borderId="12" xfId="0" applyNumberFormat="1" applyFont="1" applyFill="1" applyBorder="1" applyAlignment="1" applyProtection="1">
      <alignment horizontal="center" vertical="center"/>
      <protection hidden="1"/>
    </xf>
    <xf numFmtId="1" fontId="25" fillId="0" borderId="14" xfId="0" applyNumberFormat="1" applyFont="1" applyFill="1" applyBorder="1" applyAlignment="1" applyProtection="1">
      <alignment horizontal="center" vertical="center"/>
      <protection hidden="1"/>
    </xf>
    <xf numFmtId="1" fontId="16" fillId="0" borderId="0" xfId="0" applyNumberFormat="1" applyFont="1" applyFill="1" applyBorder="1" applyAlignment="1" applyProtection="1">
      <alignment vertical="center" wrapText="1"/>
      <protection hidden="1"/>
    </xf>
    <xf numFmtId="1" fontId="30" fillId="0" borderId="7" xfId="0" applyNumberFormat="1" applyFont="1" applyFill="1" applyBorder="1" applyAlignment="1" applyProtection="1">
      <alignment horizontal="left" vertical="center" wrapText="1"/>
      <protection hidden="1"/>
    </xf>
    <xf numFmtId="1" fontId="30" fillId="0" borderId="8" xfId="0" applyNumberFormat="1" applyFont="1" applyFill="1" applyBorder="1" applyAlignment="1" applyProtection="1">
      <alignment horizontal="left" vertical="center" wrapText="1"/>
      <protection hidden="1"/>
    </xf>
  </cellXfs>
  <cellStyles count="4">
    <cellStyle name="Hyperlink" xfId="1" builtinId="8"/>
    <cellStyle name="Normal" xfId="0" builtinId="0"/>
    <cellStyle name="Normal 2" xfId="2" xr:uid="{00000000-0005-0000-0000-000002000000}"/>
    <cellStyle name="Normal_TRANSFER 2011 preparation" xfId="3"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38100</xdr:rowOff>
    </xdr:from>
    <xdr:to>
      <xdr:col>9</xdr:col>
      <xdr:colOff>933450</xdr:colOff>
      <xdr:row>57</xdr:row>
      <xdr:rowOff>9525</xdr:rowOff>
    </xdr:to>
    <xdr:pic>
      <xdr:nvPicPr>
        <xdr:cNvPr id="36139" name="Picture 8" descr="TARIFF2008PHOTO">
          <a:extLst>
            <a:ext uri="{FF2B5EF4-FFF2-40B4-BE49-F238E27FC236}">
              <a16:creationId xmlns:a16="http://schemas.microsoft.com/office/drawing/2014/main" id="{00000000-0008-0000-0000-00002B8D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25" y="38100"/>
          <a:ext cx="6734175" cy="9201150"/>
        </a:xfrm>
        <a:prstGeom prst="rect">
          <a:avLst/>
        </a:prstGeom>
        <a:noFill/>
        <a:ln w="9525">
          <a:noFill/>
          <a:miter lim="800000"/>
          <a:headEnd/>
          <a:tailEnd/>
        </a:ln>
      </xdr:spPr>
    </xdr:pic>
    <xdr:clientData/>
  </xdr:twoCellAnchor>
  <xdr:twoCellAnchor>
    <xdr:from>
      <xdr:col>0</xdr:col>
      <xdr:colOff>57150</xdr:colOff>
      <xdr:row>23</xdr:row>
      <xdr:rowOff>76200</xdr:rowOff>
    </xdr:from>
    <xdr:to>
      <xdr:col>9</xdr:col>
      <xdr:colOff>933450</xdr:colOff>
      <xdr:row>30</xdr:row>
      <xdr:rowOff>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57150" y="3800475"/>
          <a:ext cx="6686550" cy="1057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rtl="0">
            <a:defRPr sz="1000"/>
          </a:pPr>
          <a:r>
            <a:rPr lang="en-US" sz="4400" b="0" i="0" u="none" strike="noStrike" baseline="0">
              <a:solidFill>
                <a:srgbClr val="FFFFFF"/>
              </a:solidFill>
              <a:latin typeface="Times New Roman"/>
              <a:cs typeface="Times New Roman"/>
            </a:rPr>
            <a:t>TARIFF 2021</a:t>
          </a:r>
        </a:p>
        <a:p>
          <a:pPr algn="ctr" rtl="0">
            <a:defRPr sz="1000"/>
          </a:pPr>
          <a:endParaRPr lang="en-US" sz="4400" b="0" i="0" u="none" strike="noStrike" baseline="0">
            <a:solidFill>
              <a:srgbClr val="FFFFFF"/>
            </a:solidFill>
            <a:latin typeface="Times New Roman"/>
            <a:cs typeface="Times New Roman"/>
          </a:endParaRPr>
        </a:p>
        <a:p>
          <a:pPr algn="ctr" rtl="0">
            <a:defRPr sz="1000"/>
          </a:pPr>
          <a:endParaRPr lang="en-US" sz="4400" b="0" i="0" u="none" strike="noStrike" baseline="0">
            <a:solidFill>
              <a:srgbClr val="FFFFFF"/>
            </a:solidFill>
            <a:latin typeface="Times New Roman"/>
            <a:cs typeface="Times New Roman"/>
          </a:endParaRPr>
        </a:p>
        <a:p>
          <a:pPr algn="ctr" rtl="0">
            <a:defRPr sz="1000"/>
          </a:pPr>
          <a:r>
            <a:rPr lang="en-US" sz="1600" b="0" i="0" u="none" strike="noStrike" baseline="0">
              <a:solidFill>
                <a:srgbClr val="FFFFFF"/>
              </a:solidFill>
              <a:latin typeface="Times New Roman"/>
              <a:cs typeface="Times New Roman"/>
            </a:rPr>
            <a:t> EURO €</a:t>
          </a:r>
          <a:r>
            <a:rPr lang="en-US" sz="1100" b="0" i="0" u="none" strike="noStrike" baseline="0">
              <a:solidFill>
                <a:srgbClr val="000000"/>
              </a:solidFill>
              <a:latin typeface="Calibri"/>
            </a:rPr>
            <a:t>  </a:t>
          </a:r>
          <a:r>
            <a:rPr lang="en-US" sz="1600" b="0" i="0" u="none" strike="noStrike" baseline="0">
              <a:solidFill>
                <a:srgbClr val="FFFFFF"/>
              </a:solidFill>
              <a:latin typeface="Times New Roman"/>
              <a:cs typeface="Times New Roman"/>
            </a:rPr>
            <a:t>Currency</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266700</xdr:colOff>
      <xdr:row>1</xdr:row>
      <xdr:rowOff>57150</xdr:rowOff>
    </xdr:from>
    <xdr:to>
      <xdr:col>6</xdr:col>
      <xdr:colOff>123825</xdr:colOff>
      <xdr:row>2</xdr:row>
      <xdr:rowOff>152400</xdr:rowOff>
    </xdr:to>
    <xdr:sp macro="" textlink="">
      <xdr:nvSpPr>
        <xdr:cNvPr id="3073" name="WordArt 1">
          <a:extLst>
            <a:ext uri="{FF2B5EF4-FFF2-40B4-BE49-F238E27FC236}">
              <a16:creationId xmlns:a16="http://schemas.microsoft.com/office/drawing/2014/main" id="{00000000-0008-0000-0100-0000010C0000}"/>
            </a:ext>
          </a:extLst>
        </xdr:cNvPr>
        <xdr:cNvSpPr>
          <a:spLocks noChangeArrowheads="1" noChangeShapeType="1" noTextEdit="1"/>
        </xdr:cNvSpPr>
      </xdr:nvSpPr>
      <xdr:spPr bwMode="auto">
        <a:xfrm>
          <a:off x="1857375" y="219075"/>
          <a:ext cx="2409825" cy="257175"/>
        </a:xfrm>
        <a:prstGeom prst="rect">
          <a:avLst/>
        </a:prstGeom>
      </xdr:spPr>
      <xdr:txBody>
        <a:bodyPr wrap="none" fromWordArt="1">
          <a:prstTxWarp prst="textPlain">
            <a:avLst>
              <a:gd name="adj" fmla="val 50000"/>
            </a:avLst>
          </a:prstTxWarp>
        </a:bodyPr>
        <a:lstStyle/>
        <a:p>
          <a:pPr algn="ctr" rtl="0"/>
          <a:r>
            <a:rPr lang="en-US" sz="3600" b="1" kern="10"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latin typeface="Impact"/>
            </a:rPr>
            <a:t>INDEX</a:t>
          </a:r>
          <a:endParaRPr lang="el-GR" sz="3600" b="1" kern="10"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latin typeface="Impac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data%20(G)\central\TARIFF\2015\FINAL%202015%20TARIFFS\TARIFF%20EURO%202015%201%20xl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INFO"/>
      <sheetName val="PAY"/>
      <sheetName val="GLOSSARY"/>
      <sheetName val="TRANSFERS (2)"/>
      <sheetName val="ATHENS"/>
      <sheetName val="AEGINA"/>
      <sheetName val="ARACHOVA"/>
      <sheetName val="CEPHALONIA"/>
      <sheetName val="CHALKIDIKI"/>
      <sheetName val="CHIOS"/>
      <sheetName val="CORFU"/>
      <sheetName val="CRETE"/>
      <sheetName val="CYPRUS"/>
      <sheetName val="DELPHI"/>
      <sheetName val="EVIA"/>
      <sheetName val="HYDRA"/>
      <sheetName val="IOANNINA"/>
      <sheetName val="IOS"/>
      <sheetName val="KALAMBAKA"/>
      <sheetName val="KAVALA"/>
      <sheetName val="KOS"/>
      <sheetName val="LOUTRAKI"/>
      <sheetName val="MYCONOS"/>
      <sheetName val="NAFPLIO"/>
      <sheetName val="NAXOS"/>
      <sheetName val="OLYMPIA"/>
      <sheetName val="PATRA"/>
      <sheetName val="PAROS"/>
      <sheetName val="PATMOS"/>
      <sheetName val="POROS"/>
      <sheetName val="RHODES"/>
      <sheetName val="SAMOS"/>
      <sheetName val="SANTORINI"/>
      <sheetName val="SKIATHOS"/>
      <sheetName val="SKOPELOS"/>
      <sheetName val="SPARTI"/>
      <sheetName val="THESSALONIKI"/>
      <sheetName val="ZAKYNTHOS"/>
    </sheetNames>
    <sheetDataSet>
      <sheetData sheetId="0"/>
      <sheetData sheetId="1"/>
      <sheetData sheetId="2"/>
      <sheetData sheetId="3"/>
      <sheetData sheetId="4"/>
      <sheetData sheetId="5"/>
      <sheetData sheetId="6">
        <row r="2">
          <cell r="O2">
            <v>1.39</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hyperlink" Target="http://www.ionianemerald.gr/" TargetMode="External"/><Relationship Id="rId2" Type="http://schemas.openxmlformats.org/officeDocument/2006/relationships/hyperlink" Target="http://www.mediterraneehotel.gr/" TargetMode="External"/><Relationship Id="rId1" Type="http://schemas.openxmlformats.org/officeDocument/2006/relationships/printerSettings" Target="../printerSettings/printerSettings30.bin"/><Relationship Id="rId4" Type="http://schemas.openxmlformats.org/officeDocument/2006/relationships/printerSettings" Target="../printerSettings/printerSettings31.bin"/></Relationships>
</file>

<file path=xl/worksheets/_rels/sheet11.xml.rels><?xml version="1.0" encoding="UTF-8" standalone="yes"?>
<Relationships xmlns="http://schemas.openxmlformats.org/package/2006/relationships"><Relationship Id="rId3" Type="http://schemas.openxmlformats.org/officeDocument/2006/relationships/hyperlink" Target="http://www.portocarras.com/" TargetMode="External"/><Relationship Id="rId2" Type="http://schemas.openxmlformats.org/officeDocument/2006/relationships/hyperlink" Target="http://www.sani-resort.com/" TargetMode="External"/><Relationship Id="rId1" Type="http://schemas.openxmlformats.org/officeDocument/2006/relationships/printerSettings" Target="../printerSettings/printerSettings32.bin"/><Relationship Id="rId5" Type="http://schemas.openxmlformats.org/officeDocument/2006/relationships/printerSettings" Target="../printerSettings/printerSettings33.bin"/><Relationship Id="rId4" Type="http://schemas.openxmlformats.org/officeDocument/2006/relationships/hyperlink" Target="http://www.aristotelesbeach.gr/"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www.eleabeach.com/" TargetMode="External"/><Relationship Id="rId3" Type="http://schemas.openxmlformats.org/officeDocument/2006/relationships/hyperlink" Target="http://www.aquisresorts.com/" TargetMode="External"/><Relationship Id="rId7" Type="http://schemas.openxmlformats.org/officeDocument/2006/relationships/hyperlink" Target="http://www.nissakibeach.gr/" TargetMode="Externa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hyperlink" Target="http://www.marbella.gr/" TargetMode="External"/><Relationship Id="rId5" Type="http://schemas.openxmlformats.org/officeDocument/2006/relationships/hyperlink" Target="http://www.kontokalibay.com/" TargetMode="External"/><Relationship Id="rId10" Type="http://schemas.openxmlformats.org/officeDocument/2006/relationships/printerSettings" Target="../printerSettings/printerSettings36.bin"/><Relationship Id="rId4" Type="http://schemas.openxmlformats.org/officeDocument/2006/relationships/hyperlink" Target="http://www.corfupalace.com/" TargetMode="External"/><Relationship Id="rId9" Type="http://schemas.openxmlformats.org/officeDocument/2006/relationships/hyperlink" Target="http://www.eleabeach.com/"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www.santamarina-plaza.gr/" TargetMode="External"/><Relationship Id="rId13" Type="http://schemas.openxmlformats.org/officeDocument/2006/relationships/hyperlink" Target="http://www.cretandreamroyal.gr/" TargetMode="External"/><Relationship Id="rId18" Type="http://schemas.openxmlformats.org/officeDocument/2006/relationships/hyperlink" Target="http://www.aldemarhotels.com/" TargetMode="External"/><Relationship Id="rId26" Type="http://schemas.openxmlformats.org/officeDocument/2006/relationships/hyperlink" Target="http://www.amalthia-hotel.gr/" TargetMode="External"/><Relationship Id="rId3" Type="http://schemas.openxmlformats.org/officeDocument/2006/relationships/hyperlink" Target="http://www.maris.gr/" TargetMode="External"/><Relationship Id="rId21" Type="http://schemas.openxmlformats.org/officeDocument/2006/relationships/hyperlink" Target="http://www.casadelfino.com/" TargetMode="External"/><Relationship Id="rId7" Type="http://schemas.openxmlformats.org/officeDocument/2006/relationships/hyperlink" Target="http://www.bluegr.com/" TargetMode="External"/><Relationship Id="rId12" Type="http://schemas.openxmlformats.org/officeDocument/2006/relationships/hyperlink" Target="http://www.bluepalace.gr/" TargetMode="External"/><Relationship Id="rId17" Type="http://schemas.openxmlformats.org/officeDocument/2006/relationships/hyperlink" Target="http://www.aquilahotels.com/" TargetMode="External"/><Relationship Id="rId25" Type="http://schemas.openxmlformats.org/officeDocument/2006/relationships/hyperlink" Target="http://www.theatlantishotel.gr/" TargetMode="External"/><Relationship Id="rId2" Type="http://schemas.openxmlformats.org/officeDocument/2006/relationships/printerSettings" Target="../printerSettings/printerSettings38.bin"/><Relationship Id="rId16" Type="http://schemas.openxmlformats.org/officeDocument/2006/relationships/hyperlink" Target="http://www.portoplatanias.gr/" TargetMode="External"/><Relationship Id="rId20" Type="http://schemas.openxmlformats.org/officeDocument/2006/relationships/hyperlink" Target="http://www.knossosbeach.com/" TargetMode="External"/><Relationship Id="rId1" Type="http://schemas.openxmlformats.org/officeDocument/2006/relationships/printerSettings" Target="../printerSettings/printerSettings37.bin"/><Relationship Id="rId6" Type="http://schemas.openxmlformats.org/officeDocument/2006/relationships/hyperlink" Target="http://www.capsishotel.gr/" TargetMode="External"/><Relationship Id="rId11" Type="http://schemas.openxmlformats.org/officeDocument/2006/relationships/hyperlink" Target="http://www.aldemarhotels.com/" TargetMode="External"/><Relationship Id="rId24" Type="http://schemas.openxmlformats.org/officeDocument/2006/relationships/hyperlink" Target="http://www.hersotels.gr/" TargetMode="External"/><Relationship Id="rId5" Type="http://schemas.openxmlformats.org/officeDocument/2006/relationships/hyperlink" Target="http://www.aquisresorts.com/" TargetMode="External"/><Relationship Id="rId15" Type="http://schemas.openxmlformats.org/officeDocument/2006/relationships/hyperlink" Target="http://www.galaxy-hotel.com/" TargetMode="External"/><Relationship Id="rId23" Type="http://schemas.openxmlformats.org/officeDocument/2006/relationships/hyperlink" Target="http://www.marinhotel.gr/" TargetMode="External"/><Relationship Id="rId10" Type="http://schemas.openxmlformats.org/officeDocument/2006/relationships/hyperlink" Target="http://www.aldemarhotels.com/" TargetMode="External"/><Relationship Id="rId19" Type="http://schemas.openxmlformats.org/officeDocument/2006/relationships/hyperlink" Target="http://www.hersotels.gr/" TargetMode="External"/><Relationship Id="rId4" Type="http://schemas.openxmlformats.org/officeDocument/2006/relationships/hyperlink" Target="http://www.eloundabeach.gr/" TargetMode="External"/><Relationship Id="rId9" Type="http://schemas.openxmlformats.org/officeDocument/2006/relationships/hyperlink" Target="http://www.agapibeach.gr/" TargetMode="External"/><Relationship Id="rId14" Type="http://schemas.openxmlformats.org/officeDocument/2006/relationships/hyperlink" Target="http://www.eloundabay.gr/" TargetMode="External"/><Relationship Id="rId22" Type="http://schemas.openxmlformats.org/officeDocument/2006/relationships/hyperlink" Target="http://www.lato.gr/" TargetMode="External"/><Relationship Id="rId27" Type="http://schemas.openxmlformats.org/officeDocument/2006/relationships/printerSettings" Target="../printerSettings/printerSettings39.bin"/></Relationships>
</file>

<file path=xl/worksheets/_rels/sheet14.xml.rels><?xml version="1.0" encoding="UTF-8" standalone="yes"?>
<Relationships xmlns="http://schemas.openxmlformats.org/package/2006/relationships"><Relationship Id="rId3" Type="http://schemas.openxmlformats.org/officeDocument/2006/relationships/hyperlink" Target="http://www.delphi.com.gr/" TargetMode="External"/><Relationship Id="rId2" Type="http://schemas.openxmlformats.org/officeDocument/2006/relationships/hyperlink" Target="http://www.amaliahotels.com/" TargetMode="External"/><Relationship Id="rId1" Type="http://schemas.openxmlformats.org/officeDocument/2006/relationships/printerSettings" Target="../printerSettings/printerSettings40.bin"/><Relationship Id="rId6" Type="http://schemas.openxmlformats.org/officeDocument/2006/relationships/printerSettings" Target="../printerSettings/printerSettings41.bin"/><Relationship Id="rId5" Type="http://schemas.openxmlformats.org/officeDocument/2006/relationships/hyperlink" Target="http://www.fedriades.com/" TargetMode="External"/><Relationship Id="rId4" Type="http://schemas.openxmlformats.org/officeDocument/2006/relationships/hyperlink" Target="http://www.ariondelphihotel.com/"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hyperlink" Target="http://www.thermaesyllaspa-hotel.com/" TargetMode="External"/><Relationship Id="rId1" Type="http://schemas.openxmlformats.org/officeDocument/2006/relationships/printerSettings" Target="../printerSettings/printerSettings42.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hyperlink" Target="http://www.aktaion-resort.com/" TargetMode="External"/><Relationship Id="rId1" Type="http://schemas.openxmlformats.org/officeDocument/2006/relationships/printerSettings" Target="../printerSettings/printerSettings44.bin"/></Relationships>
</file>

<file path=xl/worksheets/_rels/sheet17.xml.rels><?xml version="1.0" encoding="UTF-8" standalone="yes"?>
<Relationships xmlns="http://schemas.openxmlformats.org/package/2006/relationships"><Relationship Id="rId3" Type="http://schemas.openxmlformats.org/officeDocument/2006/relationships/hyperlink" Target="http://www.bratserahotel.com/" TargetMode="External"/><Relationship Id="rId2" Type="http://schemas.openxmlformats.org/officeDocument/2006/relationships/hyperlink" Target="http://www.angelica.gr/" TargetMode="External"/><Relationship Id="rId1" Type="http://schemas.openxmlformats.org/officeDocument/2006/relationships/printerSettings" Target="../printerSettings/printerSettings46.bin"/><Relationship Id="rId4" Type="http://schemas.openxmlformats.org/officeDocument/2006/relationships/printerSettings" Target="../printerSettings/printerSettings47.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hyperlink" Target="http://www.epiruspalace.gr/" TargetMode="External"/><Relationship Id="rId1" Type="http://schemas.openxmlformats.org/officeDocument/2006/relationships/printerSettings" Target="../printerSettings/printerSettings48.bin"/></Relationships>
</file>

<file path=xl/worksheets/_rels/sheet19.xml.rels><?xml version="1.0" encoding="UTF-8" standalone="yes"?>
<Relationships xmlns="http://schemas.openxmlformats.org/package/2006/relationships"><Relationship Id="rId3" Type="http://schemas.openxmlformats.org/officeDocument/2006/relationships/hyperlink" Target="http://www.faroutclub.com/" TargetMode="External"/><Relationship Id="rId7"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hyperlink" Target="http://www.faroutclub.com/" TargetMode="External"/><Relationship Id="rId5" Type="http://schemas.openxmlformats.org/officeDocument/2006/relationships/hyperlink" Target="http://www.iospalacehotel.com/" TargetMode="External"/><Relationship Id="rId4" Type="http://schemas.openxmlformats.org/officeDocument/2006/relationships/hyperlink" Target="http://www.dionysos-ios.gr/"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drawing" Target="../drawings/drawing2.xml"/><Relationship Id="rId4"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hyperlink" Target="http://www.filoxeniakalamata.com/" TargetMode="External"/><Relationship Id="rId2" Type="http://schemas.openxmlformats.org/officeDocument/2006/relationships/hyperlink" Target="http://www.aktitaygetos.gr/" TargetMode="External"/><Relationship Id="rId1" Type="http://schemas.openxmlformats.org/officeDocument/2006/relationships/printerSettings" Target="../printerSettings/printerSettings53.bin"/><Relationship Id="rId4" Type="http://schemas.openxmlformats.org/officeDocument/2006/relationships/printerSettings" Target="../printerSettings/printerSettings54.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amaliahotels.com/" TargetMode="External"/><Relationship Id="rId2" Type="http://schemas.openxmlformats.org/officeDocument/2006/relationships/hyperlink" Target="http://www.meteorahotels.com/" TargetMode="External"/><Relationship Id="rId1" Type="http://schemas.openxmlformats.org/officeDocument/2006/relationships/printerSettings" Target="../printerSettings/printerSettings55.bin"/><Relationship Id="rId6" Type="http://schemas.openxmlformats.org/officeDocument/2006/relationships/printerSettings" Target="../printerSettings/printerSettings56.bin"/><Relationship Id="rId5" Type="http://schemas.openxmlformats.org/officeDocument/2006/relationships/hyperlink" Target="http://www.hotel-orfeas.gr/" TargetMode="External"/><Relationship Id="rId4" Type="http://schemas.openxmlformats.org/officeDocument/2006/relationships/hyperlink" Target="http://www.divanis.com/"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hyperlink" Target="http://www.egnatiahotel.gr/" TargetMode="External"/><Relationship Id="rId1" Type="http://schemas.openxmlformats.org/officeDocument/2006/relationships/printerSettings" Target="../printerSettings/printerSettings57.bin"/></Relationships>
</file>

<file path=xl/worksheets/_rels/sheet23.xml.rels><?xml version="1.0" encoding="UTF-8" standalone="yes"?>
<Relationships xmlns="http://schemas.openxmlformats.org/package/2006/relationships"><Relationship Id="rId3" Type="http://schemas.openxmlformats.org/officeDocument/2006/relationships/hyperlink" Target="http://www.kipriotis.gr/" TargetMode="External"/><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4" Type="http://schemas.openxmlformats.org/officeDocument/2006/relationships/printerSettings" Target="../printerSettings/printerSettings61.bin"/></Relationships>
</file>

<file path=xl/worksheets/_rels/sheet24.xml.rels><?xml version="1.0" encoding="UTF-8" standalone="yes"?>
<Relationships xmlns="http://schemas.openxmlformats.org/package/2006/relationships"><Relationship Id="rId3" Type="http://schemas.openxmlformats.org/officeDocument/2006/relationships/hyperlink" Target="http://www.poseidonresort.gr/" TargetMode="External"/><Relationship Id="rId2" Type="http://schemas.openxmlformats.org/officeDocument/2006/relationships/hyperlink" Target="http://www.clubhotelloutraki.gr/" TargetMode="External"/><Relationship Id="rId1" Type="http://schemas.openxmlformats.org/officeDocument/2006/relationships/printerSettings" Target="../printerSettings/printerSettings62.bin"/><Relationship Id="rId4" Type="http://schemas.openxmlformats.org/officeDocument/2006/relationships/printerSettings" Target="../printerSettings/printerSettings63.bin"/></Relationships>
</file>

<file path=xl/worksheets/_rels/sheet25.xml.rels><?xml version="1.0" encoding="UTF-8" standalone="yes"?>
<Relationships xmlns="http://schemas.openxmlformats.org/package/2006/relationships"><Relationship Id="rId8" Type="http://schemas.openxmlformats.org/officeDocument/2006/relationships/hyperlink" Target="http://www.petinosbeach.gr/" TargetMode="External"/><Relationship Id="rId13" Type="http://schemas.openxmlformats.org/officeDocument/2006/relationships/hyperlink" Target="http://www.myconianimperial.gr/" TargetMode="External"/><Relationship Id="rId18" Type="http://schemas.openxmlformats.org/officeDocument/2006/relationships/hyperlink" Target="http://www.pelicanbay-mykonos.com/" TargetMode="External"/><Relationship Id="rId26" Type="http://schemas.openxmlformats.org/officeDocument/2006/relationships/hyperlink" Target="http://www.mykonosbay-hotel.com/" TargetMode="External"/><Relationship Id="rId3" Type="http://schemas.openxmlformats.org/officeDocument/2006/relationships/hyperlink" Target="http://www.myconiancollection.gr/" TargetMode="External"/><Relationship Id="rId21" Type="http://schemas.openxmlformats.org/officeDocument/2006/relationships/hyperlink" Target="http://www.sanantonio-summerland.com/" TargetMode="External"/><Relationship Id="rId7" Type="http://schemas.openxmlformats.org/officeDocument/2006/relationships/hyperlink" Target="http://www.newaeoloshotel.com/" TargetMode="External"/><Relationship Id="rId12" Type="http://schemas.openxmlformats.org/officeDocument/2006/relationships/hyperlink" Target="http://www.myconianambassador.gr/" TargetMode="External"/><Relationship Id="rId17" Type="http://schemas.openxmlformats.org/officeDocument/2006/relationships/hyperlink" Target="http://www.mykonospalace.com/" TargetMode="External"/><Relationship Id="rId25" Type="http://schemas.openxmlformats.org/officeDocument/2006/relationships/hyperlink" Target="http://www.vienoulas-myconos.com/" TargetMode="External"/><Relationship Id="rId2" Type="http://schemas.openxmlformats.org/officeDocument/2006/relationships/printerSettings" Target="../printerSettings/printerSettings65.bin"/><Relationship Id="rId16" Type="http://schemas.openxmlformats.org/officeDocument/2006/relationships/hyperlink" Target="http://www.hotelmanoulas.gr/" TargetMode="External"/><Relationship Id="rId20" Type="http://schemas.openxmlformats.org/officeDocument/2006/relationships/hyperlink" Target="http://www.princessofmykonos.gr/" TargetMode="External"/><Relationship Id="rId29" Type="http://schemas.openxmlformats.org/officeDocument/2006/relationships/hyperlink" Target="http://www.elenamykonos.gr/" TargetMode="External"/><Relationship Id="rId1" Type="http://schemas.openxmlformats.org/officeDocument/2006/relationships/printerSettings" Target="../printerSettings/printerSettings64.bin"/><Relationship Id="rId6" Type="http://schemas.openxmlformats.org/officeDocument/2006/relationships/hyperlink" Target="http://www.grandbeachmykonos.com/" TargetMode="External"/><Relationship Id="rId11" Type="http://schemas.openxmlformats.org/officeDocument/2006/relationships/hyperlink" Target="http://www.kivotosclubhotel.com/" TargetMode="External"/><Relationship Id="rId24" Type="http://schemas.openxmlformats.org/officeDocument/2006/relationships/hyperlink" Target="http://www.petasostown.gr/" TargetMode="External"/><Relationship Id="rId5" Type="http://schemas.openxmlformats.org/officeDocument/2006/relationships/hyperlink" Target="http://www.saintjohn.gr/" TargetMode="External"/><Relationship Id="rId15" Type="http://schemas.openxmlformats.org/officeDocument/2006/relationships/hyperlink" Target="http://www.letohotel.com/" TargetMode="External"/><Relationship Id="rId23" Type="http://schemas.openxmlformats.org/officeDocument/2006/relationships/hyperlink" Target="http://www.khotels.gr/" TargetMode="External"/><Relationship Id="rId28" Type="http://schemas.openxmlformats.org/officeDocument/2006/relationships/hyperlink" Target="http://www.rocabella-hotel-mykonos.com/" TargetMode="External"/><Relationship Id="rId10" Type="http://schemas.openxmlformats.org/officeDocument/2006/relationships/hyperlink" Target="http://www.cavotagoo.gr/" TargetMode="External"/><Relationship Id="rId19" Type="http://schemas.openxmlformats.org/officeDocument/2006/relationships/hyperlink" Target="http://www.petasos.gr/" TargetMode="External"/><Relationship Id="rId4" Type="http://schemas.openxmlformats.org/officeDocument/2006/relationships/hyperlink" Target="http://www.mykonosgrand.gr/" TargetMode="External"/><Relationship Id="rId9" Type="http://schemas.openxmlformats.org/officeDocument/2006/relationships/hyperlink" Target="http://www.alkistismykonos.gr/" TargetMode="External"/><Relationship Id="rId14" Type="http://schemas.openxmlformats.org/officeDocument/2006/relationships/hyperlink" Target="http://www.hotelkosmoplaz.gr/" TargetMode="External"/><Relationship Id="rId22" Type="http://schemas.openxmlformats.org/officeDocument/2006/relationships/hyperlink" Target="http://www.semelihotel.gr/" TargetMode="External"/><Relationship Id="rId27" Type="http://schemas.openxmlformats.org/officeDocument/2006/relationships/hyperlink" Target="http://www.petinoshotels.gr/" TargetMode="External"/><Relationship Id="rId30" Type="http://schemas.openxmlformats.org/officeDocument/2006/relationships/printerSettings" Target="../printerSettings/printerSettings6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8.bin"/><Relationship Id="rId3" Type="http://schemas.openxmlformats.org/officeDocument/2006/relationships/hyperlink" Target="http://www.amaliahotels.com/" TargetMode="External"/><Relationship Id="rId7" Type="http://schemas.openxmlformats.org/officeDocument/2006/relationships/hyperlink" Target="http://www.rex-hotel.gr/" TargetMode="External"/><Relationship Id="rId2" Type="http://schemas.openxmlformats.org/officeDocument/2006/relationships/hyperlink" Target="http://www.amphitryon.gr/" TargetMode="External"/><Relationship Id="rId1" Type="http://schemas.openxmlformats.org/officeDocument/2006/relationships/printerSettings" Target="../printerSettings/printerSettings67.bin"/><Relationship Id="rId6" Type="http://schemas.openxmlformats.org/officeDocument/2006/relationships/hyperlink" Target="http://www.j-g.gr/" TargetMode="External"/><Relationship Id="rId5" Type="http://schemas.openxmlformats.org/officeDocument/2006/relationships/hyperlink" Target="http://www.j-g.gr/" TargetMode="External"/><Relationship Id="rId4" Type="http://schemas.openxmlformats.org/officeDocument/2006/relationships/hyperlink" Target="http://www.grandebretagne.com.gr/"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www.naxosislandhotel.com/" TargetMode="External"/><Relationship Id="rId3" Type="http://schemas.openxmlformats.org/officeDocument/2006/relationships/hyperlink" Target="http://www.iriabeach-naxos.com/" TargetMode="External"/><Relationship Id="rId7" Type="http://schemas.openxmlformats.org/officeDocument/2006/relationships/hyperlink" Target="http://www.naxosholidayshotel.com/" TargetMode="External"/><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6" Type="http://schemas.openxmlformats.org/officeDocument/2006/relationships/hyperlink" Target="http://www.naxosresort.gr/" TargetMode="External"/><Relationship Id="rId5" Type="http://schemas.openxmlformats.org/officeDocument/2006/relationships/hyperlink" Target="http://www.astirofnaxos.com/" TargetMode="External"/><Relationship Id="rId10" Type="http://schemas.openxmlformats.org/officeDocument/2006/relationships/printerSettings" Target="../printerSettings/printerSettings71.bin"/><Relationship Id="rId4" Type="http://schemas.openxmlformats.org/officeDocument/2006/relationships/hyperlink" Target="http://www.naxospalacehotel.com/" TargetMode="External"/><Relationship Id="rId9" Type="http://schemas.openxmlformats.org/officeDocument/2006/relationships/hyperlink" Target="http://www.almarenaxos.com/" TargetMode="External"/></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73.bin"/><Relationship Id="rId3" Type="http://schemas.openxmlformats.org/officeDocument/2006/relationships/hyperlink" Target="http://www.hotelantonios.gr/" TargetMode="External"/><Relationship Id="rId7" Type="http://schemas.openxmlformats.org/officeDocument/2006/relationships/hyperlink" Target="http://www.olympicvillagehotel.com/" TargetMode="External"/><Relationship Id="rId2" Type="http://schemas.openxmlformats.org/officeDocument/2006/relationships/hyperlink" Target="http://www.amaliahotels.com/" TargetMode="External"/><Relationship Id="rId1" Type="http://schemas.openxmlformats.org/officeDocument/2006/relationships/printerSettings" Target="../printerSettings/printerSettings72.bin"/><Relationship Id="rId6" Type="http://schemas.openxmlformats.org/officeDocument/2006/relationships/hyperlink" Target="http://www.artygrandhotel.gr/" TargetMode="External"/><Relationship Id="rId5" Type="http://schemas.openxmlformats.org/officeDocument/2006/relationships/hyperlink" Target="http://www.olympiahotels.gr/" TargetMode="External"/><Relationship Id="rId4" Type="http://schemas.openxmlformats.org/officeDocument/2006/relationships/hyperlink" Target="http://www.hotelseuropa.gr/"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www.portoriohotel.gr/" TargetMode="External"/><Relationship Id="rId2" Type="http://schemas.openxmlformats.org/officeDocument/2006/relationships/hyperlink" Target="http://www.patraspalace.gr/" TargetMode="External"/><Relationship Id="rId1" Type="http://schemas.openxmlformats.org/officeDocument/2006/relationships/printerSettings" Target="../printerSettings/printerSettings74.bin"/><Relationship Id="rId5" Type="http://schemas.openxmlformats.org/officeDocument/2006/relationships/printerSettings" Target="../printerSettings/printerSettings75.bin"/><Relationship Id="rId4" Type="http://schemas.openxmlformats.org/officeDocument/2006/relationships/hyperlink" Target="http://www.mediterranee.gr/"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printerSettings" Target="../printerSettings/printerSettings11.bin"/></Relationships>
</file>

<file path=xl/worksheets/_rels/sheet30.xml.rels><?xml version="1.0" encoding="UTF-8" standalone="yes"?>
<Relationships xmlns="http://schemas.openxmlformats.org/package/2006/relationships"><Relationship Id="rId8" Type="http://schemas.openxmlformats.org/officeDocument/2006/relationships/hyperlink" Target="http://www.contaratosbeach.gr/" TargetMode="External"/><Relationship Id="rId13" Type="http://schemas.openxmlformats.org/officeDocument/2006/relationships/hyperlink" Target="https://paroshoteloasis.gr/" TargetMode="External"/><Relationship Id="rId3" Type="http://schemas.openxmlformats.org/officeDocument/2006/relationships/hyperlink" Target="http://www.astirofparos.gr/" TargetMode="External"/><Relationship Id="rId7" Type="http://schemas.openxmlformats.org/officeDocument/2006/relationships/hyperlink" Target="http://www.aegeonhotel.com/" TargetMode="External"/><Relationship Id="rId12" Type="http://schemas.openxmlformats.org/officeDocument/2006/relationships/hyperlink" Target="http://www.highmill.gr/" TargetMode="External"/><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6" Type="http://schemas.openxmlformats.org/officeDocument/2006/relationships/hyperlink" Target="http://www.narges.gr/" TargetMode="External"/><Relationship Id="rId11" Type="http://schemas.openxmlformats.org/officeDocument/2006/relationships/hyperlink" Target="http://www.hotel-senia.com/" TargetMode="External"/><Relationship Id="rId5" Type="http://schemas.openxmlformats.org/officeDocument/2006/relationships/hyperlink" Target="http://www.holidaysunparos.com/" TargetMode="External"/><Relationship Id="rId10" Type="http://schemas.openxmlformats.org/officeDocument/2006/relationships/hyperlink" Target="http://www.paros-bay.greekhotel.gr/" TargetMode="External"/><Relationship Id="rId4" Type="http://schemas.openxmlformats.org/officeDocument/2006/relationships/hyperlink" Target="http://www.yriahotel.gr/" TargetMode="External"/><Relationship Id="rId9" Type="http://schemas.openxmlformats.org/officeDocument/2006/relationships/hyperlink" Target="http://www.erihotel.gr/" TargetMode="External"/><Relationship Id="rId14" Type="http://schemas.openxmlformats.org/officeDocument/2006/relationships/printerSettings" Target="../printerSettings/printerSettings78.bin"/></Relationships>
</file>

<file path=xl/worksheets/_rels/sheet31.xml.rels><?xml version="1.0" encoding="UTF-8" standalone="yes"?>
<Relationships xmlns="http://schemas.openxmlformats.org/package/2006/relationships"><Relationship Id="rId3" Type="http://schemas.openxmlformats.org/officeDocument/2006/relationships/hyperlink" Target="http://www.skalahotel.gr/" TargetMode="External"/><Relationship Id="rId2" Type="http://schemas.openxmlformats.org/officeDocument/2006/relationships/hyperlink" Target="http://www.patmosparadise.com/" TargetMode="External"/><Relationship Id="rId1" Type="http://schemas.openxmlformats.org/officeDocument/2006/relationships/printerSettings" Target="../printerSettings/printerSettings79.bin"/><Relationship Id="rId4" Type="http://schemas.openxmlformats.org/officeDocument/2006/relationships/printerSettings" Target="../printerSettings/printerSettings80.bin"/></Relationships>
</file>

<file path=xl/worksheets/_rels/sheet32.xml.rels><?xml version="1.0" encoding="UTF-8" standalone="yes"?>
<Relationships xmlns="http://schemas.openxmlformats.org/package/2006/relationships"><Relationship Id="rId3" Type="http://schemas.openxmlformats.org/officeDocument/2006/relationships/hyperlink" Target="http://www.newaegli.com/" TargetMode="External"/><Relationship Id="rId2" Type="http://schemas.openxmlformats.org/officeDocument/2006/relationships/hyperlink" Target="http://www.porosimage.gr/" TargetMode="External"/><Relationship Id="rId1" Type="http://schemas.openxmlformats.org/officeDocument/2006/relationships/printerSettings" Target="../printerSettings/printerSettings81.bin"/><Relationship Id="rId4" Type="http://schemas.openxmlformats.org/officeDocument/2006/relationships/printerSettings" Target="../printerSettings/printerSettings82.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hyperlink" Target="http://www.westincostanavarino.com/" TargetMode="External"/><Relationship Id="rId1" Type="http://schemas.openxmlformats.org/officeDocument/2006/relationships/printerSettings" Target="../printerSettings/printerSettings83.bin"/></Relationships>
</file>

<file path=xl/worksheets/_rels/sheet34.xml.rels><?xml version="1.0" encoding="UTF-8" standalone="yes"?>
<Relationships xmlns="http://schemas.openxmlformats.org/package/2006/relationships"><Relationship Id="rId8" Type="http://schemas.openxmlformats.org/officeDocument/2006/relationships/hyperlink" Target="http://www.electrahotels.gr/" TargetMode="External"/><Relationship Id="rId13" Type="http://schemas.openxmlformats.org/officeDocument/2006/relationships/hyperlink" Target="http://www.rhodesplazahotel.com/" TargetMode="External"/><Relationship Id="rId18" Type="http://schemas.openxmlformats.org/officeDocument/2006/relationships/hyperlink" Target="http://www.atrium.gr/" TargetMode="External"/><Relationship Id="rId3" Type="http://schemas.openxmlformats.org/officeDocument/2006/relationships/hyperlink" Target="http://www.mitsis-grandhotel.com/" TargetMode="External"/><Relationship Id="rId21" Type="http://schemas.openxmlformats.org/officeDocument/2006/relationships/printerSettings" Target="../printerSettings/printerSettings87.bin"/><Relationship Id="rId7" Type="http://schemas.openxmlformats.org/officeDocument/2006/relationships/hyperlink" Target="http://www.dionysos-hotel.gr/" TargetMode="External"/><Relationship Id="rId12" Type="http://schemas.openxmlformats.org/officeDocument/2006/relationships/hyperlink" Target="http://www.mediterranean.gr/" TargetMode="External"/><Relationship Id="rId17" Type="http://schemas.openxmlformats.org/officeDocument/2006/relationships/hyperlink" Target="http://www.manousoshotel.gr/" TargetMode="External"/><Relationship Id="rId2" Type="http://schemas.openxmlformats.org/officeDocument/2006/relationships/printerSettings" Target="../printerSettings/printerSettings86.bin"/><Relationship Id="rId16" Type="http://schemas.openxmlformats.org/officeDocument/2006/relationships/hyperlink" Target="http://www.kipriotis.gr/" TargetMode="External"/><Relationship Id="rId20" Type="http://schemas.openxmlformats.org/officeDocument/2006/relationships/hyperlink" Target="http://www.sheratonrhodesresort.com/" TargetMode="External"/><Relationship Id="rId1" Type="http://schemas.openxmlformats.org/officeDocument/2006/relationships/printerSettings" Target="../printerSettings/printerSettings85.bin"/><Relationship Id="rId6" Type="http://schemas.openxmlformats.org/officeDocument/2006/relationships/hyperlink" Target="http://www.belairbeach.gr/" TargetMode="External"/><Relationship Id="rId11" Type="http://schemas.openxmlformats.org/officeDocument/2006/relationships/hyperlink" Target="http://www.lindosmare.gr/" TargetMode="External"/><Relationship Id="rId5" Type="http://schemas.openxmlformats.org/officeDocument/2006/relationships/hyperlink" Target="http://www.rodos-palace.gr/" TargetMode="External"/><Relationship Id="rId15" Type="http://schemas.openxmlformats.org/officeDocument/2006/relationships/hyperlink" Target="http://www.aglahotel.gr/" TargetMode="External"/><Relationship Id="rId10" Type="http://schemas.openxmlformats.org/officeDocument/2006/relationships/hyperlink" Target="http://www.krestenpalace.gr/" TargetMode="External"/><Relationship Id="rId19" Type="http://schemas.openxmlformats.org/officeDocument/2006/relationships/hyperlink" Target="http://www.theixiangrand.gr/" TargetMode="External"/><Relationship Id="rId4" Type="http://schemas.openxmlformats.org/officeDocument/2006/relationships/hyperlink" Target="http://www.rodospark.gr/" TargetMode="External"/><Relationship Id="rId9" Type="http://schemas.openxmlformats.org/officeDocument/2006/relationships/hyperlink" Target="http://www.rhotel.gr/ibiscus" TargetMode="External"/><Relationship Id="rId14" Type="http://schemas.openxmlformats.org/officeDocument/2006/relationships/hyperlink" Target="http://www.aquarium-hotel.gr/"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www.doryssa.gr/" TargetMode="External"/><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4" Type="http://schemas.openxmlformats.org/officeDocument/2006/relationships/printerSettings" Target="../printerSettings/printerSettings90.bin"/></Relationships>
</file>

<file path=xl/worksheets/_rels/sheet36.xml.rels><?xml version="1.0" encoding="UTF-8" standalone="yes"?>
<Relationships xmlns="http://schemas.openxmlformats.org/package/2006/relationships"><Relationship Id="rId8" Type="http://schemas.openxmlformats.org/officeDocument/2006/relationships/hyperlink" Target="http://www.hotel-majestic.gr/" TargetMode="External"/><Relationship Id="rId13" Type="http://schemas.openxmlformats.org/officeDocument/2006/relationships/hyperlink" Target="http://www.vedema.gr/" TargetMode="External"/><Relationship Id="rId18" Type="http://schemas.openxmlformats.org/officeDocument/2006/relationships/hyperlink" Target="http://www.cliffside.gr/" TargetMode="External"/><Relationship Id="rId26" Type="http://schemas.openxmlformats.org/officeDocument/2006/relationships/hyperlink" Target="http://www.santorinipalacehotel.gr/" TargetMode="External"/><Relationship Id="rId3" Type="http://schemas.openxmlformats.org/officeDocument/2006/relationships/hyperlink" Target="http://www.lilium-v.gr/" TargetMode="External"/><Relationship Id="rId21" Type="http://schemas.openxmlformats.org/officeDocument/2006/relationships/hyperlink" Target="http://www.elgreco.com.gr/" TargetMode="External"/><Relationship Id="rId34" Type="http://schemas.openxmlformats.org/officeDocument/2006/relationships/hyperlink" Target="http://www.splendour-santorini.com/" TargetMode="External"/><Relationship Id="rId7" Type="http://schemas.openxmlformats.org/officeDocument/2006/relationships/hyperlink" Target="http://www.kirini.com/" TargetMode="External"/><Relationship Id="rId12" Type="http://schemas.openxmlformats.org/officeDocument/2006/relationships/hyperlink" Target="http://www.sunrocks.gr/" TargetMode="External"/><Relationship Id="rId17" Type="http://schemas.openxmlformats.org/officeDocument/2006/relationships/hyperlink" Target="http://www.chromata-santorini.com/" TargetMode="External"/><Relationship Id="rId25" Type="http://schemas.openxmlformats.org/officeDocument/2006/relationships/hyperlink" Target="http://www.rosebay.gr/" TargetMode="External"/><Relationship Id="rId33" Type="http://schemas.openxmlformats.org/officeDocument/2006/relationships/hyperlink" Target="http://www.perivolas.gr/" TargetMode="External"/><Relationship Id="rId2" Type="http://schemas.openxmlformats.org/officeDocument/2006/relationships/printerSettings" Target="../printerSettings/printerSettings92.bin"/><Relationship Id="rId16" Type="http://schemas.openxmlformats.org/officeDocument/2006/relationships/hyperlink" Target="http://www.canaves.com/" TargetMode="External"/><Relationship Id="rId20" Type="http://schemas.openxmlformats.org/officeDocument/2006/relationships/hyperlink" Target="http://www.danavillas.gr/" TargetMode="External"/><Relationship Id="rId29" Type="http://schemas.openxmlformats.org/officeDocument/2006/relationships/hyperlink" Target="http://www.tzekos.gr/" TargetMode="External"/><Relationship Id="rId1" Type="http://schemas.openxmlformats.org/officeDocument/2006/relationships/printerSettings" Target="../printerSettings/printerSettings91.bin"/><Relationship Id="rId6" Type="http://schemas.openxmlformats.org/officeDocument/2006/relationships/hyperlink" Target="http://www.katikies.com/" TargetMode="External"/><Relationship Id="rId11" Type="http://schemas.openxmlformats.org/officeDocument/2006/relationships/hyperlink" Target="http://www.santoriniprincess.com/" TargetMode="External"/><Relationship Id="rId24" Type="http://schemas.openxmlformats.org/officeDocument/2006/relationships/hyperlink" Target="http://www.rocabella.gr/" TargetMode="External"/><Relationship Id="rId32" Type="http://schemas.openxmlformats.org/officeDocument/2006/relationships/hyperlink" Target="http://www.kamaribeach.gr/" TargetMode="External"/><Relationship Id="rId5" Type="http://schemas.openxmlformats.org/officeDocument/2006/relationships/hyperlink" Target="http://www.aressana.gr/" TargetMode="External"/><Relationship Id="rId15" Type="http://schemas.openxmlformats.org/officeDocument/2006/relationships/hyperlink" Target="http://www.aegeanplaza.gr/" TargetMode="External"/><Relationship Id="rId23" Type="http://schemas.openxmlformats.org/officeDocument/2006/relationships/hyperlink" Target="http://www.onrocks.net/" TargetMode="External"/><Relationship Id="rId28" Type="http://schemas.openxmlformats.org/officeDocument/2006/relationships/hyperlink" Target="http://www.theoxenia.net/" TargetMode="External"/><Relationship Id="rId36" Type="http://schemas.openxmlformats.org/officeDocument/2006/relationships/printerSettings" Target="../printerSettings/printerSettings93.bin"/><Relationship Id="rId10" Type="http://schemas.openxmlformats.org/officeDocument/2006/relationships/hyperlink" Target="http://www.santorini9muses.gr/" TargetMode="External"/><Relationship Id="rId19" Type="http://schemas.openxmlformats.org/officeDocument/2006/relationships/hyperlink" Target="http://www.daedalushotel.gr/" TargetMode="External"/><Relationship Id="rId31" Type="http://schemas.openxmlformats.org/officeDocument/2006/relationships/hyperlink" Target="http://www.akishotel.gr/" TargetMode="External"/><Relationship Id="rId4" Type="http://schemas.openxmlformats.org/officeDocument/2006/relationships/hyperlink" Target="http://www.ellinonthea.gr/" TargetMode="External"/><Relationship Id="rId9" Type="http://schemas.openxmlformats.org/officeDocument/2006/relationships/hyperlink" Target="http://www.mystique.gr/" TargetMode="External"/><Relationship Id="rId14" Type="http://schemas.openxmlformats.org/officeDocument/2006/relationships/hyperlink" Target="http://www.zannos.gr/" TargetMode="External"/><Relationship Id="rId22" Type="http://schemas.openxmlformats.org/officeDocument/2006/relationships/hyperlink" Target="http://www.nomikosvillas.gr/" TargetMode="External"/><Relationship Id="rId27" Type="http://schemas.openxmlformats.org/officeDocument/2006/relationships/hyperlink" Target="http://www.suitesofthegods.com/" TargetMode="External"/><Relationship Id="rId30" Type="http://schemas.openxmlformats.org/officeDocument/2006/relationships/hyperlink" Target="http://www.volcano-view-villas.com/" TargetMode="External"/><Relationship Id="rId35" Type="http://schemas.openxmlformats.org/officeDocument/2006/relationships/hyperlink" Target="http://www.albatroshotel-santorini.com/"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www.plaza.gr/" TargetMode="External"/><Relationship Id="rId3" Type="http://schemas.openxmlformats.org/officeDocument/2006/relationships/hyperlink" Target="http://www.skiathosprincess.com/" TargetMode="External"/><Relationship Id="rId7" Type="http://schemas.openxmlformats.org/officeDocument/2006/relationships/hyperlink" Target="http://www.esperidesbeach.gr/" TargetMode="External"/><Relationship Id="rId2" Type="http://schemas.openxmlformats.org/officeDocument/2006/relationships/hyperlink" Target="http://www.skiathos-palace.gr/" TargetMode="External"/><Relationship Id="rId1" Type="http://schemas.openxmlformats.org/officeDocument/2006/relationships/printerSettings" Target="../printerSettings/printerSettings94.bin"/><Relationship Id="rId6" Type="http://schemas.openxmlformats.org/officeDocument/2006/relationships/hyperlink" Target="http://www.atriumhotel.gr/" TargetMode="External"/><Relationship Id="rId5" Type="http://schemas.openxmlformats.org/officeDocument/2006/relationships/hyperlink" Target="http://www.kivohotel.com/" TargetMode="External"/><Relationship Id="rId4" Type="http://schemas.openxmlformats.org/officeDocument/2006/relationships/hyperlink" Target="http://www.dabasihotel.com/" TargetMode="External"/><Relationship Id="rId9" Type="http://schemas.openxmlformats.org/officeDocument/2006/relationships/printerSettings" Target="../printerSettings/printerSettings95.bin"/></Relationships>
</file>

<file path=xl/worksheets/_rels/sheet38.xml.rels><?xml version="1.0" encoding="UTF-8" standalone="yes"?>
<Relationships xmlns="http://schemas.openxmlformats.org/package/2006/relationships"><Relationship Id="rId8" Type="http://schemas.openxmlformats.org/officeDocument/2006/relationships/hyperlink" Target="http://www.afroditehotel.gr/" TargetMode="External"/><Relationship Id="rId3" Type="http://schemas.openxmlformats.org/officeDocument/2006/relationships/hyperlink" Target="http://www.rigashotel.gr/" TargetMode="External"/><Relationship Id="rId7" Type="http://schemas.openxmlformats.org/officeDocument/2006/relationships/hyperlink" Target="http://www.princestafilos.gr/" TargetMode="External"/><Relationship Id="rId2" Type="http://schemas.openxmlformats.org/officeDocument/2006/relationships/hyperlink" Target="http://www.skopelos-holidays.gr/" TargetMode="External"/><Relationship Id="rId1" Type="http://schemas.openxmlformats.org/officeDocument/2006/relationships/printerSettings" Target="../printerSettings/printerSettings96.bin"/><Relationship Id="rId6" Type="http://schemas.openxmlformats.org/officeDocument/2006/relationships/hyperlink" Target="http://www.afroditehotel.gr/about-skopelos.htm" TargetMode="External"/><Relationship Id="rId5" Type="http://schemas.openxmlformats.org/officeDocument/2006/relationships/hyperlink" Target="http://www.dionyssoshotel.com/" TargetMode="External"/><Relationship Id="rId4" Type="http://schemas.openxmlformats.org/officeDocument/2006/relationships/hyperlink" Target="http://www.skopelosvillagehotel.com/" TargetMode="External"/><Relationship Id="rId9" Type="http://schemas.openxmlformats.org/officeDocument/2006/relationships/printerSettings" Target="../printerSettings/printerSettings97.bin"/></Relationships>
</file>

<file path=xl/worksheets/_rels/sheet39.xml.rels><?xml version="1.0" encoding="UTF-8" standalone="yes"?>
<Relationships xmlns="http://schemas.openxmlformats.org/package/2006/relationships"><Relationship Id="rId3" Type="http://schemas.openxmlformats.org/officeDocument/2006/relationships/hyperlink" Target="http://www.apollonionpalace.gr/" TargetMode="External"/><Relationship Id="rId2" Type="http://schemas.openxmlformats.org/officeDocument/2006/relationships/hyperlink" Target="http://hermes-syros.com/" TargetMode="External"/><Relationship Id="rId1" Type="http://schemas.openxmlformats.org/officeDocument/2006/relationships/printerSettings" Target="../printerSettings/printerSettings98.bin"/><Relationship Id="rId5" Type="http://schemas.openxmlformats.org/officeDocument/2006/relationships/printerSettings" Target="../printerSettings/printerSettings99.bin"/><Relationship Id="rId4" Type="http://schemas.openxmlformats.org/officeDocument/2006/relationships/hyperlink" Target="http://www.syroumelathron.gr/"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4" Type="http://schemas.openxmlformats.org/officeDocument/2006/relationships/printerSettings" Target="../printerSettings/printerSettings15.bin"/></Relationships>
</file>

<file path=xl/worksheets/_rels/sheet40.xml.rels><?xml version="1.0" encoding="UTF-8" standalone="yes"?>
<Relationships xmlns="http://schemas.openxmlformats.org/package/2006/relationships"><Relationship Id="rId8" Type="http://schemas.openxmlformats.org/officeDocument/2006/relationships/hyperlink" Target="http://www.capsishotel.gr/" TargetMode="External"/><Relationship Id="rId13" Type="http://schemas.openxmlformats.org/officeDocument/2006/relationships/hyperlink" Target="http://www.mandrino.gr/" TargetMode="External"/><Relationship Id="rId3" Type="http://schemas.openxmlformats.org/officeDocument/2006/relationships/hyperlink" Target="http://www.grandhotelpalace.gr/" TargetMode="External"/><Relationship Id="rId7" Type="http://schemas.openxmlformats.org/officeDocument/2006/relationships/hyperlink" Target="http://www.anatoliahotels.gr/" TargetMode="External"/><Relationship Id="rId12" Type="http://schemas.openxmlformats.org/officeDocument/2006/relationships/hyperlink" Target="http://www.hotelelgreco.gr/" TargetMode="External"/><Relationship Id="rId17" Type="http://schemas.openxmlformats.org/officeDocument/2006/relationships/printerSettings" Target="../printerSettings/printerSettings101.bin"/><Relationship Id="rId2" Type="http://schemas.openxmlformats.org/officeDocument/2006/relationships/hyperlink" Target="http://www.daioshotels.com/" TargetMode="External"/><Relationship Id="rId16" Type="http://schemas.openxmlformats.org/officeDocument/2006/relationships/hyperlink" Target="http://www.electrahotels.gr/" TargetMode="External"/><Relationship Id="rId1" Type="http://schemas.openxmlformats.org/officeDocument/2006/relationships/printerSettings" Target="../printerSettings/printerSettings100.bin"/><Relationship Id="rId6" Type="http://schemas.openxmlformats.org/officeDocument/2006/relationships/hyperlink" Target="http://www.mediterranean-palace.gr/" TargetMode="External"/><Relationship Id="rId11" Type="http://schemas.openxmlformats.org/officeDocument/2006/relationships/hyperlink" Target="http://www.sunbeach.gr/" TargetMode="External"/><Relationship Id="rId5" Type="http://schemas.openxmlformats.org/officeDocument/2006/relationships/hyperlink" Target="http://www.domotel.gr/" TargetMode="External"/><Relationship Id="rId15" Type="http://schemas.openxmlformats.org/officeDocument/2006/relationships/hyperlink" Target="http://www.telioni.gr/" TargetMode="External"/><Relationship Id="rId10" Type="http://schemas.openxmlformats.org/officeDocument/2006/relationships/hyperlink" Target="http://www.davitel.gr/" TargetMode="External"/><Relationship Id="rId4" Type="http://schemas.openxmlformats.org/officeDocument/2006/relationships/hyperlink" Target="http://www.hithessaloniki.gr/" TargetMode="External"/><Relationship Id="rId9" Type="http://schemas.openxmlformats.org/officeDocument/2006/relationships/hyperlink" Target="http://www.cityhotel.gr/" TargetMode="External"/><Relationship Id="rId14" Type="http://schemas.openxmlformats.org/officeDocument/2006/relationships/hyperlink" Target="http://www.metropolitan.gr/"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www.dianahotels.gr/" TargetMode="External"/><Relationship Id="rId2" Type="http://schemas.openxmlformats.org/officeDocument/2006/relationships/hyperlink" Target="http://www.medbeach.gr/" TargetMode="External"/><Relationship Id="rId1" Type="http://schemas.openxmlformats.org/officeDocument/2006/relationships/printerSettings" Target="../printerSettings/printerSettings102.bin"/><Relationship Id="rId6" Type="http://schemas.openxmlformats.org/officeDocument/2006/relationships/printerSettings" Target="../printerSettings/printerSettings103.bin"/><Relationship Id="rId5" Type="http://schemas.openxmlformats.org/officeDocument/2006/relationships/hyperlink" Target="http://www.zanteroyalresort.gr/" TargetMode="External"/><Relationship Id="rId4" Type="http://schemas.openxmlformats.org/officeDocument/2006/relationships/hyperlink" Target="http://www.zhg.gr/"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printerSettings" Target="../printerSettings/printerSettings1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7.xml.rels><?xml version="1.0" encoding="UTF-8" standalone="yes"?>
<Relationships xmlns="http://schemas.openxmlformats.org/package/2006/relationships"><Relationship Id="rId13" Type="http://schemas.openxmlformats.org/officeDocument/2006/relationships/hyperlink" Target="http://www.electrahotels.gr/" TargetMode="External"/><Relationship Id="rId18" Type="http://schemas.openxmlformats.org/officeDocument/2006/relationships/hyperlink" Target="http://www.grecotel.com/" TargetMode="External"/><Relationship Id="rId26" Type="http://schemas.openxmlformats.org/officeDocument/2006/relationships/hyperlink" Target="http://www.airotel.gr/" TargetMode="External"/><Relationship Id="rId39" Type="http://schemas.openxmlformats.org/officeDocument/2006/relationships/hyperlink" Target="http://www.airotel.gr/" TargetMode="External"/><Relationship Id="rId21" Type="http://schemas.openxmlformats.org/officeDocument/2006/relationships/hyperlink" Target="http://www.plaza-resort.com/" TargetMode="External"/><Relationship Id="rId34" Type="http://schemas.openxmlformats.org/officeDocument/2006/relationships/hyperlink" Target="http://www.herodion.gr/" TargetMode="External"/><Relationship Id="rId42" Type="http://schemas.openxmlformats.org/officeDocument/2006/relationships/hyperlink" Target="http://www.acropoliselect.gr/" TargetMode="External"/><Relationship Id="rId47" Type="http://schemas.openxmlformats.org/officeDocument/2006/relationships/hyperlink" Target="http://www.dorianinnhotel.com/" TargetMode="External"/><Relationship Id="rId50" Type="http://schemas.openxmlformats.org/officeDocument/2006/relationships/hyperlink" Target="http://oscar.gr/" TargetMode="External"/><Relationship Id="rId55" Type="http://schemas.openxmlformats.org/officeDocument/2006/relationships/hyperlink" Target="http://www.novushotel.gr/" TargetMode="External"/><Relationship Id="rId7" Type="http://schemas.openxmlformats.org/officeDocument/2006/relationships/hyperlink" Target="http://www.amalia.gr/" TargetMode="External"/><Relationship Id="rId12" Type="http://schemas.openxmlformats.org/officeDocument/2006/relationships/hyperlink" Target="http://www.hiathens.com/" TargetMode="External"/><Relationship Id="rId17" Type="http://schemas.openxmlformats.org/officeDocument/2006/relationships/hyperlink" Target="http://www.grandresort.gr/" TargetMode="External"/><Relationship Id="rId25" Type="http://schemas.openxmlformats.org/officeDocument/2006/relationships/hyperlink" Target="http://www.aegeon-hotel.com/" TargetMode="External"/><Relationship Id="rId33" Type="http://schemas.openxmlformats.org/officeDocument/2006/relationships/hyperlink" Target="http://www.fenix.gr/" TargetMode="External"/><Relationship Id="rId38" Type="http://schemas.openxmlformats.org/officeDocument/2006/relationships/hyperlink" Target="http://www.president.gr/" TargetMode="External"/><Relationship Id="rId46" Type="http://schemas.openxmlformats.org/officeDocument/2006/relationships/hyperlink" Target="http://www.hotelsofathens.com/" TargetMode="External"/><Relationship Id="rId2" Type="http://schemas.openxmlformats.org/officeDocument/2006/relationships/printerSettings" Target="../printerSettings/printerSettings23.bin"/><Relationship Id="rId16" Type="http://schemas.openxmlformats.org/officeDocument/2006/relationships/hyperlink" Target="http://www.divanis-caravel.com/" TargetMode="External"/><Relationship Id="rId20" Type="http://schemas.openxmlformats.org/officeDocument/2006/relationships/hyperlink" Target="http://www.themargi.gr/" TargetMode="External"/><Relationship Id="rId29" Type="http://schemas.openxmlformats.org/officeDocument/2006/relationships/hyperlink" Target="http://www.athenslotushotel.gr/" TargetMode="External"/><Relationship Id="rId41" Type="http://schemas.openxmlformats.org/officeDocument/2006/relationships/hyperlink" Target="http://www.zafoliahotel.gr/" TargetMode="External"/><Relationship Id="rId54" Type="http://schemas.openxmlformats.org/officeDocument/2006/relationships/hyperlink" Target="http://www.poseidonhotel.com.gr/" TargetMode="External"/><Relationship Id="rId1" Type="http://schemas.openxmlformats.org/officeDocument/2006/relationships/printerSettings" Target="../printerSettings/printerSettings22.bin"/><Relationship Id="rId6" Type="http://schemas.openxmlformats.org/officeDocument/2006/relationships/hyperlink" Target="http://www.divanis.com/" TargetMode="External"/><Relationship Id="rId11" Type="http://schemas.openxmlformats.org/officeDocument/2006/relationships/hyperlink" Target="http://www.njvathensplaza.gr/" TargetMode="External"/><Relationship Id="rId24" Type="http://schemas.openxmlformats.org/officeDocument/2006/relationships/hyperlink" Target="http://www.sofitel.com/" TargetMode="External"/><Relationship Id="rId32" Type="http://schemas.openxmlformats.org/officeDocument/2006/relationships/hyperlink" Target="http://www.emmantina.gr/" TargetMode="External"/><Relationship Id="rId37" Type="http://schemas.openxmlformats.org/officeDocument/2006/relationships/hyperlink" Target="http://www.polisgrandhotel.gr/" TargetMode="External"/><Relationship Id="rId40" Type="http://schemas.openxmlformats.org/officeDocument/2006/relationships/hyperlink" Target="http://www.titania.gr/" TargetMode="External"/><Relationship Id="rId45" Type="http://schemas.openxmlformats.org/officeDocument/2006/relationships/hyperlink" Target="http://www.hotelsofathens.com/" TargetMode="External"/><Relationship Id="rId53" Type="http://schemas.openxmlformats.org/officeDocument/2006/relationships/hyperlink" Target="http://www.savoyhotel.gr/" TargetMode="External"/><Relationship Id="rId5" Type="http://schemas.openxmlformats.org/officeDocument/2006/relationships/hyperlink" Target="http://www.astorhotel.gr/" TargetMode="External"/><Relationship Id="rId15" Type="http://schemas.openxmlformats.org/officeDocument/2006/relationships/hyperlink" Target="http://www.divaniacropolis.gr/" TargetMode="External"/><Relationship Id="rId23" Type="http://schemas.openxmlformats.org/officeDocument/2006/relationships/hyperlink" Target="http://www.sglycabettus.gr/" TargetMode="External"/><Relationship Id="rId28" Type="http://schemas.openxmlformats.org/officeDocument/2006/relationships/hyperlink" Target="http://www.athensgate.gr/" TargetMode="External"/><Relationship Id="rId36" Type="http://schemas.openxmlformats.org/officeDocument/2006/relationships/hyperlink" Target="http://www.airotel.gr/" TargetMode="External"/><Relationship Id="rId49" Type="http://schemas.openxmlformats.org/officeDocument/2006/relationships/hyperlink" Target="http://www.londonhotelathens.com/" TargetMode="External"/><Relationship Id="rId57" Type="http://schemas.openxmlformats.org/officeDocument/2006/relationships/printerSettings" Target="../printerSettings/printerSettings25.bin"/><Relationship Id="rId10" Type="http://schemas.openxmlformats.org/officeDocument/2006/relationships/hyperlink" Target="http://www.westinathens.com/" TargetMode="External"/><Relationship Id="rId19" Type="http://schemas.openxmlformats.org/officeDocument/2006/relationships/hyperlink" Target="http://www.hilton.com/" TargetMode="External"/><Relationship Id="rId31" Type="http://schemas.openxmlformats.org/officeDocument/2006/relationships/hyperlink" Target="http://www.electrahotels.gr/" TargetMode="External"/><Relationship Id="rId44" Type="http://schemas.openxmlformats.org/officeDocument/2006/relationships/hyperlink" Target="http://www.athenscypria.com/" TargetMode="External"/><Relationship Id="rId52" Type="http://schemas.openxmlformats.org/officeDocument/2006/relationships/hyperlink" Target="http://www.plakahotel.gr/" TargetMode="External"/><Relationship Id="rId4" Type="http://schemas.openxmlformats.org/officeDocument/2006/relationships/hyperlink" Target="http://www.cpathens.com/" TargetMode="External"/><Relationship Id="rId9" Type="http://schemas.openxmlformats.org/officeDocument/2006/relationships/hyperlink" Target="http://www.hotelstanley.gr/" TargetMode="External"/><Relationship Id="rId14" Type="http://schemas.openxmlformats.org/officeDocument/2006/relationships/hyperlink" Target="http://www.classicalhotels.com/" TargetMode="External"/><Relationship Id="rId22" Type="http://schemas.openxmlformats.org/officeDocument/2006/relationships/hyperlink" Target="http://www.royalolympic.com/" TargetMode="External"/><Relationship Id="rId27" Type="http://schemas.openxmlformats.org/officeDocument/2006/relationships/hyperlink" Target="http://www.tac.gr/" TargetMode="External"/><Relationship Id="rId30" Type="http://schemas.openxmlformats.org/officeDocument/2006/relationships/hyperlink" Target="http://www.coralhotel.gr/" TargetMode="External"/><Relationship Id="rId35" Type="http://schemas.openxmlformats.org/officeDocument/2006/relationships/hyperlink" Target="http://www.holiday-suites.com/" TargetMode="External"/><Relationship Id="rId43" Type="http://schemas.openxmlformats.org/officeDocument/2006/relationships/hyperlink" Target="http://www.arethusahotel.gr/" TargetMode="External"/><Relationship Id="rId48" Type="http://schemas.openxmlformats.org/officeDocument/2006/relationships/hyperlink" Target="http://www.douros-hotels.com/" TargetMode="External"/><Relationship Id="rId56" Type="http://schemas.openxmlformats.org/officeDocument/2006/relationships/hyperlink" Target="http://www.electrahotels.gr/en/athens/electra-metropolis-athens" TargetMode="External"/><Relationship Id="rId8" Type="http://schemas.openxmlformats.org/officeDocument/2006/relationships/hyperlink" Target="http://www.goldenage.gr/" TargetMode="External"/><Relationship Id="rId51" Type="http://schemas.openxmlformats.org/officeDocument/2006/relationships/hyperlink" Target="http://www.philipposhotel.gr/" TargetMode="External"/><Relationship Id="rId3"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9.xml.rels><?xml version="1.0" encoding="UTF-8" standalone="yes"?>
<Relationships xmlns="http://schemas.openxmlformats.org/package/2006/relationships"><Relationship Id="rId3" Type="http://schemas.openxmlformats.org/officeDocument/2006/relationships/hyperlink" Target="http://www.arahova-inn.gr/" TargetMode="External"/><Relationship Id="rId2" Type="http://schemas.openxmlformats.org/officeDocument/2006/relationships/hyperlink" Target="http://www.anemolia.gr/" TargetMode="External"/><Relationship Id="rId1" Type="http://schemas.openxmlformats.org/officeDocument/2006/relationships/printerSettings" Target="../printerSettings/printerSettings28.bin"/><Relationship Id="rId4"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L33"/>
  <sheetViews>
    <sheetView showGridLines="0" tabSelected="1" workbookViewId="0">
      <selection activeCell="L5" sqref="L5"/>
    </sheetView>
  </sheetViews>
  <sheetFormatPr defaultRowHeight="12.75" x14ac:dyDescent="0.2"/>
  <cols>
    <col min="9" max="9" width="14" customWidth="1"/>
    <col min="10" max="10" width="15.140625" customWidth="1"/>
  </cols>
  <sheetData>
    <row r="33" spans="12:12" x14ac:dyDescent="0.2">
      <c r="L33" s="68"/>
    </row>
  </sheetData>
  <customSheetViews>
    <customSheetView guid="{3C76061C-A85D-4390-B9DB-73E13038638C}" showPageBreaks="1" showGridLines="0" topLeftCell="A19">
      <selection activeCell="M11" sqref="M11"/>
      <pageMargins left="0.28125" right="0.25" top="0.6692913385826772" bottom="0.70866141732283472" header="0.23622047244094491" footer="0.47244094488188981"/>
      <printOptions horizontalCentered="1" verticalCentered="1"/>
      <pageSetup paperSize="9" orientation="portrait" horizontalDpi="300" verticalDpi="300" r:id="rId1"/>
      <headerFooter scaleWithDoc="0" alignWithMargins="0">
        <oddHeader>&amp;C TARIFF 2019
 (EURO)
Accommodation in &amp;A</oddHeader>
        <oddFooter>&amp;LAll rates are in EURO&amp;C
TARIFF 2019
&amp;RPage &amp;P</oddFooter>
      </headerFooter>
    </customSheetView>
    <customSheetView guid="{777CFE61-6F99-11D9-974B-0050BFD074B6}" showRuler="0">
      <selection activeCell="L11" sqref="L11"/>
      <pageMargins left="0" right="0" top="0" bottom="0" header="0.19685039370078741" footer="0.19685039370078741"/>
      <pageSetup paperSize="9" orientation="portrait" horizontalDpi="4294967293" verticalDpi="300" r:id="rId2"/>
      <headerFooter alignWithMargins="0"/>
    </customSheetView>
  </customSheetViews>
  <phoneticPr fontId="0" type="noConversion"/>
  <printOptions horizontalCentered="1" verticalCentered="1"/>
  <pageMargins left="0.28125" right="0.25" top="0.6692913385826772" bottom="0.70866141732283472" header="0.23622047244094491" footer="0.47244094488188981"/>
  <pageSetup paperSize="9" orientation="portrait" horizontalDpi="300" verticalDpi="300" r:id="rId3"/>
  <headerFooter scaleWithDoc="0" alignWithMargins="0">
    <oddHeader xml:space="preserve">&amp;C TARIFF 2021
 (EURO)
</oddHeader>
    <oddFooter>&amp;LAll rates are in EURO&amp;C
TARIFF 2021
&amp;RPage &amp;P</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32"/>
  <sheetViews>
    <sheetView showGridLines="0" view="pageLayout" topLeftCell="C1" zoomScaleNormal="100" workbookViewId="0">
      <selection activeCell="M53" sqref="M53"/>
    </sheetView>
  </sheetViews>
  <sheetFormatPr defaultRowHeight="12.75" x14ac:dyDescent="0.2"/>
  <cols>
    <col min="1" max="1" width="1.85546875" style="68" customWidth="1"/>
    <col min="2" max="3" width="10.7109375" style="68" customWidth="1"/>
    <col min="4" max="6" width="3.7109375" style="68" customWidth="1"/>
    <col min="7" max="7" width="3.28515625" style="68" customWidth="1"/>
    <col min="8" max="9" width="3.7109375" style="68" customWidth="1"/>
    <col min="10" max="14" width="10.7109375" style="68" customWidth="1"/>
    <col min="15" max="15" width="14.28515625" style="68" customWidth="1"/>
    <col min="16" max="16384" width="9.140625" style="68"/>
  </cols>
  <sheetData>
    <row r="1" spans="1:14" ht="13.5" thickBot="1" x14ac:dyDescent="0.25">
      <c r="A1" s="52"/>
      <c r="B1" s="27"/>
      <c r="C1" s="27"/>
      <c r="D1" s="27"/>
      <c r="E1" s="28"/>
      <c r="F1" s="28"/>
      <c r="G1" s="28"/>
      <c r="H1" s="28"/>
      <c r="I1" s="28"/>
      <c r="J1" s="229"/>
      <c r="K1" s="229"/>
      <c r="L1" s="229"/>
      <c r="M1" s="53"/>
      <c r="N1" s="53"/>
    </row>
    <row r="2" spans="1:14" x14ac:dyDescent="0.2">
      <c r="A2" s="20"/>
      <c r="B2" s="21"/>
      <c r="C2" s="21"/>
      <c r="D2" s="21"/>
      <c r="E2" s="22"/>
      <c r="F2" s="22"/>
      <c r="G2" s="22"/>
      <c r="H2" s="22"/>
      <c r="I2" s="22"/>
      <c r="J2" s="22"/>
      <c r="K2" s="22"/>
      <c r="L2" s="22"/>
      <c r="M2" s="22"/>
      <c r="N2" s="23"/>
    </row>
    <row r="3" spans="1:14" ht="15" x14ac:dyDescent="0.2">
      <c r="A3" s="24"/>
      <c r="B3" s="440" t="s">
        <v>1706</v>
      </c>
      <c r="C3" s="441"/>
      <c r="D3" s="441"/>
      <c r="E3" s="441"/>
      <c r="F3" s="441"/>
      <c r="G3" s="441"/>
      <c r="H3" s="441"/>
      <c r="I3" s="441"/>
      <c r="J3" s="441"/>
      <c r="K3" s="441"/>
      <c r="L3" s="441"/>
      <c r="M3" s="442"/>
      <c r="N3" s="25" t="s">
        <v>91</v>
      </c>
    </row>
    <row r="4" spans="1:14" x14ac:dyDescent="0.2">
      <c r="A4" s="24"/>
      <c r="B4" s="26" t="s">
        <v>428</v>
      </c>
      <c r="C4" s="27" t="s">
        <v>1718</v>
      </c>
      <c r="D4" s="27"/>
      <c r="E4" s="28"/>
      <c r="F4" s="28"/>
      <c r="G4" s="28"/>
      <c r="H4" s="28"/>
      <c r="I4" s="28"/>
      <c r="J4" s="28"/>
      <c r="K4" s="28"/>
      <c r="L4" s="28"/>
      <c r="M4" s="28"/>
      <c r="N4" s="29"/>
    </row>
    <row r="5" spans="1:14" x14ac:dyDescent="0.2">
      <c r="A5" s="24"/>
      <c r="B5" s="26" t="s">
        <v>429</v>
      </c>
      <c r="C5" s="27" t="s">
        <v>1673</v>
      </c>
      <c r="D5" s="27"/>
      <c r="E5" s="28"/>
      <c r="F5" s="28"/>
      <c r="G5" s="28"/>
      <c r="H5" s="28"/>
      <c r="I5" s="28"/>
      <c r="J5" s="28"/>
      <c r="K5" s="28"/>
      <c r="L5" s="28"/>
      <c r="M5" s="28"/>
      <c r="N5" s="29"/>
    </row>
    <row r="6" spans="1:14" x14ac:dyDescent="0.2">
      <c r="A6" s="24"/>
      <c r="B6" s="26" t="s">
        <v>427</v>
      </c>
      <c r="C6" s="436" t="s">
        <v>1717</v>
      </c>
      <c r="D6" s="436"/>
      <c r="E6" s="436"/>
      <c r="F6" s="436"/>
      <c r="G6" s="436"/>
      <c r="H6" s="436"/>
      <c r="I6" s="436"/>
      <c r="J6" s="436"/>
      <c r="K6" s="436"/>
      <c r="L6" s="436"/>
      <c r="M6" s="436"/>
      <c r="N6" s="437"/>
    </row>
    <row r="7" spans="1:14" x14ac:dyDescent="0.2">
      <c r="A7" s="24"/>
      <c r="B7" s="27"/>
      <c r="C7" s="436"/>
      <c r="D7" s="436"/>
      <c r="E7" s="436"/>
      <c r="F7" s="436"/>
      <c r="G7" s="436"/>
      <c r="H7" s="436"/>
      <c r="I7" s="436"/>
      <c r="J7" s="436"/>
      <c r="K7" s="436"/>
      <c r="L7" s="436"/>
      <c r="M7" s="436"/>
      <c r="N7" s="437"/>
    </row>
    <row r="8" spans="1:14" x14ac:dyDescent="0.2">
      <c r="A8" s="24"/>
      <c r="B8" s="26" t="s">
        <v>426</v>
      </c>
      <c r="C8" s="27"/>
      <c r="D8" s="27"/>
      <c r="E8" s="28"/>
      <c r="F8" s="28"/>
      <c r="G8" s="28"/>
      <c r="H8" s="28"/>
      <c r="I8" s="28"/>
      <c r="J8" s="28"/>
      <c r="K8" s="28"/>
      <c r="L8" s="28"/>
      <c r="M8" s="28"/>
      <c r="N8" s="29"/>
    </row>
    <row r="9" spans="1:14" ht="13.5" thickBot="1" x14ac:dyDescent="0.25">
      <c r="A9" s="30"/>
      <c r="B9" s="26" t="s">
        <v>430</v>
      </c>
      <c r="C9" s="31"/>
      <c r="D9" s="31"/>
      <c r="E9" s="32"/>
      <c r="F9" s="32"/>
      <c r="G9" s="32"/>
      <c r="H9" s="32"/>
      <c r="I9" s="32"/>
      <c r="J9" s="32"/>
      <c r="K9" s="32"/>
      <c r="L9" s="32"/>
      <c r="M9" s="32"/>
      <c r="N9" s="33"/>
    </row>
    <row r="10" spans="1:14" x14ac:dyDescent="0.2">
      <c r="A10" s="24"/>
      <c r="B10" s="21" t="s">
        <v>263</v>
      </c>
      <c r="C10" s="27"/>
      <c r="D10" s="27"/>
      <c r="E10" s="28"/>
      <c r="F10" s="28"/>
      <c r="G10" s="28"/>
      <c r="H10" s="28"/>
      <c r="I10" s="28"/>
      <c r="J10" s="67" t="s">
        <v>2121</v>
      </c>
      <c r="K10" s="63" t="s">
        <v>2122</v>
      </c>
      <c r="L10" s="63"/>
      <c r="M10" s="63"/>
      <c r="N10" s="63"/>
    </row>
    <row r="11" spans="1:14" ht="13.5" thickBot="1" x14ac:dyDescent="0.25">
      <c r="A11" s="30"/>
      <c r="B11" s="31"/>
      <c r="C11" s="31"/>
      <c r="D11" s="31"/>
      <c r="E11" s="32"/>
      <c r="F11" s="32"/>
      <c r="G11" s="32"/>
      <c r="H11" s="32"/>
      <c r="I11" s="32"/>
      <c r="J11" s="49" t="s">
        <v>1222</v>
      </c>
      <c r="K11" s="40" t="s">
        <v>832</v>
      </c>
      <c r="L11" s="40" t="s">
        <v>2123</v>
      </c>
      <c r="M11" s="40"/>
      <c r="N11" s="40"/>
    </row>
    <row r="12" spans="1:14" x14ac:dyDescent="0.2">
      <c r="A12" s="20"/>
      <c r="B12" s="434" t="s">
        <v>67</v>
      </c>
      <c r="C12" s="434"/>
      <c r="D12" s="434"/>
      <c r="E12" s="22"/>
      <c r="F12" s="22" t="s">
        <v>1180</v>
      </c>
      <c r="G12" s="22" t="s">
        <v>68</v>
      </c>
      <c r="H12" s="22" t="s">
        <v>702</v>
      </c>
      <c r="I12" s="28"/>
      <c r="J12" s="75">
        <f>116.5/ATHENS!O1*ATHENS!O2</f>
        <v>211.81818181818181</v>
      </c>
      <c r="K12" s="75">
        <f>161.5/ATHENS!O1*ATHENS!O2</f>
        <v>293.63636363636363</v>
      </c>
      <c r="L12" s="44">
        <f>209/ATHENS!O1*ATHENS!O2</f>
        <v>379.99999999999994</v>
      </c>
      <c r="M12" s="42"/>
      <c r="N12" s="42"/>
    </row>
    <row r="13" spans="1:14" x14ac:dyDescent="0.2">
      <c r="A13" s="24"/>
      <c r="B13" s="435" t="s">
        <v>67</v>
      </c>
      <c r="C13" s="435"/>
      <c r="D13" s="435"/>
      <c r="E13" s="28"/>
      <c r="F13" s="28" t="s">
        <v>1181</v>
      </c>
      <c r="G13" s="28" t="s">
        <v>68</v>
      </c>
      <c r="H13" s="28" t="s">
        <v>702</v>
      </c>
      <c r="I13" s="28"/>
      <c r="J13" s="75">
        <f>58.5/ATHENS!O1*ATHENS!O2</f>
        <v>106.36363636363636</v>
      </c>
      <c r="K13" s="75">
        <f>80.5/ATHENS!O1*ATHENS!O2</f>
        <v>146.36363636363635</v>
      </c>
      <c r="L13" s="44">
        <f>105/ATHENS!O1*ATHENS!O2</f>
        <v>190.90909090909091</v>
      </c>
      <c r="M13" s="44"/>
      <c r="N13" s="44"/>
    </row>
    <row r="14" spans="1:14" x14ac:dyDescent="0.2">
      <c r="A14" s="24"/>
      <c r="B14" s="68" t="s">
        <v>67</v>
      </c>
      <c r="C14" s="27"/>
      <c r="D14" s="27"/>
      <c r="E14" s="28"/>
      <c r="F14" s="28" t="s">
        <v>1182</v>
      </c>
      <c r="G14" s="28" t="s">
        <v>68</v>
      </c>
      <c r="H14" s="28" t="s">
        <v>702</v>
      </c>
      <c r="I14" s="28"/>
      <c r="J14" s="75">
        <f>52.9/ATHENS!O1*ATHENS!O2</f>
        <v>96.181818181818173</v>
      </c>
      <c r="K14" s="75">
        <f>72.5/ATHENS!O1*ATHENS!O2</f>
        <v>131.81818181818181</v>
      </c>
      <c r="L14" s="44">
        <f>94/ATHENS!O1*ATHENS!O2</f>
        <v>170.90909090909091</v>
      </c>
      <c r="M14" s="44"/>
      <c r="N14" s="44"/>
    </row>
    <row r="15" spans="1:14" ht="13.5" thickBot="1" x14ac:dyDescent="0.25">
      <c r="A15" s="30"/>
      <c r="B15" s="443" t="s">
        <v>902</v>
      </c>
      <c r="C15" s="443"/>
      <c r="D15" s="443"/>
      <c r="E15" s="32"/>
      <c r="F15" s="89"/>
      <c r="G15" s="89"/>
      <c r="H15" s="32" t="s">
        <v>702</v>
      </c>
      <c r="I15" s="32"/>
      <c r="J15" s="76">
        <f>20/ATHENS!O1*ATHENS!O2</f>
        <v>36.36363636363636</v>
      </c>
      <c r="K15" s="76">
        <f>20/ATHENS!O1*ATHENS!O2</f>
        <v>36.36363636363636</v>
      </c>
      <c r="L15" s="46">
        <f>20/ATHENS!O1*ATHENS!O2</f>
        <v>36.36363636363636</v>
      </c>
      <c r="M15" s="46"/>
      <c r="N15" s="46"/>
    </row>
    <row r="16" spans="1:14" x14ac:dyDescent="0.2">
      <c r="A16" s="52"/>
      <c r="B16" s="27"/>
      <c r="C16" s="27"/>
      <c r="D16" s="27"/>
      <c r="E16" s="28"/>
      <c r="F16" s="316"/>
      <c r="G16" s="316"/>
      <c r="H16" s="28"/>
      <c r="I16" s="28"/>
      <c r="J16" s="229"/>
      <c r="K16" s="229"/>
      <c r="L16" s="53"/>
      <c r="M16" s="53"/>
      <c r="N16" s="53"/>
    </row>
    <row r="17" spans="1:14" ht="13.5" thickBot="1" x14ac:dyDescent="0.25">
      <c r="A17" s="14"/>
      <c r="B17" s="15"/>
      <c r="C17" s="15"/>
      <c r="D17" s="15"/>
      <c r="E17" s="16"/>
      <c r="F17" s="16"/>
      <c r="G17" s="16"/>
      <c r="H17" s="16"/>
      <c r="I17" s="16"/>
      <c r="J17" s="16"/>
      <c r="K17" s="16"/>
      <c r="L17" s="16"/>
      <c r="M17" s="16"/>
      <c r="N17" s="16"/>
    </row>
    <row r="18" spans="1:14" x14ac:dyDescent="0.2">
      <c r="A18" s="20"/>
      <c r="B18" s="21"/>
      <c r="C18" s="21"/>
      <c r="D18" s="21"/>
      <c r="E18" s="22"/>
      <c r="F18" s="22"/>
      <c r="G18" s="22"/>
      <c r="H18" s="22"/>
      <c r="I18" s="22"/>
      <c r="J18" s="22"/>
      <c r="K18" s="22"/>
      <c r="L18" s="22"/>
      <c r="M18" s="22"/>
      <c r="N18" s="23"/>
    </row>
    <row r="19" spans="1:14" ht="15" x14ac:dyDescent="0.2">
      <c r="A19" s="24"/>
      <c r="B19" s="440" t="s">
        <v>686</v>
      </c>
      <c r="C19" s="441"/>
      <c r="D19" s="441"/>
      <c r="E19" s="441"/>
      <c r="F19" s="441"/>
      <c r="G19" s="441"/>
      <c r="H19" s="441"/>
      <c r="I19" s="441"/>
      <c r="J19" s="441"/>
      <c r="K19" s="441"/>
      <c r="L19" s="441"/>
      <c r="M19" s="442"/>
      <c r="N19" s="25" t="s">
        <v>905</v>
      </c>
    </row>
    <row r="20" spans="1:14" x14ac:dyDescent="0.2">
      <c r="A20" s="24"/>
      <c r="B20" s="26" t="s">
        <v>428</v>
      </c>
      <c r="C20" s="27" t="s">
        <v>892</v>
      </c>
      <c r="D20" s="27"/>
      <c r="E20" s="28"/>
      <c r="F20" s="28"/>
      <c r="G20" s="28"/>
      <c r="H20" s="28"/>
      <c r="I20" s="28"/>
      <c r="J20" s="28"/>
      <c r="K20" s="28"/>
      <c r="L20" s="28"/>
      <c r="M20" s="28"/>
      <c r="N20" s="29"/>
    </row>
    <row r="21" spans="1:14" x14ac:dyDescent="0.2">
      <c r="A21" s="24"/>
      <c r="B21" s="26" t="s">
        <v>429</v>
      </c>
      <c r="C21" s="27" t="s">
        <v>893</v>
      </c>
      <c r="D21" s="27"/>
      <c r="E21" s="28"/>
      <c r="F21" s="28"/>
      <c r="G21" s="28"/>
      <c r="H21" s="28"/>
      <c r="I21" s="28"/>
      <c r="J21" s="28"/>
      <c r="K21" s="28"/>
      <c r="L21" s="28"/>
      <c r="M21" s="28"/>
      <c r="N21" s="29"/>
    </row>
    <row r="22" spans="1:14" x14ac:dyDescent="0.2">
      <c r="A22" s="24"/>
      <c r="B22" s="26" t="s">
        <v>427</v>
      </c>
      <c r="C22" s="436" t="s">
        <v>154</v>
      </c>
      <c r="D22" s="436"/>
      <c r="E22" s="436"/>
      <c r="F22" s="436"/>
      <c r="G22" s="436"/>
      <c r="H22" s="436"/>
      <c r="I22" s="436"/>
      <c r="J22" s="436"/>
      <c r="K22" s="436"/>
      <c r="L22" s="436"/>
      <c r="M22" s="436"/>
      <c r="N22" s="437"/>
    </row>
    <row r="23" spans="1:14" x14ac:dyDescent="0.2">
      <c r="A23" s="24"/>
      <c r="B23" s="26"/>
      <c r="C23" s="436"/>
      <c r="D23" s="436"/>
      <c r="E23" s="436"/>
      <c r="F23" s="436"/>
      <c r="G23" s="436"/>
      <c r="H23" s="436"/>
      <c r="I23" s="436"/>
      <c r="J23" s="436"/>
      <c r="K23" s="436"/>
      <c r="L23" s="436"/>
      <c r="M23" s="436"/>
      <c r="N23" s="437"/>
    </row>
    <row r="24" spans="1:14" x14ac:dyDescent="0.2">
      <c r="A24" s="24"/>
      <c r="B24" s="26"/>
      <c r="C24" s="438"/>
      <c r="D24" s="438"/>
      <c r="E24" s="438"/>
      <c r="F24" s="438"/>
      <c r="G24" s="438"/>
      <c r="H24" s="438"/>
      <c r="I24" s="438"/>
      <c r="J24" s="438"/>
      <c r="K24" s="438"/>
      <c r="L24" s="438"/>
      <c r="M24" s="438"/>
      <c r="N24" s="439"/>
    </row>
    <row r="25" spans="1:14" x14ac:dyDescent="0.2">
      <c r="A25" s="24"/>
      <c r="B25" s="26" t="s">
        <v>426</v>
      </c>
      <c r="C25" s="27"/>
      <c r="D25" s="27"/>
      <c r="E25" s="28"/>
      <c r="F25" s="28"/>
      <c r="G25" s="28"/>
      <c r="H25" s="28"/>
      <c r="I25" s="28"/>
      <c r="J25" s="28"/>
      <c r="K25" s="28"/>
      <c r="L25" s="28"/>
      <c r="M25" s="28"/>
      <c r="N25" s="29"/>
    </row>
    <row r="26" spans="1:14" ht="13.5" thickBot="1" x14ac:dyDescent="0.25">
      <c r="A26" s="24"/>
      <c r="B26" s="26" t="s">
        <v>430</v>
      </c>
      <c r="C26" s="27"/>
      <c r="D26" s="27"/>
      <c r="E26" s="28"/>
      <c r="F26" s="28"/>
      <c r="G26" s="28"/>
      <c r="H26" s="28"/>
      <c r="I26" s="28"/>
      <c r="J26" s="28"/>
      <c r="K26" s="28"/>
      <c r="L26" s="28"/>
      <c r="M26" s="28"/>
      <c r="N26" s="29"/>
    </row>
    <row r="27" spans="1:14" x14ac:dyDescent="0.2">
      <c r="A27" s="20"/>
      <c r="B27" s="21" t="s">
        <v>263</v>
      </c>
      <c r="C27" s="21"/>
      <c r="D27" s="21"/>
      <c r="E27" s="22"/>
      <c r="F27" s="22"/>
      <c r="G27" s="22"/>
      <c r="H27" s="22"/>
      <c r="I27" s="22"/>
      <c r="J27" s="34" t="s">
        <v>758</v>
      </c>
      <c r="K27" s="35" t="s">
        <v>1797</v>
      </c>
      <c r="L27" s="36"/>
      <c r="M27" s="35"/>
      <c r="N27" s="37"/>
    </row>
    <row r="28" spans="1:14" ht="13.5" thickBot="1" x14ac:dyDescent="0.25">
      <c r="A28" s="30"/>
      <c r="B28" s="31"/>
      <c r="C28" s="31"/>
      <c r="D28" s="31"/>
      <c r="E28" s="32"/>
      <c r="F28" s="32"/>
      <c r="G28" s="32"/>
      <c r="H28" s="32"/>
      <c r="I28" s="32"/>
      <c r="J28" s="38" t="s">
        <v>348</v>
      </c>
      <c r="K28" s="39" t="s">
        <v>1576</v>
      </c>
      <c r="L28" s="39" t="s">
        <v>75</v>
      </c>
      <c r="M28" s="39"/>
      <c r="N28" s="40"/>
    </row>
    <row r="29" spans="1:14" x14ac:dyDescent="0.2">
      <c r="A29" s="20"/>
      <c r="B29" s="434" t="s">
        <v>67</v>
      </c>
      <c r="C29" s="434"/>
      <c r="D29" s="434"/>
      <c r="E29" s="22"/>
      <c r="F29" s="22" t="s">
        <v>1180</v>
      </c>
      <c r="G29" s="22" t="s">
        <v>68</v>
      </c>
      <c r="H29" s="22" t="s">
        <v>702</v>
      </c>
      <c r="I29" s="22"/>
      <c r="J29" s="75">
        <f>75/ATHENS!O1*ATHENS!O2</f>
        <v>136.36363636363635</v>
      </c>
      <c r="K29" s="75">
        <f>105/ATHENS!O1*ATHENS!O2</f>
        <v>190.90909090909091</v>
      </c>
      <c r="L29" s="75">
        <f>135/ATHENS!O1*ATHENS!O2</f>
        <v>245.45454545454544</v>
      </c>
      <c r="M29" s="41"/>
      <c r="N29" s="42"/>
    </row>
    <row r="30" spans="1:14" x14ac:dyDescent="0.2">
      <c r="A30" s="24"/>
      <c r="B30" s="435" t="s">
        <v>67</v>
      </c>
      <c r="C30" s="435"/>
      <c r="D30" s="435"/>
      <c r="E30" s="28"/>
      <c r="F30" s="28" t="s">
        <v>1181</v>
      </c>
      <c r="G30" s="28" t="s">
        <v>68</v>
      </c>
      <c r="H30" s="28" t="s">
        <v>702</v>
      </c>
      <c r="I30" s="28"/>
      <c r="J30" s="75">
        <f>47.5/ATHENS!O1*ATHENS!O2</f>
        <v>86.36363636363636</v>
      </c>
      <c r="K30" s="75">
        <f>67.5/ATHENS!O1*ATHENS!O2</f>
        <v>122.72727272727272</v>
      </c>
      <c r="L30" s="75">
        <f>80/ATHENS!O1*ATHENS!O2</f>
        <v>145.45454545454544</v>
      </c>
      <c r="M30" s="43"/>
      <c r="N30" s="44"/>
    </row>
    <row r="31" spans="1:14" ht="13.5" thickBot="1" x14ac:dyDescent="0.25">
      <c r="A31" s="30"/>
      <c r="B31" s="443" t="s">
        <v>67</v>
      </c>
      <c r="C31" s="443"/>
      <c r="D31" s="443"/>
      <c r="E31" s="32"/>
      <c r="F31" s="32" t="s">
        <v>1182</v>
      </c>
      <c r="G31" s="32" t="s">
        <v>68</v>
      </c>
      <c r="H31" s="32" t="s">
        <v>702</v>
      </c>
      <c r="I31" s="32"/>
      <c r="J31" s="76">
        <f>45/ATHENS!O1*ATHENS!O2</f>
        <v>81.818181818181813</v>
      </c>
      <c r="K31" s="76">
        <f>55/ATHENS!O1*ATHENS!O2</f>
        <v>99.999999999999986</v>
      </c>
      <c r="L31" s="76">
        <f>63.5/ATHENS!O1*ATHENS!O2</f>
        <v>115.45454545454544</v>
      </c>
      <c r="M31" s="45"/>
      <c r="N31" s="46"/>
    </row>
    <row r="32" spans="1:14" x14ac:dyDescent="0.2">
      <c r="A32" s="14"/>
      <c r="B32" s="15"/>
      <c r="C32" s="15"/>
      <c r="D32" s="15"/>
      <c r="E32" s="16"/>
      <c r="F32" s="16"/>
      <c r="G32" s="16"/>
      <c r="H32" s="16"/>
      <c r="I32" s="16"/>
      <c r="J32" s="16"/>
      <c r="K32" s="16"/>
      <c r="L32" s="16"/>
      <c r="M32" s="16"/>
      <c r="N32" s="16"/>
    </row>
  </sheetData>
  <customSheetViews>
    <customSheetView guid="{3C76061C-A85D-4390-B9DB-73E13038638C}" showPageBreaks="1" showGridLines="0" view="pageLayout" topLeftCell="A49">
      <selection activeCell="M51" sqref="M51"/>
      <pageMargins left="0.28125" right="0.25" top="0.6692913385826772" bottom="0.70866141732283472" header="0.23622047244094491" footer="0.47244094488188981"/>
      <printOptions horizontalCentered="1"/>
      <pageSetup paperSize="9" firstPageNumber="24" orientation="landscape" useFirstPageNumber="1" r:id="rId1"/>
      <headerFooter scaleWithDoc="0" alignWithMargins="0">
        <oddHeader>&amp;C TARIFF 2019
 (EURO)
Accommodation in &amp;A</oddHeader>
        <oddFooter>&amp;LAll rates are in EURO&amp;C
TARIFF 2019
&amp;RPage &amp;P</oddFooter>
      </headerFooter>
    </customSheetView>
  </customSheetViews>
  <mergeCells count="10">
    <mergeCell ref="B31:D31"/>
    <mergeCell ref="C22:N24"/>
    <mergeCell ref="B15:D15"/>
    <mergeCell ref="B29:D29"/>
    <mergeCell ref="B19:M19"/>
    <mergeCell ref="B3:M3"/>
    <mergeCell ref="C6:N7"/>
    <mergeCell ref="B12:D12"/>
    <mergeCell ref="B13:D13"/>
    <mergeCell ref="B30:D30"/>
  </mergeCells>
  <phoneticPr fontId="17" type="noConversion"/>
  <hyperlinks>
    <hyperlink ref="B19:M19" r:id="rId2" display="Mediterranee" xr:uid="{00000000-0004-0000-0900-000000000000}"/>
    <hyperlink ref="B3:M3" r:id="rId3" display="Emerald " xr:uid="{00000000-0004-0000-0900-000001000000}"/>
  </hyperlinks>
  <printOptions horizontalCentered="1"/>
  <pageMargins left="0.28125" right="0.25" top="0.6692913385826772" bottom="0.70866141732283472" header="0.23622047244094491" footer="0.47244094488188981"/>
  <pageSetup paperSize="9" firstPageNumber="24" orientation="landscape" useFirstPageNumber="1" r:id="rId4"/>
  <headerFooter scaleWithDoc="0" alignWithMargins="0">
    <oddHeader xml:space="preserve">&amp;C TARIFF 2021
 (EURO)
</oddHeader>
    <oddFooter>&amp;LAll rates are in EURO&amp;C
TARIFF 2021
&amp;RPage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65"/>
  <sheetViews>
    <sheetView showGridLines="0" view="pageLayout" workbookViewId="0">
      <selection activeCell="M53" sqref="M53"/>
    </sheetView>
  </sheetViews>
  <sheetFormatPr defaultRowHeight="12.75" x14ac:dyDescent="0.2"/>
  <cols>
    <col min="1" max="1" width="1.85546875" style="68" customWidth="1"/>
    <col min="2" max="3" width="10.7109375" style="68" customWidth="1"/>
    <col min="4" max="9" width="3.7109375" style="68" customWidth="1"/>
    <col min="10" max="14" width="10.7109375" style="68" customWidth="1"/>
    <col min="15" max="16384" width="9.140625" style="68"/>
  </cols>
  <sheetData>
    <row r="1" spans="1:14" x14ac:dyDescent="0.2">
      <c r="A1" s="20"/>
      <c r="B1" s="21"/>
      <c r="C1" s="21"/>
      <c r="D1" s="21"/>
      <c r="E1" s="22"/>
      <c r="F1" s="22"/>
      <c r="G1" s="22"/>
      <c r="H1" s="22"/>
      <c r="I1" s="22"/>
      <c r="J1" s="22"/>
      <c r="K1" s="22"/>
      <c r="L1" s="22"/>
      <c r="M1" s="22"/>
      <c r="N1" s="23"/>
    </row>
    <row r="2" spans="1:14" ht="15" x14ac:dyDescent="0.2">
      <c r="A2" s="24"/>
      <c r="B2" s="440" t="s">
        <v>656</v>
      </c>
      <c r="C2" s="441"/>
      <c r="D2" s="441"/>
      <c r="E2" s="441"/>
      <c r="F2" s="441"/>
      <c r="G2" s="441"/>
      <c r="H2" s="441"/>
      <c r="I2" s="441"/>
      <c r="J2" s="441"/>
      <c r="K2" s="441"/>
      <c r="L2" s="441"/>
      <c r="M2" s="442"/>
      <c r="N2" s="25" t="s">
        <v>91</v>
      </c>
    </row>
    <row r="3" spans="1:14" x14ac:dyDescent="0.2">
      <c r="A3" s="24"/>
      <c r="B3" s="26" t="s">
        <v>428</v>
      </c>
      <c r="C3" s="27" t="s">
        <v>660</v>
      </c>
      <c r="D3" s="27"/>
      <c r="E3" s="28"/>
      <c r="F3" s="28"/>
      <c r="G3" s="28"/>
      <c r="H3" s="28"/>
      <c r="I3" s="28"/>
      <c r="J3" s="28"/>
      <c r="K3" s="28"/>
      <c r="L3" s="28"/>
      <c r="M3" s="28"/>
      <c r="N3" s="29"/>
    </row>
    <row r="4" spans="1:14" x14ac:dyDescent="0.2">
      <c r="A4" s="24"/>
      <c r="B4" s="26" t="s">
        <v>429</v>
      </c>
      <c r="C4" s="27" t="s">
        <v>894</v>
      </c>
      <c r="D4" s="27"/>
      <c r="E4" s="28"/>
      <c r="F4" s="28"/>
      <c r="G4" s="28"/>
      <c r="H4" s="28"/>
      <c r="I4" s="28"/>
      <c r="J4" s="28"/>
      <c r="K4" s="28"/>
      <c r="L4" s="28"/>
      <c r="M4" s="28"/>
      <c r="N4" s="29"/>
    </row>
    <row r="5" spans="1:14" x14ac:dyDescent="0.2">
      <c r="A5" s="24"/>
      <c r="B5" s="26" t="s">
        <v>427</v>
      </c>
      <c r="C5" s="436" t="s">
        <v>658</v>
      </c>
      <c r="D5" s="436"/>
      <c r="E5" s="436"/>
      <c r="F5" s="436"/>
      <c r="G5" s="436"/>
      <c r="H5" s="436"/>
      <c r="I5" s="436"/>
      <c r="J5" s="436"/>
      <c r="K5" s="436"/>
      <c r="L5" s="436"/>
      <c r="M5" s="436"/>
      <c r="N5" s="437"/>
    </row>
    <row r="6" spans="1:14" x14ac:dyDescent="0.2">
      <c r="A6" s="24"/>
      <c r="B6" s="15"/>
      <c r="C6" s="436"/>
      <c r="D6" s="436"/>
      <c r="E6" s="436"/>
      <c r="F6" s="436"/>
      <c r="G6" s="436"/>
      <c r="H6" s="436"/>
      <c r="I6" s="436"/>
      <c r="J6" s="436"/>
      <c r="K6" s="436"/>
      <c r="L6" s="436"/>
      <c r="M6" s="436"/>
      <c r="N6" s="437"/>
    </row>
    <row r="7" spans="1:14" x14ac:dyDescent="0.2">
      <c r="A7" s="24"/>
      <c r="B7" s="26" t="s">
        <v>426</v>
      </c>
      <c r="C7" s="27"/>
      <c r="D7" s="27"/>
      <c r="E7" s="28"/>
      <c r="F7" s="28"/>
      <c r="G7" s="28"/>
      <c r="H7" s="28"/>
      <c r="I7" s="28"/>
      <c r="J7" s="28"/>
      <c r="K7" s="28"/>
      <c r="L7" s="28"/>
      <c r="M7" s="28"/>
      <c r="N7" s="29"/>
    </row>
    <row r="8" spans="1:14" ht="13.5" thickBot="1" x14ac:dyDescent="0.25">
      <c r="A8" s="24"/>
      <c r="B8" s="26" t="s">
        <v>430</v>
      </c>
      <c r="C8" s="27"/>
      <c r="D8" s="27"/>
      <c r="E8" s="28"/>
      <c r="F8" s="28"/>
      <c r="G8" s="28"/>
      <c r="H8" s="28"/>
      <c r="I8" s="28"/>
      <c r="J8" s="28"/>
      <c r="K8" s="28"/>
      <c r="L8" s="28"/>
      <c r="M8" s="28"/>
      <c r="N8" s="29"/>
    </row>
    <row r="9" spans="1:14" x14ac:dyDescent="0.2">
      <c r="A9" s="20"/>
      <c r="B9" s="21" t="s">
        <v>263</v>
      </c>
      <c r="C9" s="21"/>
      <c r="D9" s="21"/>
      <c r="E9" s="22"/>
      <c r="F9" s="22"/>
      <c r="G9" s="22"/>
      <c r="H9" s="22"/>
      <c r="I9" s="22"/>
      <c r="J9" s="48" t="s">
        <v>2186</v>
      </c>
      <c r="K9" s="37" t="s">
        <v>1979</v>
      </c>
      <c r="L9" s="37" t="s">
        <v>247</v>
      </c>
      <c r="M9" s="37" t="s">
        <v>2188</v>
      </c>
      <c r="N9" s="37"/>
    </row>
    <row r="10" spans="1:14" ht="13.5" thickBot="1" x14ac:dyDescent="0.25">
      <c r="A10" s="30"/>
      <c r="B10" s="31"/>
      <c r="C10" s="31"/>
      <c r="D10" s="31"/>
      <c r="E10" s="32"/>
      <c r="F10" s="32"/>
      <c r="G10" s="32"/>
      <c r="H10" s="32"/>
      <c r="I10" s="32"/>
      <c r="J10" s="49" t="s">
        <v>282</v>
      </c>
      <c r="K10" s="40" t="s">
        <v>343</v>
      </c>
      <c r="L10" s="40" t="s">
        <v>2187</v>
      </c>
      <c r="M10" s="40" t="s">
        <v>2189</v>
      </c>
      <c r="N10" s="40" t="s">
        <v>2190</v>
      </c>
    </row>
    <row r="11" spans="1:14" x14ac:dyDescent="0.2">
      <c r="A11" s="20"/>
      <c r="B11" s="434" t="s">
        <v>67</v>
      </c>
      <c r="C11" s="434"/>
      <c r="D11" s="434"/>
      <c r="E11" s="22"/>
      <c r="F11" s="22" t="s">
        <v>1180</v>
      </c>
      <c r="G11" s="22" t="s">
        <v>68</v>
      </c>
      <c r="H11" s="22" t="s">
        <v>702</v>
      </c>
      <c r="I11" s="22"/>
      <c r="J11" s="75">
        <f>130.5/ATHENS!O1*ATHENS!O2</f>
        <v>237.27272727272725</v>
      </c>
      <c r="K11" s="75">
        <f>162/ATHENS!O1*ATHENS!O2</f>
        <v>294.5454545454545</v>
      </c>
      <c r="L11" s="75">
        <f>197.5/ATHENS!O1*ATHENS!O2</f>
        <v>359.09090909090907</v>
      </c>
      <c r="M11" s="75">
        <f>233.5/ATHENS!O1*ATHENS!O2</f>
        <v>424.5454545454545</v>
      </c>
      <c r="N11" s="42">
        <f>260/ATHENS!O1*ATHENS!O2</f>
        <v>472.72727272727269</v>
      </c>
    </row>
    <row r="12" spans="1:14" x14ac:dyDescent="0.2">
      <c r="A12" s="24"/>
      <c r="B12" s="435" t="s">
        <v>67</v>
      </c>
      <c r="C12" s="435"/>
      <c r="D12" s="435"/>
      <c r="E12" s="28"/>
      <c r="F12" s="28" t="s">
        <v>1181</v>
      </c>
      <c r="G12" s="28" t="s">
        <v>68</v>
      </c>
      <c r="H12" s="28" t="s">
        <v>702</v>
      </c>
      <c r="I12" s="28"/>
      <c r="J12" s="75">
        <f>78.75/ATHENS!O1*ATHENS!O2</f>
        <v>143.18181818181816</v>
      </c>
      <c r="K12" s="75">
        <f>96.7/ATHENS!O1*ATHENS!O2</f>
        <v>175.81818181818181</v>
      </c>
      <c r="L12" s="75">
        <f>116.7/ATHENS!O1*ATHENS!O2</f>
        <v>212.18181818181816</v>
      </c>
      <c r="M12" s="75">
        <f>136.5/ATHENS!O1*ATHENS!O2</f>
        <v>248.18181818181816</v>
      </c>
      <c r="N12" s="44">
        <f>155/ATHENS!O1*ATHENS!O2</f>
        <v>281.81818181818181</v>
      </c>
    </row>
    <row r="13" spans="1:14" x14ac:dyDescent="0.2">
      <c r="A13" s="24"/>
      <c r="B13" s="435" t="s">
        <v>67</v>
      </c>
      <c r="C13" s="435"/>
      <c r="D13" s="435"/>
      <c r="E13" s="28"/>
      <c r="F13" s="28" t="s">
        <v>1182</v>
      </c>
      <c r="G13" s="28" t="s">
        <v>68</v>
      </c>
      <c r="H13" s="28" t="s">
        <v>702</v>
      </c>
      <c r="I13" s="28"/>
      <c r="J13" s="75">
        <f>52.5/ATHENS!O1*ATHENS!O2</f>
        <v>95.454545454545453</v>
      </c>
      <c r="K13" s="75">
        <f>88.8/ATHENS!O1*ATHENS!O2</f>
        <v>161.45454545454544</v>
      </c>
      <c r="L13" s="75">
        <f>107.5/ATHENS!O1*ATHENS!O2</f>
        <v>195.45454545454544</v>
      </c>
      <c r="M13" s="75">
        <f>125.5/ATHENS!O1*ATHENS!O2</f>
        <v>228.18181818181816</v>
      </c>
      <c r="N13" s="44">
        <f>142/ATHENS!O1*ATHENS!O2</f>
        <v>258.18181818181819</v>
      </c>
    </row>
    <row r="14" spans="1:14" ht="13.5" thickBot="1" x14ac:dyDescent="0.25">
      <c r="A14" s="30"/>
      <c r="B14" s="443"/>
      <c r="C14" s="443"/>
      <c r="D14" s="443"/>
      <c r="E14" s="32"/>
      <c r="F14" s="32"/>
      <c r="G14" s="32"/>
      <c r="H14" s="32"/>
      <c r="I14" s="32"/>
      <c r="J14" s="76"/>
      <c r="K14" s="76"/>
      <c r="L14" s="76"/>
      <c r="M14" s="76"/>
      <c r="N14" s="46"/>
    </row>
    <row r="15" spans="1:14" x14ac:dyDescent="0.2">
      <c r="A15" s="14"/>
      <c r="B15" s="18"/>
      <c r="C15" s="18"/>
      <c r="D15" s="18"/>
      <c r="E15" s="19"/>
      <c r="F15" s="19"/>
      <c r="G15" s="19"/>
      <c r="H15" s="19"/>
      <c r="I15" s="19"/>
      <c r="J15" s="19"/>
      <c r="K15" s="19"/>
      <c r="L15" s="19"/>
      <c r="M15" s="19"/>
      <c r="N15" s="19"/>
    </row>
    <row r="16" spans="1:14" ht="13.5" thickBot="1" x14ac:dyDescent="0.25">
      <c r="A16" s="14"/>
      <c r="B16" s="18"/>
      <c r="C16" s="18"/>
      <c r="D16" s="18"/>
      <c r="E16" s="19"/>
      <c r="F16" s="19"/>
      <c r="G16" s="19"/>
      <c r="H16" s="19"/>
      <c r="I16" s="19"/>
      <c r="J16" s="19"/>
      <c r="K16" s="19"/>
      <c r="L16" s="19"/>
      <c r="M16" s="19"/>
      <c r="N16" s="19"/>
    </row>
    <row r="17" spans="1:14" x14ac:dyDescent="0.2">
      <c r="A17" s="20"/>
      <c r="B17" s="21"/>
      <c r="C17" s="21"/>
      <c r="D17" s="21"/>
      <c r="E17" s="22"/>
      <c r="F17" s="22"/>
      <c r="G17" s="22"/>
      <c r="H17" s="22"/>
      <c r="I17" s="22"/>
      <c r="J17" s="22"/>
      <c r="K17" s="22"/>
      <c r="L17" s="22"/>
      <c r="M17" s="22"/>
      <c r="N17" s="23"/>
    </row>
    <row r="18" spans="1:14" ht="15" x14ac:dyDescent="0.2">
      <c r="A18" s="24"/>
      <c r="B18" s="440" t="s">
        <v>1462</v>
      </c>
      <c r="C18" s="441"/>
      <c r="D18" s="441"/>
      <c r="E18" s="441"/>
      <c r="F18" s="441"/>
      <c r="G18" s="441"/>
      <c r="H18" s="441"/>
      <c r="I18" s="441"/>
      <c r="J18" s="441"/>
      <c r="K18" s="441"/>
      <c r="L18" s="441"/>
      <c r="M18" s="442"/>
      <c r="N18" s="25" t="s">
        <v>91</v>
      </c>
    </row>
    <row r="19" spans="1:14" x14ac:dyDescent="0.2">
      <c r="A19" s="24"/>
      <c r="B19" s="26" t="s">
        <v>428</v>
      </c>
      <c r="C19" s="27" t="s">
        <v>654</v>
      </c>
      <c r="D19" s="27"/>
      <c r="E19" s="28"/>
      <c r="F19" s="28"/>
      <c r="G19" s="28"/>
      <c r="H19" s="28"/>
      <c r="I19" s="28"/>
      <c r="J19" s="28"/>
      <c r="K19" s="28"/>
      <c r="L19" s="28"/>
      <c r="M19" s="28"/>
      <c r="N19" s="29"/>
    </row>
    <row r="20" spans="1:14" x14ac:dyDescent="0.2">
      <c r="A20" s="24"/>
      <c r="B20" s="26" t="s">
        <v>429</v>
      </c>
      <c r="C20" s="27" t="s">
        <v>895</v>
      </c>
      <c r="D20" s="27"/>
      <c r="E20" s="28"/>
      <c r="F20" s="28"/>
      <c r="G20" s="28"/>
      <c r="H20" s="28"/>
      <c r="I20" s="28"/>
      <c r="J20" s="28"/>
      <c r="K20" s="28"/>
      <c r="L20" s="28"/>
      <c r="M20" s="28"/>
      <c r="N20" s="29"/>
    </row>
    <row r="21" spans="1:14" x14ac:dyDescent="0.2">
      <c r="A21" s="24"/>
      <c r="B21" s="26" t="s">
        <v>427</v>
      </c>
      <c r="C21" s="436" t="s">
        <v>655</v>
      </c>
      <c r="D21" s="436"/>
      <c r="E21" s="436"/>
      <c r="F21" s="436"/>
      <c r="G21" s="436"/>
      <c r="H21" s="436"/>
      <c r="I21" s="436"/>
      <c r="J21" s="436"/>
      <c r="K21" s="436"/>
      <c r="L21" s="436"/>
      <c r="M21" s="436"/>
      <c r="N21" s="437"/>
    </row>
    <row r="22" spans="1:14" x14ac:dyDescent="0.2">
      <c r="A22" s="24"/>
      <c r="B22" s="15"/>
      <c r="C22" s="436"/>
      <c r="D22" s="436"/>
      <c r="E22" s="436"/>
      <c r="F22" s="436"/>
      <c r="G22" s="436"/>
      <c r="H22" s="436"/>
      <c r="I22" s="436"/>
      <c r="J22" s="436"/>
      <c r="K22" s="436"/>
      <c r="L22" s="436"/>
      <c r="M22" s="436"/>
      <c r="N22" s="437"/>
    </row>
    <row r="23" spans="1:14" x14ac:dyDescent="0.2">
      <c r="A23" s="24"/>
      <c r="B23" s="15"/>
      <c r="C23" s="436"/>
      <c r="D23" s="436"/>
      <c r="E23" s="436"/>
      <c r="F23" s="436"/>
      <c r="G23" s="436"/>
      <c r="H23" s="436"/>
      <c r="I23" s="436"/>
      <c r="J23" s="436"/>
      <c r="K23" s="436"/>
      <c r="L23" s="436"/>
      <c r="M23" s="436"/>
      <c r="N23" s="437"/>
    </row>
    <row r="24" spans="1:14" x14ac:dyDescent="0.2">
      <c r="A24" s="24"/>
      <c r="B24" s="26" t="s">
        <v>426</v>
      </c>
      <c r="C24" s="27"/>
      <c r="D24" s="27"/>
      <c r="E24" s="28"/>
      <c r="F24" s="28"/>
      <c r="G24" s="28"/>
      <c r="H24" s="28"/>
      <c r="I24" s="28"/>
      <c r="J24" s="28"/>
      <c r="K24" s="28"/>
      <c r="L24" s="28"/>
      <c r="M24" s="28"/>
      <c r="N24" s="29"/>
    </row>
    <row r="25" spans="1:14" ht="13.5" thickBot="1" x14ac:dyDescent="0.25">
      <c r="A25" s="24"/>
      <c r="B25" s="26" t="s">
        <v>430</v>
      </c>
      <c r="C25" s="27"/>
      <c r="D25" s="27"/>
      <c r="E25" s="28"/>
      <c r="F25" s="28"/>
      <c r="G25" s="28"/>
      <c r="H25" s="28"/>
      <c r="I25" s="28"/>
      <c r="J25" s="28"/>
      <c r="K25" s="28"/>
      <c r="L25" s="28"/>
      <c r="M25" s="28"/>
      <c r="N25" s="29"/>
    </row>
    <row r="26" spans="1:14" x14ac:dyDescent="0.2">
      <c r="A26" s="20"/>
      <c r="B26" s="21" t="s">
        <v>263</v>
      </c>
      <c r="C26" s="21"/>
      <c r="D26" s="21"/>
      <c r="E26" s="22"/>
      <c r="F26" s="22"/>
      <c r="G26" s="22"/>
      <c r="H26" s="22"/>
      <c r="I26" s="22"/>
      <c r="J26" s="48" t="s">
        <v>2193</v>
      </c>
      <c r="K26" s="37" t="s">
        <v>2191</v>
      </c>
      <c r="L26" s="37" t="s">
        <v>2195</v>
      </c>
      <c r="M26" s="37" t="s">
        <v>2197</v>
      </c>
      <c r="N26" s="37"/>
    </row>
    <row r="27" spans="1:14" ht="13.5" thickBot="1" x14ac:dyDescent="0.25">
      <c r="A27" s="30"/>
      <c r="B27" s="31"/>
      <c r="C27" s="31"/>
      <c r="D27" s="31"/>
      <c r="E27" s="32"/>
      <c r="F27" s="32"/>
      <c r="G27" s="32"/>
      <c r="H27" s="32"/>
      <c r="I27" s="32"/>
      <c r="J27" s="49" t="s">
        <v>2194</v>
      </c>
      <c r="K27" s="40" t="s">
        <v>2192</v>
      </c>
      <c r="L27" s="40" t="s">
        <v>2196</v>
      </c>
      <c r="M27" s="40" t="s">
        <v>1427</v>
      </c>
      <c r="N27" s="40" t="s">
        <v>2198</v>
      </c>
    </row>
    <row r="28" spans="1:14" x14ac:dyDescent="0.2">
      <c r="A28" s="20"/>
      <c r="B28" s="434" t="s">
        <v>67</v>
      </c>
      <c r="C28" s="434"/>
      <c r="D28" s="434"/>
      <c r="E28" s="22"/>
      <c r="F28" s="22" t="s">
        <v>1180</v>
      </c>
      <c r="G28" s="22" t="s">
        <v>1484</v>
      </c>
      <c r="H28" s="22" t="s">
        <v>702</v>
      </c>
      <c r="I28" s="22"/>
      <c r="J28" s="75">
        <f>147/ATHENS!O1*ATHENS!O2</f>
        <v>267.27272727272725</v>
      </c>
      <c r="K28" s="75">
        <f>189/ATHENS!O1*ATHENS!O2</f>
        <v>343.63636363636363</v>
      </c>
      <c r="L28" s="75">
        <f>222.5/ATHENS!O1*ATHENS!O2</f>
        <v>404.5454545454545</v>
      </c>
      <c r="M28" s="75">
        <f>281.5/ATHENS!O1*ATHENS!O2</f>
        <v>511.81818181818176</v>
      </c>
      <c r="N28" s="75">
        <f>340.5/ATHENS!O1*ATHENS!O2</f>
        <v>619.09090909090901</v>
      </c>
    </row>
    <row r="29" spans="1:14" x14ac:dyDescent="0.2">
      <c r="A29" s="24"/>
      <c r="B29" s="435" t="s">
        <v>67</v>
      </c>
      <c r="C29" s="435"/>
      <c r="D29" s="435"/>
      <c r="E29" s="28"/>
      <c r="F29" s="28" t="s">
        <v>1181</v>
      </c>
      <c r="G29" s="28" t="s">
        <v>1484</v>
      </c>
      <c r="H29" s="28" t="s">
        <v>702</v>
      </c>
      <c r="I29" s="28"/>
      <c r="J29" s="75">
        <f>82/ATHENS!O1*ATHENS!O2</f>
        <v>149.09090909090907</v>
      </c>
      <c r="K29" s="75">
        <f>105/ATHENS!O1*ATHENS!O2</f>
        <v>190.90909090909091</v>
      </c>
      <c r="L29" s="75">
        <f>124/ATHENS!O1*ATHENS!O2</f>
        <v>225.45454545454544</v>
      </c>
      <c r="M29" s="75">
        <f>156.5/ATHENS!O1*ATHENS!O2</f>
        <v>284.5454545454545</v>
      </c>
      <c r="N29" s="75">
        <f>190/ATHENS!O1*ATHENS!O2</f>
        <v>345.45454545454544</v>
      </c>
    </row>
    <row r="30" spans="1:14" ht="13.5" thickBot="1" x14ac:dyDescent="0.25">
      <c r="A30" s="30"/>
      <c r="B30" s="443" t="s">
        <v>901</v>
      </c>
      <c r="C30" s="443"/>
      <c r="D30" s="443"/>
      <c r="E30" s="32"/>
      <c r="F30" s="32" t="s">
        <v>518</v>
      </c>
      <c r="G30" s="32" t="s">
        <v>1484</v>
      </c>
      <c r="H30" s="32" t="s">
        <v>702</v>
      </c>
      <c r="I30" s="32"/>
      <c r="J30" s="76">
        <f>100.7/ATHENS!O1*ATHENS!O2</f>
        <v>183.09090909090909</v>
      </c>
      <c r="K30" s="76">
        <f>147/ATHENS!O1*ATHENS!O2</f>
        <v>267.27272727272725</v>
      </c>
      <c r="L30" s="76">
        <f>165.5/ATHENS!O1*ATHENS!O2</f>
        <v>300.90909090909088</v>
      </c>
      <c r="M30" s="76">
        <f>203.7/ATHENS!O1*ATHENS!O2</f>
        <v>370.36363636363632</v>
      </c>
      <c r="N30" s="76">
        <f>232/ATHENS!O1*ATHENS!O2</f>
        <v>421.81818181818176</v>
      </c>
    </row>
    <row r="31" spans="1:14" ht="13.5" thickBot="1" x14ac:dyDescent="0.25">
      <c r="A31" s="52"/>
      <c r="B31" s="27"/>
      <c r="C31" s="27"/>
      <c r="D31" s="27"/>
      <c r="E31" s="28"/>
      <c r="F31" s="28"/>
      <c r="G31" s="28"/>
      <c r="H31" s="28"/>
      <c r="I31" s="28"/>
      <c r="J31" s="229"/>
      <c r="K31" s="229"/>
      <c r="L31" s="229"/>
      <c r="M31" s="229"/>
      <c r="N31" s="229"/>
    </row>
    <row r="32" spans="1:14" x14ac:dyDescent="0.2">
      <c r="A32" s="20"/>
      <c r="B32" s="21"/>
      <c r="C32" s="21"/>
      <c r="D32" s="21"/>
      <c r="E32" s="22"/>
      <c r="F32" s="22"/>
      <c r="G32" s="22"/>
      <c r="H32" s="22"/>
      <c r="I32" s="22"/>
      <c r="J32" s="22"/>
      <c r="K32" s="22"/>
      <c r="L32" s="22"/>
      <c r="M32" s="22"/>
      <c r="N32" s="23"/>
    </row>
    <row r="33" spans="1:14" ht="15" x14ac:dyDescent="0.2">
      <c r="A33" s="24"/>
      <c r="B33" s="440" t="s">
        <v>657</v>
      </c>
      <c r="C33" s="441"/>
      <c r="D33" s="441"/>
      <c r="E33" s="441"/>
      <c r="F33" s="441"/>
      <c r="G33" s="441"/>
      <c r="H33" s="441"/>
      <c r="I33" s="441"/>
      <c r="J33" s="441"/>
      <c r="K33" s="441"/>
      <c r="L33" s="441"/>
      <c r="M33" s="442"/>
      <c r="N33" s="25" t="s">
        <v>96</v>
      </c>
    </row>
    <row r="34" spans="1:14" x14ac:dyDescent="0.2">
      <c r="A34" s="24"/>
      <c r="B34" s="26" t="s">
        <v>428</v>
      </c>
      <c r="C34" s="27" t="s">
        <v>896</v>
      </c>
      <c r="D34" s="27"/>
      <c r="E34" s="28"/>
      <c r="F34" s="28"/>
      <c r="G34" s="28"/>
      <c r="H34" s="28"/>
      <c r="I34" s="28"/>
      <c r="J34" s="28"/>
      <c r="K34" s="28"/>
      <c r="L34" s="28"/>
      <c r="M34" s="28"/>
      <c r="N34" s="29"/>
    </row>
    <row r="35" spans="1:14" x14ac:dyDescent="0.2">
      <c r="A35" s="24"/>
      <c r="B35" s="26" t="s">
        <v>429</v>
      </c>
      <c r="C35" s="27"/>
      <c r="D35" s="27"/>
      <c r="E35" s="28"/>
      <c r="F35" s="28"/>
      <c r="G35" s="28"/>
      <c r="H35" s="28"/>
      <c r="I35" s="28"/>
      <c r="J35" s="28"/>
      <c r="K35" s="28"/>
      <c r="L35" s="28"/>
      <c r="M35" s="28"/>
      <c r="N35" s="29"/>
    </row>
    <row r="36" spans="1:14" x14ac:dyDescent="0.2">
      <c r="A36" s="24"/>
      <c r="B36" s="26" t="s">
        <v>427</v>
      </c>
      <c r="C36" s="436" t="s">
        <v>659</v>
      </c>
      <c r="D36" s="436"/>
      <c r="E36" s="436"/>
      <c r="F36" s="436"/>
      <c r="G36" s="436"/>
      <c r="H36" s="436"/>
      <c r="I36" s="436"/>
      <c r="J36" s="436"/>
      <c r="K36" s="436"/>
      <c r="L36" s="436"/>
      <c r="M36" s="436"/>
      <c r="N36" s="437"/>
    </row>
    <row r="37" spans="1:14" x14ac:dyDescent="0.2">
      <c r="A37" s="24"/>
      <c r="B37" s="15"/>
      <c r="C37" s="436"/>
      <c r="D37" s="436"/>
      <c r="E37" s="436"/>
      <c r="F37" s="436"/>
      <c r="G37" s="436"/>
      <c r="H37" s="436"/>
      <c r="I37" s="436"/>
      <c r="J37" s="436"/>
      <c r="K37" s="436"/>
      <c r="L37" s="436"/>
      <c r="M37" s="436"/>
      <c r="N37" s="437"/>
    </row>
    <row r="38" spans="1:14" x14ac:dyDescent="0.2">
      <c r="A38" s="24"/>
      <c r="B38" s="15"/>
      <c r="C38" s="438"/>
      <c r="D38" s="438"/>
      <c r="E38" s="438"/>
      <c r="F38" s="438"/>
      <c r="G38" s="438"/>
      <c r="H38" s="438"/>
      <c r="I38" s="438"/>
      <c r="J38" s="438"/>
      <c r="K38" s="438"/>
      <c r="L38" s="438"/>
      <c r="M38" s="438"/>
      <c r="N38" s="439"/>
    </row>
    <row r="39" spans="1:14" x14ac:dyDescent="0.2">
      <c r="A39" s="24"/>
      <c r="B39" s="26" t="s">
        <v>426</v>
      </c>
      <c r="C39" s="27"/>
      <c r="D39" s="27"/>
      <c r="E39" s="28"/>
      <c r="F39" s="28"/>
      <c r="G39" s="28"/>
      <c r="H39" s="28"/>
      <c r="I39" s="28"/>
      <c r="J39" s="28"/>
      <c r="K39" s="28"/>
      <c r="L39" s="28"/>
      <c r="M39" s="28"/>
      <c r="N39" s="29"/>
    </row>
    <row r="40" spans="1:14" ht="13.5" thickBot="1" x14ac:dyDescent="0.25">
      <c r="A40" s="24"/>
      <c r="B40" s="26" t="s">
        <v>430</v>
      </c>
      <c r="C40" s="27"/>
      <c r="D40" s="27"/>
      <c r="E40" s="28"/>
      <c r="F40" s="28"/>
      <c r="G40" s="28"/>
      <c r="H40" s="28"/>
      <c r="I40" s="28"/>
      <c r="J40" s="32"/>
      <c r="K40" s="32"/>
      <c r="L40" s="32"/>
      <c r="M40" s="32"/>
      <c r="N40" s="33"/>
    </row>
    <row r="41" spans="1:14" x14ac:dyDescent="0.2">
      <c r="A41" s="20"/>
      <c r="B41" s="21" t="s">
        <v>263</v>
      </c>
      <c r="C41" s="21"/>
      <c r="D41" s="21"/>
      <c r="E41" s="22"/>
      <c r="F41" s="22"/>
      <c r="G41" s="22"/>
      <c r="H41" s="22"/>
      <c r="I41" s="23"/>
      <c r="J41" s="67" t="s">
        <v>2183</v>
      </c>
      <c r="K41" s="63" t="s">
        <v>279</v>
      </c>
      <c r="L41" s="63" t="s">
        <v>2184</v>
      </c>
      <c r="M41" s="63"/>
      <c r="N41" s="63"/>
    </row>
    <row r="42" spans="1:14" ht="13.5" thickBot="1" x14ac:dyDescent="0.25">
      <c r="A42" s="30"/>
      <c r="B42" s="31" t="s">
        <v>263</v>
      </c>
      <c r="C42" s="31"/>
      <c r="D42" s="31"/>
      <c r="E42" s="32"/>
      <c r="F42" s="32"/>
      <c r="G42" s="32"/>
      <c r="H42" s="32"/>
      <c r="I42" s="32"/>
      <c r="J42" s="49" t="s">
        <v>1222</v>
      </c>
      <c r="K42" s="40" t="s">
        <v>523</v>
      </c>
      <c r="L42" s="40" t="s">
        <v>2038</v>
      </c>
      <c r="M42" s="40" t="s">
        <v>2185</v>
      </c>
      <c r="N42" s="40"/>
    </row>
    <row r="43" spans="1:14" x14ac:dyDescent="0.2">
      <c r="A43" s="20"/>
      <c r="B43" s="434" t="s">
        <v>67</v>
      </c>
      <c r="C43" s="434"/>
      <c r="D43" s="434"/>
      <c r="E43" s="22"/>
      <c r="F43" s="22" t="s">
        <v>1180</v>
      </c>
      <c r="G43" s="22" t="s">
        <v>1484</v>
      </c>
      <c r="H43" s="22" t="s">
        <v>702</v>
      </c>
      <c r="I43" s="22"/>
      <c r="J43" s="44">
        <f>33/ATHENS!O1*ATHENS!O2</f>
        <v>59.999999999999993</v>
      </c>
      <c r="K43" s="44">
        <f>51/ATHENS!O1*ATHENS!O2</f>
        <v>92.72727272727272</v>
      </c>
      <c r="L43" s="44">
        <f>72/ATHENS!O1*ATHENS!O2</f>
        <v>130.90909090909091</v>
      </c>
      <c r="M43" s="44">
        <f>108/ATHENS!O1*ATHENS!O2</f>
        <v>196.36363636363635</v>
      </c>
      <c r="N43" s="42"/>
    </row>
    <row r="44" spans="1:14" x14ac:dyDescent="0.2">
      <c r="A44" s="24"/>
      <c r="B44" s="435" t="s">
        <v>67</v>
      </c>
      <c r="C44" s="435"/>
      <c r="D44" s="435"/>
      <c r="E44" s="28"/>
      <c r="F44" s="28" t="s">
        <v>1181</v>
      </c>
      <c r="G44" s="28" t="s">
        <v>1484</v>
      </c>
      <c r="H44" s="28" t="s">
        <v>702</v>
      </c>
      <c r="I44" s="28"/>
      <c r="J44" s="44">
        <f>23/ATHENS!O1*ATHENS!O2</f>
        <v>41.818181818181813</v>
      </c>
      <c r="K44" s="44">
        <f>36/ATHENS!O1*ATHENS!O2</f>
        <v>65.454545454545453</v>
      </c>
      <c r="L44" s="44">
        <f>42/ATHENS!O1*ATHENS!O2</f>
        <v>76.36363636363636</v>
      </c>
      <c r="M44" s="44">
        <f>57/ATHENS!O1*ATHENS!O2</f>
        <v>103.63636363636363</v>
      </c>
      <c r="N44" s="44"/>
    </row>
    <row r="45" spans="1:14" ht="13.5" thickBot="1" x14ac:dyDescent="0.25">
      <c r="A45" s="30"/>
      <c r="B45" s="443" t="s">
        <v>67</v>
      </c>
      <c r="C45" s="443"/>
      <c r="D45" s="443"/>
      <c r="E45" s="32"/>
      <c r="F45" s="32" t="s">
        <v>1182</v>
      </c>
      <c r="G45" s="32" t="s">
        <v>1484</v>
      </c>
      <c r="H45" s="32" t="s">
        <v>702</v>
      </c>
      <c r="I45" s="32"/>
      <c r="J45" s="46">
        <f>21/ATHENS!O1*ATHENS!O2</f>
        <v>38.18181818181818</v>
      </c>
      <c r="K45" s="46">
        <f>33/ATHENS!O1*ATHENS!O2</f>
        <v>59.999999999999993</v>
      </c>
      <c r="L45" s="46">
        <f>38/ATHENS!O1*ATHENS!O2</f>
        <v>69.090909090909079</v>
      </c>
      <c r="M45" s="46">
        <f>52/ATHENS!O1*ATHENS!O2</f>
        <v>94.545454545454533</v>
      </c>
      <c r="N45" s="46"/>
    </row>
    <row r="46" spans="1:14" x14ac:dyDescent="0.2">
      <c r="A46" s="52"/>
      <c r="B46" s="27"/>
      <c r="C46" s="27"/>
      <c r="D46" s="27"/>
      <c r="E46" s="28"/>
      <c r="F46" s="28"/>
      <c r="G46" s="28"/>
      <c r="H46" s="28"/>
      <c r="I46" s="28"/>
      <c r="J46" s="229"/>
      <c r="K46" s="229"/>
      <c r="L46" s="229"/>
      <c r="M46" s="229"/>
      <c r="N46" s="229"/>
    </row>
    <row r="47" spans="1:14" x14ac:dyDescent="0.2">
      <c r="A47" s="52"/>
      <c r="B47" s="27"/>
      <c r="C47" s="27"/>
      <c r="D47" s="27"/>
      <c r="E47" s="28"/>
      <c r="F47" s="28"/>
      <c r="G47" s="28"/>
      <c r="H47" s="28"/>
      <c r="I47" s="28"/>
      <c r="J47" s="229"/>
      <c r="K47" s="229"/>
      <c r="L47" s="229"/>
      <c r="M47" s="229"/>
      <c r="N47" s="229"/>
    </row>
    <row r="48" spans="1:14" x14ac:dyDescent="0.2">
      <c r="A48" s="52"/>
      <c r="B48" s="27"/>
      <c r="C48" s="27"/>
      <c r="D48" s="27"/>
      <c r="E48" s="28"/>
      <c r="F48" s="28"/>
      <c r="G48" s="28"/>
      <c r="H48" s="28"/>
      <c r="I48" s="28"/>
      <c r="J48" s="229"/>
      <c r="K48" s="229"/>
      <c r="L48" s="229"/>
      <c r="M48" s="229"/>
      <c r="N48" s="229"/>
    </row>
    <row r="49" spans="1:14" x14ac:dyDescent="0.2">
      <c r="A49" s="52"/>
      <c r="B49" s="27"/>
      <c r="C49" s="27"/>
      <c r="D49" s="27"/>
      <c r="E49" s="28"/>
      <c r="F49" s="28"/>
      <c r="G49" s="28"/>
      <c r="H49" s="28"/>
      <c r="I49" s="28"/>
      <c r="J49" s="229"/>
      <c r="K49" s="229"/>
      <c r="L49" s="229"/>
      <c r="M49" s="229"/>
      <c r="N49" s="229"/>
    </row>
    <row r="50" spans="1:14" x14ac:dyDescent="0.2">
      <c r="A50" s="14"/>
      <c r="B50" s="15"/>
      <c r="C50" s="15"/>
      <c r="D50" s="15"/>
      <c r="E50" s="16"/>
      <c r="F50" s="16"/>
      <c r="G50" s="16"/>
      <c r="H50" s="16"/>
      <c r="I50" s="16"/>
      <c r="J50" s="16"/>
      <c r="K50" s="16"/>
      <c r="L50" s="16"/>
      <c r="M50" s="16"/>
      <c r="N50" s="16"/>
    </row>
    <row r="65" spans="1:14" x14ac:dyDescent="0.2">
      <c r="A65" s="14"/>
      <c r="B65" s="15"/>
      <c r="C65" s="15"/>
      <c r="D65" s="15"/>
      <c r="E65" s="16"/>
      <c r="F65" s="16"/>
      <c r="G65" s="16"/>
      <c r="H65" s="16"/>
      <c r="I65" s="16"/>
      <c r="J65" s="16"/>
      <c r="K65" s="16"/>
      <c r="L65" s="16"/>
      <c r="M65" s="16"/>
      <c r="N65" s="16"/>
    </row>
  </sheetData>
  <customSheetViews>
    <customSheetView guid="{3C76061C-A85D-4390-B9DB-73E13038638C}" showPageBreaks="1" showGridLines="0" view="pageLayout">
      <selection activeCell="L15" sqref="L15"/>
      <rowBreaks count="1" manualBreakCount="1">
        <brk id="50" max="16383" man="1"/>
      </rowBreaks>
      <pageMargins left="0.28125" right="0.25" top="0.6692913385826772" bottom="0.70866141732283472" header="0.23622047244094491" footer="0.47244094488188981"/>
      <printOptions horizontalCentered="1"/>
      <pageSetup paperSize="9" firstPageNumber="26" orientation="portrait" useFirstPageNumber="1" r:id="rId1"/>
      <headerFooter scaleWithDoc="0" alignWithMargins="0">
        <oddHeader>&amp;C TARIFF 2019
 (EURO)
Accommodation in &amp;A</oddHeader>
        <oddFooter>&amp;LAll rates are in EURO&amp;C
TARIFF 2019
&amp;RPage &amp;P</oddFooter>
      </headerFooter>
    </customSheetView>
  </customSheetViews>
  <mergeCells count="16">
    <mergeCell ref="B2:M2"/>
    <mergeCell ref="C5:N6"/>
    <mergeCell ref="B11:D11"/>
    <mergeCell ref="B12:D12"/>
    <mergeCell ref="B44:D44"/>
    <mergeCell ref="B18:M18"/>
    <mergeCell ref="C21:N23"/>
    <mergeCell ref="B28:D28"/>
    <mergeCell ref="B13:D13"/>
    <mergeCell ref="B14:D14"/>
    <mergeCell ref="B45:D45"/>
    <mergeCell ref="B33:M33"/>
    <mergeCell ref="B29:D29"/>
    <mergeCell ref="B30:D30"/>
    <mergeCell ref="C36:N38"/>
    <mergeCell ref="B43:D43"/>
  </mergeCells>
  <phoneticPr fontId="17" type="noConversion"/>
  <hyperlinks>
    <hyperlink ref="B18:M18" r:id="rId2" display="Sani Beach" xr:uid="{00000000-0004-0000-0A00-000000000000}"/>
    <hyperlink ref="B2:M2" r:id="rId3" display="Porto Carras Meliton" xr:uid="{00000000-0004-0000-0A00-000001000000}"/>
    <hyperlink ref="B33:M33" r:id="rId4" display="Aristoteles Beach" xr:uid="{00000000-0004-0000-0A00-000002000000}"/>
  </hyperlinks>
  <printOptions horizontalCentered="1"/>
  <pageMargins left="0.28125" right="0.25" top="0.6692913385826772" bottom="0.70866141732283472" header="0.23622047244094491" footer="0.47244094488188981"/>
  <pageSetup paperSize="9" firstPageNumber="26" orientation="portrait" useFirstPageNumber="1" r:id="rId5"/>
  <headerFooter scaleWithDoc="0" alignWithMargins="0">
    <oddHeader xml:space="preserve">&amp;C TARIFF 2021
 (EURO)
</oddHeader>
    <oddFooter>&amp;LAll rates are in EURO&amp;C
TARIFF 2021
&amp;RPage &amp;P</oddFooter>
  </headerFooter>
  <rowBreaks count="1" manualBreakCount="1">
    <brk id="50"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
  <dimension ref="A1:O199"/>
  <sheetViews>
    <sheetView showGridLines="0" view="pageLayout" topLeftCell="A163" zoomScaleNormal="100" workbookViewId="0">
      <selection activeCell="M53" sqref="M53"/>
    </sheetView>
  </sheetViews>
  <sheetFormatPr defaultRowHeight="12.75" x14ac:dyDescent="0.2"/>
  <cols>
    <col min="1" max="1" width="1.85546875" style="17" customWidth="1"/>
    <col min="2" max="3" width="10.7109375" style="17" customWidth="1"/>
    <col min="4" max="9" width="3.7109375" style="17" customWidth="1"/>
    <col min="10" max="14" width="10.7109375" style="17" customWidth="1"/>
    <col min="15" max="15" width="9.5703125" style="90" customWidth="1"/>
    <col min="16" max="16" width="3.7109375" style="17" customWidth="1"/>
    <col min="17" max="17" width="3.28515625" style="17" customWidth="1"/>
    <col min="18" max="19" width="3.140625" style="17" customWidth="1"/>
    <col min="20" max="27" width="2.7109375" style="17" customWidth="1"/>
    <col min="28" max="16384" width="9.140625" style="17"/>
  </cols>
  <sheetData>
    <row r="1" spans="1:14" x14ac:dyDescent="0.2">
      <c r="A1" s="20"/>
      <c r="B1" s="21"/>
      <c r="C1" s="21"/>
      <c r="D1" s="21"/>
      <c r="E1" s="22"/>
      <c r="F1" s="22"/>
      <c r="G1" s="22"/>
      <c r="H1" s="22"/>
      <c r="I1" s="22"/>
      <c r="J1" s="22"/>
      <c r="K1" s="22"/>
      <c r="L1" s="22"/>
      <c r="M1" s="22"/>
      <c r="N1" s="23"/>
    </row>
    <row r="2" spans="1:14" ht="15" x14ac:dyDescent="0.2">
      <c r="A2" s="24"/>
      <c r="B2" s="440" t="s">
        <v>1646</v>
      </c>
      <c r="C2" s="441"/>
      <c r="D2" s="441"/>
      <c r="E2" s="441"/>
      <c r="F2" s="441"/>
      <c r="G2" s="441"/>
      <c r="H2" s="441"/>
      <c r="I2" s="441"/>
      <c r="J2" s="441"/>
      <c r="K2" s="441"/>
      <c r="L2" s="441"/>
      <c r="M2" s="442"/>
      <c r="N2" s="25" t="s">
        <v>91</v>
      </c>
    </row>
    <row r="3" spans="1:14" x14ac:dyDescent="0.2">
      <c r="A3" s="24"/>
      <c r="B3" s="26" t="s">
        <v>428</v>
      </c>
      <c r="C3" s="27" t="s">
        <v>599</v>
      </c>
      <c r="D3" s="27"/>
      <c r="E3" s="28"/>
      <c r="F3" s="28"/>
      <c r="G3" s="28"/>
      <c r="H3" s="28"/>
      <c r="I3" s="28"/>
      <c r="J3" s="28"/>
      <c r="K3" s="28"/>
      <c r="L3" s="28"/>
      <c r="M3" s="28"/>
      <c r="N3" s="29"/>
    </row>
    <row r="4" spans="1:14" x14ac:dyDescent="0.2">
      <c r="A4" s="24"/>
      <c r="B4" s="26" t="s">
        <v>429</v>
      </c>
      <c r="C4" s="27" t="s">
        <v>128</v>
      </c>
      <c r="D4" s="27"/>
      <c r="E4" s="28"/>
      <c r="F4" s="28"/>
      <c r="G4" s="28"/>
      <c r="H4" s="28"/>
      <c r="I4" s="28"/>
      <c r="J4" s="28"/>
      <c r="K4" s="28"/>
      <c r="L4" s="28"/>
      <c r="M4" s="28"/>
      <c r="N4" s="29"/>
    </row>
    <row r="5" spans="1:14" x14ac:dyDescent="0.2">
      <c r="A5" s="24"/>
      <c r="B5" s="26" t="s">
        <v>427</v>
      </c>
      <c r="C5" s="436" t="s">
        <v>470</v>
      </c>
      <c r="D5" s="436"/>
      <c r="E5" s="436"/>
      <c r="F5" s="436"/>
      <c r="G5" s="436"/>
      <c r="H5" s="436"/>
      <c r="I5" s="436"/>
      <c r="J5" s="436"/>
      <c r="K5" s="436"/>
      <c r="L5" s="436"/>
      <c r="M5" s="436"/>
      <c r="N5" s="437"/>
    </row>
    <row r="6" spans="1:14" x14ac:dyDescent="0.2">
      <c r="A6" s="24"/>
      <c r="B6" s="26"/>
      <c r="C6" s="436"/>
      <c r="D6" s="436"/>
      <c r="E6" s="436"/>
      <c r="F6" s="436"/>
      <c r="G6" s="436"/>
      <c r="H6" s="436"/>
      <c r="I6" s="436"/>
      <c r="J6" s="436"/>
      <c r="K6" s="436"/>
      <c r="L6" s="436"/>
      <c r="M6" s="436"/>
      <c r="N6" s="437"/>
    </row>
    <row r="7" spans="1:14" x14ac:dyDescent="0.2">
      <c r="A7" s="24"/>
      <c r="B7" s="26"/>
      <c r="C7" s="436"/>
      <c r="D7" s="436"/>
      <c r="E7" s="436"/>
      <c r="F7" s="436"/>
      <c r="G7" s="436"/>
      <c r="H7" s="436"/>
      <c r="I7" s="436"/>
      <c r="J7" s="436"/>
      <c r="K7" s="436"/>
      <c r="L7" s="436"/>
      <c r="M7" s="436"/>
      <c r="N7" s="437"/>
    </row>
    <row r="8" spans="1:14" x14ac:dyDescent="0.2">
      <c r="A8" s="24"/>
      <c r="B8" s="26"/>
      <c r="C8" s="438"/>
      <c r="D8" s="438"/>
      <c r="E8" s="438"/>
      <c r="F8" s="438"/>
      <c r="G8" s="438"/>
      <c r="H8" s="438"/>
      <c r="I8" s="438"/>
      <c r="J8" s="438"/>
      <c r="K8" s="438"/>
      <c r="L8" s="438"/>
      <c r="M8" s="438"/>
      <c r="N8" s="439"/>
    </row>
    <row r="9" spans="1:14" x14ac:dyDescent="0.2">
      <c r="A9" s="24"/>
      <c r="B9" s="26"/>
      <c r="C9" s="438"/>
      <c r="D9" s="438"/>
      <c r="E9" s="438"/>
      <c r="F9" s="438"/>
      <c r="G9" s="438"/>
      <c r="H9" s="438"/>
      <c r="I9" s="438"/>
      <c r="J9" s="438"/>
      <c r="K9" s="438"/>
      <c r="L9" s="438"/>
      <c r="M9" s="438"/>
      <c r="N9" s="439"/>
    </row>
    <row r="10" spans="1:14" x14ac:dyDescent="0.2">
      <c r="A10" s="24"/>
      <c r="B10" s="26" t="s">
        <v>426</v>
      </c>
      <c r="C10" s="27" t="s">
        <v>1483</v>
      </c>
      <c r="D10" s="27"/>
      <c r="E10" s="28"/>
      <c r="F10" s="28"/>
      <c r="G10" s="28"/>
      <c r="H10" s="28"/>
      <c r="I10" s="28"/>
      <c r="J10" s="28"/>
      <c r="K10" s="28"/>
      <c r="L10" s="28"/>
      <c r="M10" s="28"/>
      <c r="N10" s="29"/>
    </row>
    <row r="11" spans="1:14" ht="13.5" thickBot="1" x14ac:dyDescent="0.25">
      <c r="A11" s="24"/>
      <c r="B11" s="26" t="s">
        <v>430</v>
      </c>
      <c r="C11" s="27"/>
      <c r="D11" s="27"/>
      <c r="E11" s="28"/>
      <c r="F11" s="28"/>
      <c r="G11" s="28"/>
      <c r="H11" s="28"/>
      <c r="I11" s="28"/>
      <c r="J11" s="28"/>
      <c r="K11" s="28"/>
      <c r="L11" s="28"/>
      <c r="M11" s="28"/>
      <c r="N11" s="29"/>
    </row>
    <row r="12" spans="1:14" x14ac:dyDescent="0.2">
      <c r="A12" s="20"/>
      <c r="B12" s="21" t="s">
        <v>263</v>
      </c>
      <c r="C12" s="21"/>
      <c r="D12" s="21"/>
      <c r="E12" s="22"/>
      <c r="F12" s="22"/>
      <c r="G12" s="22"/>
      <c r="H12" s="22"/>
      <c r="I12" s="22"/>
      <c r="J12" s="92" t="s">
        <v>1572</v>
      </c>
      <c r="K12" s="37"/>
      <c r="L12" s="37"/>
      <c r="M12" s="37"/>
      <c r="N12" s="37"/>
    </row>
    <row r="13" spans="1:14" x14ac:dyDescent="0.2">
      <c r="A13" s="24"/>
      <c r="B13" s="27"/>
      <c r="C13" s="27"/>
      <c r="D13" s="27"/>
      <c r="E13" s="28"/>
      <c r="F13" s="28"/>
      <c r="G13" s="28"/>
      <c r="H13" s="28"/>
      <c r="I13" s="28"/>
      <c r="J13" s="224" t="s">
        <v>1977</v>
      </c>
      <c r="K13" s="63"/>
      <c r="L13" s="63"/>
      <c r="M13" s="63"/>
      <c r="N13" s="63"/>
    </row>
    <row r="14" spans="1:14" x14ac:dyDescent="0.2">
      <c r="A14" s="24"/>
      <c r="B14" s="27"/>
      <c r="C14" s="27"/>
      <c r="D14" s="27"/>
      <c r="E14" s="28"/>
      <c r="F14" s="28"/>
      <c r="G14" s="28"/>
      <c r="H14" s="28"/>
      <c r="I14" s="28"/>
      <c r="J14" s="224" t="s">
        <v>758</v>
      </c>
      <c r="K14" s="63" t="s">
        <v>1826</v>
      </c>
      <c r="L14" s="63" t="s">
        <v>1978</v>
      </c>
      <c r="M14" s="63" t="s">
        <v>1979</v>
      </c>
    </row>
    <row r="15" spans="1:14" ht="13.5" thickBot="1" x14ac:dyDescent="0.25">
      <c r="A15" s="30"/>
      <c r="B15" s="31"/>
      <c r="C15" s="31"/>
      <c r="D15" s="31"/>
      <c r="E15" s="32"/>
      <c r="F15" s="32"/>
      <c r="G15" s="32"/>
      <c r="H15" s="32"/>
      <c r="I15" s="32"/>
      <c r="J15" s="49" t="s">
        <v>481</v>
      </c>
      <c r="K15" s="40" t="s">
        <v>514</v>
      </c>
      <c r="L15" s="93" t="s">
        <v>341</v>
      </c>
      <c r="M15" s="40" t="s">
        <v>520</v>
      </c>
    </row>
    <row r="16" spans="1:14" x14ac:dyDescent="0.2">
      <c r="A16" s="20"/>
      <c r="B16" s="434" t="s">
        <v>127</v>
      </c>
      <c r="C16" s="434"/>
      <c r="D16" s="434"/>
      <c r="E16" s="22"/>
      <c r="F16" s="22" t="s">
        <v>1180</v>
      </c>
      <c r="G16" s="22" t="s">
        <v>1484</v>
      </c>
      <c r="H16" s="22" t="s">
        <v>702</v>
      </c>
      <c r="I16" s="23"/>
      <c r="J16" s="74">
        <f>64/ATHENS!O1*ATHENS!O2</f>
        <v>116.36363636363636</v>
      </c>
      <c r="K16" s="74">
        <f>133/ATHENS!O1*ATHENS!O2</f>
        <v>241.81818181818178</v>
      </c>
      <c r="L16" s="74">
        <f>87/ATHENS!O1*ATHENS!O2</f>
        <v>158.18181818181816</v>
      </c>
      <c r="M16" s="74">
        <f>93/ATHENS!O1*ATHENS!O2</f>
        <v>169.09090909090907</v>
      </c>
      <c r="N16" s="42"/>
    </row>
    <row r="17" spans="1:14" x14ac:dyDescent="0.2">
      <c r="A17" s="24"/>
      <c r="B17" s="435" t="s">
        <v>127</v>
      </c>
      <c r="C17" s="435"/>
      <c r="D17" s="435"/>
      <c r="E17" s="28"/>
      <c r="F17" s="28" t="s">
        <v>1181</v>
      </c>
      <c r="G17" s="28" t="s">
        <v>1484</v>
      </c>
      <c r="H17" s="28" t="s">
        <v>702</v>
      </c>
      <c r="I17" s="29"/>
      <c r="J17" s="75">
        <f>40/ATHENS!O1*ATHENS!O2</f>
        <v>72.72727272727272</v>
      </c>
      <c r="K17" s="75">
        <f>83/ATHENS!O1*ATHENS!O2</f>
        <v>150.90909090909091</v>
      </c>
      <c r="L17" s="75">
        <f>54/ATHENS!O1*ATHENS!O2</f>
        <v>98.181818181818173</v>
      </c>
      <c r="M17" s="75">
        <f>58/ATHENS!O1*ATHENS!O2</f>
        <v>105.45454545454544</v>
      </c>
      <c r="N17" s="44"/>
    </row>
    <row r="18" spans="1:14" x14ac:dyDescent="0.2">
      <c r="A18" s="24"/>
      <c r="B18" s="435" t="s">
        <v>127</v>
      </c>
      <c r="C18" s="435"/>
      <c r="D18" s="435"/>
      <c r="E18" s="28"/>
      <c r="F18" s="28" t="s">
        <v>1182</v>
      </c>
      <c r="G18" s="28" t="s">
        <v>1484</v>
      </c>
      <c r="H18" s="28" t="s">
        <v>702</v>
      </c>
      <c r="I18" s="29"/>
      <c r="J18" s="75">
        <f>36/ATHENS!O1*ATHENS!O2</f>
        <v>65.454545454545453</v>
      </c>
      <c r="K18" s="75">
        <f>74.7/ATHENS!O1*ATHENS!O2</f>
        <v>135.81818181818181</v>
      </c>
      <c r="L18" s="75">
        <f>48.6/ATHENS!O1*ATHENS!O2</f>
        <v>88.36363636363636</v>
      </c>
      <c r="M18" s="75">
        <f>52.5/ATHENS!O1*ATHENS!O2</f>
        <v>95.454545454545453</v>
      </c>
      <c r="N18" s="44"/>
    </row>
    <row r="19" spans="1:14" x14ac:dyDescent="0.2">
      <c r="A19" s="24"/>
      <c r="B19" s="435" t="s">
        <v>863</v>
      </c>
      <c r="C19" s="435"/>
      <c r="D19" s="435"/>
      <c r="E19" s="28"/>
      <c r="F19" s="28" t="s">
        <v>1180</v>
      </c>
      <c r="G19" s="28" t="s">
        <v>1484</v>
      </c>
      <c r="H19" s="28" t="s">
        <v>702</v>
      </c>
      <c r="I19" s="29"/>
      <c r="J19" s="75">
        <f>72/ATHENS!O1*ATHENS!O2</f>
        <v>130.90909090909091</v>
      </c>
      <c r="K19" s="75">
        <f>141/ATHENS!O1*ATHENS!O2</f>
        <v>256.36363636363632</v>
      </c>
      <c r="L19" s="75">
        <f>95/ATHENS!O1*ATHENS!O2</f>
        <v>172.72727272727272</v>
      </c>
      <c r="M19" s="75">
        <f>101/ATHENS!O1*ATHENS!O2</f>
        <v>183.63636363636363</v>
      </c>
      <c r="N19" s="44"/>
    </row>
    <row r="20" spans="1:14" x14ac:dyDescent="0.2">
      <c r="A20" s="24"/>
      <c r="B20" s="435" t="s">
        <v>863</v>
      </c>
      <c r="C20" s="435"/>
      <c r="D20" s="435"/>
      <c r="E20" s="28"/>
      <c r="F20" s="28" t="s">
        <v>1181</v>
      </c>
      <c r="G20" s="28" t="s">
        <v>1484</v>
      </c>
      <c r="H20" s="28" t="s">
        <v>702</v>
      </c>
      <c r="I20" s="29"/>
      <c r="J20" s="75">
        <f>45/ATHENS!O1*ATHENS!O2</f>
        <v>81.818181818181813</v>
      </c>
      <c r="K20" s="75">
        <f>88/ATHENS!O1*ATHENS!O2</f>
        <v>160</v>
      </c>
      <c r="L20" s="75">
        <f>59/ATHENS!O1*ATHENS!O2</f>
        <v>107.27272727272727</v>
      </c>
      <c r="M20" s="75">
        <f>63/ATHENS!O1*ATHENS!O2</f>
        <v>114.54545454545453</v>
      </c>
      <c r="N20" s="44"/>
    </row>
    <row r="21" spans="1:14" ht="13.5" thickBot="1" x14ac:dyDescent="0.25">
      <c r="A21" s="30"/>
      <c r="B21" s="443" t="s">
        <v>863</v>
      </c>
      <c r="C21" s="443"/>
      <c r="D21" s="443"/>
      <c r="E21" s="32"/>
      <c r="F21" s="32" t="s">
        <v>1182</v>
      </c>
      <c r="G21" s="32" t="s">
        <v>1484</v>
      </c>
      <c r="H21" s="32" t="s">
        <v>702</v>
      </c>
      <c r="I21" s="33"/>
      <c r="J21" s="76">
        <f>40.5/ATHENS!O1*ATHENS!O2</f>
        <v>73.636363636363626</v>
      </c>
      <c r="K21" s="76">
        <f>79.5/ATHENS!O1*ATHENS!O2</f>
        <v>144.54545454545453</v>
      </c>
      <c r="L21" s="76">
        <f>53.5/ATHENS!O1*ATHENS!O2</f>
        <v>97.272727272727266</v>
      </c>
      <c r="M21" s="76">
        <f>56.7/ATHENS!O1*ATHENS!O2</f>
        <v>103.09090909090909</v>
      </c>
      <c r="N21" s="46"/>
    </row>
    <row r="22" spans="1:14" ht="13.5" thickBot="1" x14ac:dyDescent="0.25">
      <c r="A22" s="14"/>
      <c r="B22" s="15"/>
      <c r="C22" s="15"/>
      <c r="D22" s="15"/>
      <c r="E22" s="16"/>
      <c r="F22" s="16"/>
      <c r="G22" s="16"/>
      <c r="H22" s="16"/>
      <c r="I22" s="16"/>
      <c r="J22" s="16"/>
      <c r="K22" s="16"/>
      <c r="L22" s="16"/>
      <c r="M22" s="16"/>
      <c r="N22" s="16"/>
    </row>
    <row r="23" spans="1:14" x14ac:dyDescent="0.2">
      <c r="A23" s="20"/>
      <c r="B23" s="21"/>
      <c r="C23" s="21"/>
      <c r="D23" s="21"/>
      <c r="E23" s="22"/>
      <c r="F23" s="22"/>
      <c r="G23" s="22"/>
      <c r="H23" s="22"/>
      <c r="I23" s="22"/>
      <c r="J23" s="22"/>
      <c r="K23" s="22"/>
      <c r="L23" s="22"/>
      <c r="M23" s="22"/>
      <c r="N23" s="23"/>
    </row>
    <row r="24" spans="1:14" ht="15" x14ac:dyDescent="0.2">
      <c r="A24" s="24"/>
      <c r="B24" s="440" t="s">
        <v>1485</v>
      </c>
      <c r="C24" s="441"/>
      <c r="D24" s="441"/>
      <c r="E24" s="441"/>
      <c r="F24" s="441"/>
      <c r="G24" s="441"/>
      <c r="H24" s="441"/>
      <c r="I24" s="441"/>
      <c r="J24" s="441"/>
      <c r="K24" s="441"/>
      <c r="L24" s="441"/>
      <c r="M24" s="442"/>
      <c r="N24" s="25" t="s">
        <v>91</v>
      </c>
    </row>
    <row r="25" spans="1:14" x14ac:dyDescent="0.2">
      <c r="A25" s="24"/>
      <c r="B25" s="26" t="s">
        <v>428</v>
      </c>
      <c r="C25" s="27" t="s">
        <v>1486</v>
      </c>
      <c r="D25" s="27"/>
      <c r="E25" s="28"/>
      <c r="F25" s="28"/>
      <c r="G25" s="28"/>
      <c r="H25" s="28"/>
      <c r="I25" s="28"/>
      <c r="J25" s="28"/>
      <c r="K25" s="28"/>
      <c r="L25" s="28"/>
      <c r="M25" s="28"/>
      <c r="N25" s="29"/>
    </row>
    <row r="26" spans="1:14" x14ac:dyDescent="0.2">
      <c r="A26" s="24"/>
      <c r="B26" s="26" t="s">
        <v>429</v>
      </c>
      <c r="C26" s="27" t="s">
        <v>129</v>
      </c>
      <c r="D26" s="27"/>
      <c r="E26" s="28"/>
      <c r="F26" s="28"/>
      <c r="G26" s="28"/>
      <c r="H26" s="28"/>
      <c r="I26" s="28"/>
      <c r="J26" s="28"/>
      <c r="K26" s="28"/>
      <c r="L26" s="28"/>
      <c r="M26" s="28"/>
      <c r="N26" s="29"/>
    </row>
    <row r="27" spans="1:14" x14ac:dyDescent="0.2">
      <c r="A27" s="24"/>
      <c r="B27" s="26" t="s">
        <v>427</v>
      </c>
      <c r="C27" s="436" t="s">
        <v>471</v>
      </c>
      <c r="D27" s="436"/>
      <c r="E27" s="436"/>
      <c r="F27" s="436"/>
      <c r="G27" s="436"/>
      <c r="H27" s="436"/>
      <c r="I27" s="436"/>
      <c r="J27" s="436"/>
      <c r="K27" s="436"/>
      <c r="L27" s="436"/>
      <c r="M27" s="436"/>
      <c r="N27" s="437"/>
    </row>
    <row r="28" spans="1:14" x14ac:dyDescent="0.2">
      <c r="A28" s="24"/>
      <c r="B28" s="26"/>
      <c r="C28" s="436"/>
      <c r="D28" s="436"/>
      <c r="E28" s="436"/>
      <c r="F28" s="436"/>
      <c r="G28" s="436"/>
      <c r="H28" s="436"/>
      <c r="I28" s="436"/>
      <c r="J28" s="436"/>
      <c r="K28" s="436"/>
      <c r="L28" s="436"/>
      <c r="M28" s="436"/>
      <c r="N28" s="437"/>
    </row>
    <row r="29" spans="1:14" x14ac:dyDescent="0.2">
      <c r="A29" s="24"/>
      <c r="B29" s="26"/>
      <c r="C29" s="436"/>
      <c r="D29" s="436"/>
      <c r="E29" s="436"/>
      <c r="F29" s="436"/>
      <c r="G29" s="436"/>
      <c r="H29" s="436"/>
      <c r="I29" s="436"/>
      <c r="J29" s="436"/>
      <c r="K29" s="436"/>
      <c r="L29" s="436"/>
      <c r="M29" s="436"/>
      <c r="N29" s="437"/>
    </row>
    <row r="30" spans="1:14" x14ac:dyDescent="0.2">
      <c r="A30" s="24"/>
      <c r="B30" s="26"/>
      <c r="C30" s="438"/>
      <c r="D30" s="438"/>
      <c r="E30" s="438"/>
      <c r="F30" s="438"/>
      <c r="G30" s="438"/>
      <c r="H30" s="438"/>
      <c r="I30" s="438"/>
      <c r="J30" s="438"/>
      <c r="K30" s="438"/>
      <c r="L30" s="438"/>
      <c r="M30" s="438"/>
      <c r="N30" s="439"/>
    </row>
    <row r="31" spans="1:14" x14ac:dyDescent="0.2">
      <c r="A31" s="24"/>
      <c r="B31" s="26" t="s">
        <v>426</v>
      </c>
      <c r="C31" s="27" t="s">
        <v>205</v>
      </c>
      <c r="D31" s="27"/>
      <c r="E31" s="28"/>
      <c r="F31" s="28"/>
      <c r="G31" s="28"/>
      <c r="H31" s="28"/>
      <c r="I31" s="28"/>
      <c r="J31" s="28"/>
      <c r="K31" s="28"/>
      <c r="L31" s="28"/>
      <c r="M31" s="28"/>
      <c r="N31" s="29"/>
    </row>
    <row r="32" spans="1:14" ht="13.5" thickBot="1" x14ac:dyDescent="0.25">
      <c r="A32" s="24"/>
      <c r="B32" s="26" t="s">
        <v>430</v>
      </c>
      <c r="C32" s="27"/>
      <c r="D32" s="27"/>
      <c r="E32" s="28"/>
      <c r="F32" s="28"/>
      <c r="G32" s="28"/>
      <c r="H32" s="28"/>
      <c r="I32" s="28"/>
      <c r="J32" s="28"/>
      <c r="K32" s="28"/>
      <c r="L32" s="28"/>
      <c r="M32" s="28"/>
      <c r="N32" s="29"/>
    </row>
    <row r="33" spans="1:14" x14ac:dyDescent="0.2">
      <c r="A33" s="20"/>
      <c r="B33" s="21" t="s">
        <v>263</v>
      </c>
      <c r="C33" s="21"/>
      <c r="D33" s="21"/>
      <c r="E33" s="22"/>
      <c r="F33" s="22"/>
      <c r="G33" s="22"/>
      <c r="H33" s="22"/>
      <c r="I33" s="22"/>
      <c r="J33" s="48"/>
      <c r="K33" s="37" t="s">
        <v>2163</v>
      </c>
      <c r="L33" s="48" t="s">
        <v>173</v>
      </c>
      <c r="M33" s="37" t="s">
        <v>175</v>
      </c>
      <c r="N33" s="37"/>
    </row>
    <row r="34" spans="1:14" ht="13.5" thickBot="1" x14ac:dyDescent="0.25">
      <c r="A34" s="30"/>
      <c r="B34" s="31"/>
      <c r="C34" s="31"/>
      <c r="D34" s="31"/>
      <c r="E34" s="32"/>
      <c r="F34" s="32"/>
      <c r="G34" s="32"/>
      <c r="H34" s="32"/>
      <c r="I34" s="32"/>
      <c r="J34" s="49" t="s">
        <v>1572</v>
      </c>
      <c r="K34" s="40" t="s">
        <v>79</v>
      </c>
      <c r="L34" s="49" t="s">
        <v>174</v>
      </c>
      <c r="M34" s="40" t="s">
        <v>176</v>
      </c>
      <c r="N34" s="40" t="s">
        <v>480</v>
      </c>
    </row>
    <row r="35" spans="1:14" x14ac:dyDescent="0.2">
      <c r="A35" s="20"/>
      <c r="B35" s="434" t="s">
        <v>67</v>
      </c>
      <c r="C35" s="434"/>
      <c r="D35" s="434"/>
      <c r="E35" s="22"/>
      <c r="F35" s="22" t="s">
        <v>1180</v>
      </c>
      <c r="G35" s="22" t="s">
        <v>68</v>
      </c>
      <c r="H35" s="22" t="s">
        <v>702</v>
      </c>
      <c r="I35" s="22"/>
      <c r="J35" s="74">
        <f>82.5/ATHENS!O1*ATHENS!O2</f>
        <v>150</v>
      </c>
      <c r="K35" s="74">
        <f>97.5/ATHENS!O1*ATHENS!O2</f>
        <v>177.27272727272725</v>
      </c>
      <c r="L35" s="74">
        <f>110.9/ATHENS!O1*ATHENS!O2</f>
        <v>201.63636363636363</v>
      </c>
      <c r="M35" s="74">
        <f>135.5/ATHENS!O1*ATHENS!O2</f>
        <v>246.36363636363635</v>
      </c>
      <c r="N35" s="42">
        <f>156/ATHENS!O1*ATHENS!O2</f>
        <v>283.63636363636363</v>
      </c>
    </row>
    <row r="36" spans="1:14" x14ac:dyDescent="0.2">
      <c r="A36" s="24"/>
      <c r="B36" s="435" t="s">
        <v>67</v>
      </c>
      <c r="C36" s="435"/>
      <c r="D36" s="435"/>
      <c r="E36" s="28"/>
      <c r="F36" s="28" t="s">
        <v>1181</v>
      </c>
      <c r="G36" s="28" t="s">
        <v>68</v>
      </c>
      <c r="H36" s="28" t="s">
        <v>702</v>
      </c>
      <c r="I36" s="28"/>
      <c r="J36" s="75">
        <f>52.5/ATHENS!O1*ATHENS!O2</f>
        <v>95.454545454545453</v>
      </c>
      <c r="K36" s="75">
        <f>65.5/ATHENS!O1*ATHENS!O2</f>
        <v>119.09090909090908</v>
      </c>
      <c r="L36" s="75">
        <f>74.5/ATHENS!O1*ATHENS!O2</f>
        <v>135.45454545454544</v>
      </c>
      <c r="M36" s="75">
        <f>90.5/ATHENS!O1*ATHENS!O2</f>
        <v>164.54545454545453</v>
      </c>
      <c r="N36" s="44">
        <f>104/ATHENS!O1*ATHENS!O2</f>
        <v>189.09090909090907</v>
      </c>
    </row>
    <row r="37" spans="1:14" x14ac:dyDescent="0.2">
      <c r="A37" s="24"/>
      <c r="B37" s="435" t="s">
        <v>67</v>
      </c>
      <c r="C37" s="435"/>
      <c r="D37" s="435"/>
      <c r="E37" s="28"/>
      <c r="F37" s="28" t="s">
        <v>1182</v>
      </c>
      <c r="G37" s="28" t="s">
        <v>68</v>
      </c>
      <c r="H37" s="28" t="s">
        <v>702</v>
      </c>
      <c r="I37" s="28"/>
      <c r="J37" s="75">
        <f>47.5/ATHENS!O1*ATHENS!O2</f>
        <v>86.36363636363636</v>
      </c>
      <c r="K37" s="75">
        <f>59.5/ATHENS!O1*ATHENS!O2</f>
        <v>108.18181818181817</v>
      </c>
      <c r="L37" s="75">
        <f>67.5/ATHENS!O1*ATHENS!O2</f>
        <v>122.72727272727272</v>
      </c>
      <c r="M37" s="75">
        <f>81.5/ATHENS!O1*ATHENS!O2</f>
        <v>148.18181818181816</v>
      </c>
      <c r="N37" s="44">
        <f>94/ATHENS!O1*ATHENS!O2</f>
        <v>170.90909090909091</v>
      </c>
    </row>
    <row r="38" spans="1:14" ht="13.5" thickBot="1" x14ac:dyDescent="0.25">
      <c r="A38" s="30"/>
      <c r="B38" s="443" t="s">
        <v>902</v>
      </c>
      <c r="C38" s="443"/>
      <c r="D38" s="443"/>
      <c r="E38" s="32"/>
      <c r="F38" s="32"/>
      <c r="G38" s="32"/>
      <c r="H38" s="32"/>
      <c r="I38" s="32"/>
      <c r="J38" s="76" t="s">
        <v>864</v>
      </c>
      <c r="K38" s="76">
        <f>26/ATHENS!O1*ATHENS!O2</f>
        <v>47.272727272727266</v>
      </c>
      <c r="L38" s="76">
        <f>26/ATHENS!O1*ATHENS!O2</f>
        <v>47.272727272727266</v>
      </c>
      <c r="M38" s="76">
        <f>26/ATHENS!O1*ATHENS!O2</f>
        <v>47.272727272727266</v>
      </c>
      <c r="N38" s="46">
        <f>26/ATHENS!O1*ATHENS!O2</f>
        <v>47.272727272727266</v>
      </c>
    </row>
    <row r="39" spans="1:14" ht="13.5" thickBot="1" x14ac:dyDescent="0.25">
      <c r="A39" s="14"/>
      <c r="B39" s="15"/>
      <c r="C39" s="15"/>
      <c r="D39" s="15"/>
      <c r="E39" s="16"/>
      <c r="F39" s="16"/>
      <c r="G39" s="16"/>
      <c r="H39" s="16"/>
      <c r="I39" s="16"/>
      <c r="J39" s="16"/>
      <c r="K39" s="16"/>
      <c r="L39" s="16"/>
      <c r="M39" s="16"/>
      <c r="N39" s="16"/>
    </row>
    <row r="40" spans="1:14" x14ac:dyDescent="0.2">
      <c r="A40" s="20"/>
      <c r="B40" s="21"/>
      <c r="C40" s="21"/>
      <c r="D40" s="21"/>
      <c r="E40" s="22"/>
      <c r="F40" s="22"/>
      <c r="G40" s="22"/>
      <c r="H40" s="22"/>
      <c r="I40" s="22"/>
      <c r="J40" s="22"/>
      <c r="K40" s="22"/>
      <c r="L40" s="22"/>
      <c r="M40" s="22"/>
      <c r="N40" s="23"/>
    </row>
    <row r="41" spans="1:14" ht="15" x14ac:dyDescent="0.2">
      <c r="A41" s="24"/>
      <c r="B41" s="440" t="s">
        <v>1086</v>
      </c>
      <c r="C41" s="441"/>
      <c r="D41" s="441"/>
      <c r="E41" s="441"/>
      <c r="F41" s="441"/>
      <c r="G41" s="441"/>
      <c r="H41" s="441"/>
      <c r="I41" s="441"/>
      <c r="J41" s="441"/>
      <c r="K41" s="441"/>
      <c r="L41" s="441"/>
      <c r="M41" s="442"/>
      <c r="N41" s="25" t="s">
        <v>91</v>
      </c>
    </row>
    <row r="42" spans="1:14" x14ac:dyDescent="0.2">
      <c r="A42" s="24"/>
      <c r="B42" s="26" t="s">
        <v>428</v>
      </c>
      <c r="C42" s="27" t="s">
        <v>1087</v>
      </c>
      <c r="D42" s="27"/>
      <c r="E42" s="28"/>
      <c r="F42" s="28"/>
      <c r="G42" s="28"/>
      <c r="H42" s="28"/>
      <c r="I42" s="28"/>
      <c r="J42" s="28"/>
      <c r="K42" s="28"/>
      <c r="L42" s="28"/>
      <c r="M42" s="28"/>
      <c r="N42" s="29"/>
    </row>
    <row r="43" spans="1:14" x14ac:dyDescent="0.2">
      <c r="A43" s="24"/>
      <c r="B43" s="26" t="s">
        <v>429</v>
      </c>
      <c r="C43" s="27" t="s">
        <v>376</v>
      </c>
      <c r="D43" s="27"/>
      <c r="E43" s="28"/>
      <c r="F43" s="28"/>
      <c r="G43" s="28"/>
      <c r="H43" s="28"/>
      <c r="I43" s="28"/>
      <c r="J43" s="28"/>
      <c r="K43" s="28"/>
      <c r="L43" s="28"/>
      <c r="M43" s="28"/>
      <c r="N43" s="29"/>
    </row>
    <row r="44" spans="1:14" x14ac:dyDescent="0.2">
      <c r="A44" s="24"/>
      <c r="B44" s="26" t="s">
        <v>427</v>
      </c>
      <c r="C44" s="436" t="s">
        <v>472</v>
      </c>
      <c r="D44" s="436"/>
      <c r="E44" s="436"/>
      <c r="F44" s="436"/>
      <c r="G44" s="436"/>
      <c r="H44" s="436"/>
      <c r="I44" s="436"/>
      <c r="J44" s="436"/>
      <c r="K44" s="436"/>
      <c r="L44" s="436"/>
      <c r="M44" s="436"/>
      <c r="N44" s="437"/>
    </row>
    <row r="45" spans="1:14" x14ac:dyDescent="0.2">
      <c r="A45" s="24"/>
      <c r="B45" s="15"/>
      <c r="C45" s="436"/>
      <c r="D45" s="436"/>
      <c r="E45" s="436"/>
      <c r="F45" s="436"/>
      <c r="G45" s="436"/>
      <c r="H45" s="436"/>
      <c r="I45" s="436"/>
      <c r="J45" s="436"/>
      <c r="K45" s="436"/>
      <c r="L45" s="436"/>
      <c r="M45" s="436"/>
      <c r="N45" s="437"/>
    </row>
    <row r="46" spans="1:14" x14ac:dyDescent="0.2">
      <c r="A46" s="24"/>
      <c r="B46" s="15"/>
      <c r="C46" s="436"/>
      <c r="D46" s="436"/>
      <c r="E46" s="436"/>
      <c r="F46" s="436"/>
      <c r="G46" s="436"/>
      <c r="H46" s="436"/>
      <c r="I46" s="436"/>
      <c r="J46" s="436"/>
      <c r="K46" s="436"/>
      <c r="L46" s="436"/>
      <c r="M46" s="436"/>
      <c r="N46" s="437"/>
    </row>
    <row r="47" spans="1:14" x14ac:dyDescent="0.2">
      <c r="A47" s="24"/>
      <c r="B47" s="15"/>
      <c r="C47" s="438"/>
      <c r="D47" s="438"/>
      <c r="E47" s="438"/>
      <c r="F47" s="438"/>
      <c r="G47" s="438"/>
      <c r="H47" s="438"/>
      <c r="I47" s="438"/>
      <c r="J47" s="438"/>
      <c r="K47" s="438"/>
      <c r="L47" s="438"/>
      <c r="M47" s="438"/>
      <c r="N47" s="439"/>
    </row>
    <row r="48" spans="1:14" x14ac:dyDescent="0.2">
      <c r="A48" s="24"/>
      <c r="B48" s="15"/>
      <c r="C48" s="438"/>
      <c r="D48" s="438"/>
      <c r="E48" s="438"/>
      <c r="F48" s="438"/>
      <c r="G48" s="438"/>
      <c r="H48" s="438"/>
      <c r="I48" s="438"/>
      <c r="J48" s="438"/>
      <c r="K48" s="438"/>
      <c r="L48" s="438"/>
      <c r="M48" s="438"/>
      <c r="N48" s="439"/>
    </row>
    <row r="49" spans="1:14" x14ac:dyDescent="0.2">
      <c r="A49" s="24"/>
      <c r="B49" s="15"/>
      <c r="C49" s="438"/>
      <c r="D49" s="438"/>
      <c r="E49" s="438"/>
      <c r="F49" s="438"/>
      <c r="G49" s="438"/>
      <c r="H49" s="438"/>
      <c r="I49" s="438"/>
      <c r="J49" s="438"/>
      <c r="K49" s="438"/>
      <c r="L49" s="438"/>
      <c r="M49" s="438"/>
      <c r="N49" s="439"/>
    </row>
    <row r="50" spans="1:14" x14ac:dyDescent="0.2">
      <c r="A50" s="24"/>
      <c r="B50" s="15"/>
      <c r="C50" s="438"/>
      <c r="D50" s="438"/>
      <c r="E50" s="438"/>
      <c r="F50" s="438"/>
      <c r="G50" s="438"/>
      <c r="H50" s="438"/>
      <c r="I50" s="438"/>
      <c r="J50" s="438"/>
      <c r="K50" s="438"/>
      <c r="L50" s="438"/>
      <c r="M50" s="438"/>
      <c r="N50" s="439"/>
    </row>
    <row r="51" spans="1:14" ht="13.5" thickBot="1" x14ac:dyDescent="0.25">
      <c r="A51" s="24"/>
      <c r="B51" s="26" t="s">
        <v>426</v>
      </c>
      <c r="C51" s="27" t="s">
        <v>592</v>
      </c>
      <c r="D51" s="27"/>
      <c r="E51" s="28"/>
      <c r="F51" s="28"/>
      <c r="G51" s="28"/>
      <c r="H51" s="28"/>
      <c r="I51" s="28"/>
      <c r="J51" s="28"/>
      <c r="K51" s="28"/>
      <c r="L51" s="28"/>
      <c r="M51" s="28"/>
      <c r="N51" s="29"/>
    </row>
    <row r="52" spans="1:14" x14ac:dyDescent="0.2">
      <c r="A52" s="20"/>
      <c r="B52" s="21" t="s">
        <v>263</v>
      </c>
      <c r="C52" s="21"/>
      <c r="D52" s="21"/>
      <c r="E52" s="22"/>
      <c r="F52" s="22"/>
      <c r="G52" s="22"/>
      <c r="H52" s="22"/>
      <c r="I52" s="22"/>
      <c r="J52" s="48" t="s">
        <v>2164</v>
      </c>
      <c r="K52" s="37" t="s">
        <v>2024</v>
      </c>
      <c r="L52" s="37" t="s">
        <v>2166</v>
      </c>
      <c r="M52" s="37" t="s">
        <v>2168</v>
      </c>
      <c r="N52" s="37"/>
    </row>
    <row r="53" spans="1:14" ht="13.5" thickBot="1" x14ac:dyDescent="0.25">
      <c r="A53" s="30"/>
      <c r="B53" s="31"/>
      <c r="C53" s="31"/>
      <c r="D53" s="31"/>
      <c r="E53" s="32"/>
      <c r="F53" s="32"/>
      <c r="G53" s="32"/>
      <c r="H53" s="32"/>
      <c r="I53" s="32"/>
      <c r="J53" s="49" t="s">
        <v>2165</v>
      </c>
      <c r="K53" s="40" t="s">
        <v>2027</v>
      </c>
      <c r="L53" s="40" t="s">
        <v>2167</v>
      </c>
      <c r="M53" s="40" t="s">
        <v>755</v>
      </c>
      <c r="N53" s="40" t="s">
        <v>2161</v>
      </c>
    </row>
    <row r="54" spans="1:14" x14ac:dyDescent="0.2">
      <c r="A54" s="20"/>
      <c r="B54" s="434" t="s">
        <v>67</v>
      </c>
      <c r="C54" s="434"/>
      <c r="D54" s="434"/>
      <c r="E54" s="22"/>
      <c r="F54" s="22" t="s">
        <v>1180</v>
      </c>
      <c r="G54" s="22" t="s">
        <v>68</v>
      </c>
      <c r="H54" s="22" t="s">
        <v>702</v>
      </c>
      <c r="I54" s="22"/>
      <c r="J54" s="74">
        <f>60.7/ATHENS!O1*ATHENS!O2</f>
        <v>110.36363636363636</v>
      </c>
      <c r="K54" s="74">
        <f>88.5/ATHENS!O1*ATHENS!O2</f>
        <v>160.90909090909091</v>
      </c>
      <c r="L54" s="74">
        <f>116.5/ATHENS!O1*ATHENS!O2</f>
        <v>211.81818181818181</v>
      </c>
      <c r="M54" s="74">
        <f>135.5/ATHENS!O1*ATHENS!O2</f>
        <v>246.36363636363635</v>
      </c>
      <c r="N54" s="74">
        <f>178.5/ATHENS!O1*ATHENS!O2</f>
        <v>324.5454545454545</v>
      </c>
    </row>
    <row r="55" spans="1:14" x14ac:dyDescent="0.2">
      <c r="A55" s="24"/>
      <c r="B55" s="435" t="s">
        <v>67</v>
      </c>
      <c r="C55" s="435"/>
      <c r="D55" s="435"/>
      <c r="E55" s="28"/>
      <c r="F55" s="28" t="s">
        <v>1181</v>
      </c>
      <c r="G55" s="28" t="s">
        <v>68</v>
      </c>
      <c r="H55" s="28" t="s">
        <v>702</v>
      </c>
      <c r="I55" s="28"/>
      <c r="J55" s="75">
        <f>43.5/ATHENS!O1*ATHENS!O2</f>
        <v>79.090909090909079</v>
      </c>
      <c r="K55" s="75">
        <f>57.5/ATHENS!O1*ATHENS!O2</f>
        <v>104.54545454545453</v>
      </c>
      <c r="L55" s="75">
        <f>74.5/ATHENS!O1*ATHENS!O2</f>
        <v>135.45454545454544</v>
      </c>
      <c r="M55" s="75">
        <f>83.9/ATHENS!O1*ATHENS!O2</f>
        <v>152.54545454545453</v>
      </c>
      <c r="N55" s="75">
        <f>105.9/ATHENS!O1*ATHENS!O2</f>
        <v>192.54545454545453</v>
      </c>
    </row>
    <row r="56" spans="1:14" x14ac:dyDescent="0.2">
      <c r="A56" s="24"/>
      <c r="B56" s="435" t="s">
        <v>67</v>
      </c>
      <c r="C56" s="435"/>
      <c r="D56" s="435"/>
      <c r="E56" s="28"/>
      <c r="F56" s="28" t="s">
        <v>1182</v>
      </c>
      <c r="G56" s="28" t="s">
        <v>68</v>
      </c>
      <c r="H56" s="28" t="s">
        <v>702</v>
      </c>
      <c r="I56" s="28"/>
      <c r="J56" s="75">
        <f>33.7/ATHENS!O1*ATHENS!O2</f>
        <v>61.272727272727273</v>
      </c>
      <c r="K56" s="75">
        <f>46.5/ATHENS!O1*ATHENS!O2</f>
        <v>84.545454545454533</v>
      </c>
      <c r="L56" s="75">
        <f>62.5/ATHENS!O1*ATHENS!O2</f>
        <v>113.63636363636363</v>
      </c>
      <c r="M56" s="75">
        <f>72.7/ATHENS!O1*ATHENS!O2</f>
        <v>132.18181818181819</v>
      </c>
      <c r="N56" s="75">
        <f>95.5/ATHENS!O1*ATHENS!O2</f>
        <v>173.63636363636363</v>
      </c>
    </row>
    <row r="57" spans="1:14" x14ac:dyDescent="0.2">
      <c r="A57" s="24"/>
      <c r="B57" s="435" t="s">
        <v>593</v>
      </c>
      <c r="C57" s="435"/>
      <c r="D57" s="435"/>
      <c r="E57" s="28"/>
      <c r="F57" s="28" t="s">
        <v>1181</v>
      </c>
      <c r="G57" s="28" t="s">
        <v>68</v>
      </c>
      <c r="H57" s="28" t="s">
        <v>702</v>
      </c>
      <c r="I57" s="28"/>
      <c r="J57" s="75">
        <f>47.7/ATHENS!O1*ATHENS!O2</f>
        <v>86.72727272727272</v>
      </c>
      <c r="K57" s="75">
        <f>62.9/ATHENS!O1*ATHENS!O2</f>
        <v>114.36363636363635</v>
      </c>
      <c r="L57" s="75">
        <f>82.5/ATHENS!O1*ATHENS!O2</f>
        <v>150</v>
      </c>
      <c r="M57" s="75">
        <f>83.9/ATHENS!O1*ATHENS!O2</f>
        <v>152.54545454545453</v>
      </c>
      <c r="N57" s="75">
        <f>112.6/ATHENS!O1*ATHENS!O2</f>
        <v>204.72727272727269</v>
      </c>
    </row>
    <row r="58" spans="1:14" x14ac:dyDescent="0.2">
      <c r="A58" s="24"/>
      <c r="B58" s="435" t="s">
        <v>593</v>
      </c>
      <c r="C58" s="435"/>
      <c r="D58" s="435"/>
      <c r="E58" s="28"/>
      <c r="F58" s="28" t="s">
        <v>1182</v>
      </c>
      <c r="G58" s="28" t="s">
        <v>68</v>
      </c>
      <c r="H58" s="28" t="s">
        <v>702</v>
      </c>
      <c r="I58" s="28"/>
      <c r="J58" s="75">
        <f>36.8/ATHENS!O1*ATHENS!O2</f>
        <v>66.909090909090892</v>
      </c>
      <c r="K58" s="75">
        <f>50.5/ATHENS!O1*ATHENS!O2</f>
        <v>91.818181818181813</v>
      </c>
      <c r="L58" s="75">
        <f>69.5/ATHENS!O1*ATHENS!O2</f>
        <v>126.36363636363636</v>
      </c>
      <c r="M58" s="75">
        <f>72.7/ATHENS!O1*ATHENS!O2</f>
        <v>132.18181818181819</v>
      </c>
      <c r="N58" s="75">
        <f>101.6/ATHENS!O1*ATHENS!O2</f>
        <v>184.72727272727269</v>
      </c>
    </row>
    <row r="59" spans="1:14" x14ac:dyDescent="0.2">
      <c r="A59" s="24"/>
      <c r="B59" s="435" t="s">
        <v>863</v>
      </c>
      <c r="C59" s="435"/>
      <c r="D59" s="435"/>
      <c r="E59" s="28"/>
      <c r="F59" s="28" t="s">
        <v>1181</v>
      </c>
      <c r="G59" s="28" t="s">
        <v>68</v>
      </c>
      <c r="H59" s="28" t="s">
        <v>702</v>
      </c>
      <c r="I59" s="28"/>
      <c r="J59" s="75">
        <f>55.5/ATHENS!O1*ATHENS!O2</f>
        <v>100.90909090909091</v>
      </c>
      <c r="K59" s="75">
        <f>76.9/ATHENS!O1*ATHENS!O2</f>
        <v>139.81818181818181</v>
      </c>
      <c r="L59" s="75">
        <f>82.5/ATHENS!O1*ATHENS!O2</f>
        <v>150</v>
      </c>
      <c r="M59" s="75">
        <f>90.9/ATHENS!O1*ATHENS!O2</f>
        <v>165.27272727272728</v>
      </c>
      <c r="N59" s="75">
        <f>126.5/ATHENS!O1*ATHENS!O2</f>
        <v>229.99999999999997</v>
      </c>
    </row>
    <row r="60" spans="1:14" ht="13.5" thickBot="1" x14ac:dyDescent="0.25">
      <c r="A60" s="24"/>
      <c r="B60" s="435" t="s">
        <v>863</v>
      </c>
      <c r="C60" s="435"/>
      <c r="D60" s="435"/>
      <c r="E60" s="28"/>
      <c r="F60" s="28" t="s">
        <v>1182</v>
      </c>
      <c r="G60" s="28" t="s">
        <v>68</v>
      </c>
      <c r="H60" s="28" t="s">
        <v>702</v>
      </c>
      <c r="I60" s="28"/>
      <c r="J60" s="75">
        <f>42.8/ATHENS!O1*ATHENS!O2</f>
        <v>77.818181818181813</v>
      </c>
      <c r="K60" s="75">
        <f>61.5/ATHENS!O1*ATHENS!O2</f>
        <v>111.81818181818181</v>
      </c>
      <c r="L60" s="75">
        <f>69.5/ATHENS!O1*ATHENS!O2</f>
        <v>126.36363636363636</v>
      </c>
      <c r="M60" s="75">
        <f>78.7/ATHENS!O1*ATHENS!O2</f>
        <v>143.09090909090909</v>
      </c>
      <c r="N60" s="75">
        <f>113.8/ATHENS!O1*ATHENS!O2</f>
        <v>206.90909090909088</v>
      </c>
    </row>
    <row r="61" spans="1:14" ht="13.5" thickBot="1" x14ac:dyDescent="0.25">
      <c r="A61" s="84"/>
      <c r="B61" s="55" t="s">
        <v>595</v>
      </c>
      <c r="C61" s="55"/>
      <c r="D61" s="55"/>
      <c r="E61" s="64"/>
      <c r="F61" s="64"/>
      <c r="G61" s="64"/>
      <c r="H61" s="64"/>
      <c r="I61" s="64"/>
      <c r="J61" s="64"/>
      <c r="K61" s="64"/>
      <c r="L61" s="64"/>
      <c r="M61" s="64"/>
      <c r="N61" s="66"/>
    </row>
    <row r="62" spans="1:14" ht="6" customHeight="1" thickBot="1" x14ac:dyDescent="0.25">
      <c r="A62" s="14"/>
      <c r="B62" s="15"/>
      <c r="C62" s="15"/>
      <c r="D62" s="15"/>
      <c r="E62" s="16"/>
      <c r="F62" s="16"/>
      <c r="G62" s="16"/>
      <c r="H62" s="16"/>
      <c r="I62" s="16"/>
      <c r="J62" s="16"/>
      <c r="K62" s="16"/>
      <c r="L62" s="16"/>
      <c r="M62" s="16"/>
      <c r="N62" s="16"/>
    </row>
    <row r="63" spans="1:14" x14ac:dyDescent="0.2">
      <c r="A63" s="20"/>
      <c r="B63" s="21"/>
      <c r="C63" s="21"/>
      <c r="D63" s="21"/>
      <c r="E63" s="22"/>
      <c r="F63" s="22"/>
      <c r="G63" s="22"/>
      <c r="H63" s="22"/>
      <c r="I63" s="22"/>
      <c r="J63" s="22"/>
      <c r="K63" s="22"/>
      <c r="L63" s="22"/>
      <c r="M63" s="22"/>
      <c r="N63" s="23"/>
    </row>
    <row r="64" spans="1:14" ht="15" x14ac:dyDescent="0.2">
      <c r="A64" s="24"/>
      <c r="B64" s="440" t="s">
        <v>1380</v>
      </c>
      <c r="C64" s="441"/>
      <c r="D64" s="441"/>
      <c r="E64" s="441"/>
      <c r="F64" s="441"/>
      <c r="G64" s="441"/>
      <c r="H64" s="441"/>
      <c r="I64" s="441"/>
      <c r="J64" s="441"/>
      <c r="K64" s="441"/>
      <c r="L64" s="441"/>
      <c r="M64" s="442"/>
      <c r="N64" s="25" t="s">
        <v>91</v>
      </c>
    </row>
    <row r="65" spans="1:14" x14ac:dyDescent="0.2">
      <c r="A65" s="24"/>
      <c r="B65" s="26" t="s">
        <v>428</v>
      </c>
      <c r="C65" s="27" t="s">
        <v>1381</v>
      </c>
      <c r="D65" s="27"/>
      <c r="E65" s="28"/>
      <c r="F65" s="28"/>
      <c r="G65" s="28"/>
      <c r="H65" s="28"/>
      <c r="I65" s="28"/>
      <c r="J65" s="28"/>
      <c r="K65" s="28"/>
      <c r="L65" s="28"/>
      <c r="M65" s="28"/>
      <c r="N65" s="29"/>
    </row>
    <row r="66" spans="1:14" x14ac:dyDescent="0.2">
      <c r="A66" s="24"/>
      <c r="B66" s="26" t="s">
        <v>429</v>
      </c>
      <c r="C66" s="27" t="s">
        <v>898</v>
      </c>
      <c r="D66" s="27"/>
      <c r="E66" s="28"/>
      <c r="F66" s="28"/>
      <c r="G66" s="28"/>
      <c r="H66" s="28"/>
      <c r="I66" s="28"/>
      <c r="J66" s="28"/>
      <c r="K66" s="28"/>
      <c r="L66" s="28"/>
      <c r="M66" s="28"/>
      <c r="N66" s="29"/>
    </row>
    <row r="67" spans="1:14" x14ac:dyDescent="0.2">
      <c r="A67" s="24"/>
      <c r="B67" s="26" t="s">
        <v>427</v>
      </c>
      <c r="C67" s="436" t="s">
        <v>473</v>
      </c>
      <c r="D67" s="436"/>
      <c r="E67" s="436"/>
      <c r="F67" s="436"/>
      <c r="G67" s="436"/>
      <c r="H67" s="436"/>
      <c r="I67" s="436"/>
      <c r="J67" s="436"/>
      <c r="K67" s="436"/>
      <c r="L67" s="436"/>
      <c r="M67" s="436"/>
      <c r="N67" s="437"/>
    </row>
    <row r="68" spans="1:14" x14ac:dyDescent="0.2">
      <c r="A68" s="24"/>
      <c r="B68" s="15"/>
      <c r="C68" s="436"/>
      <c r="D68" s="436"/>
      <c r="E68" s="436"/>
      <c r="F68" s="436"/>
      <c r="G68" s="436"/>
      <c r="H68" s="436"/>
      <c r="I68" s="436"/>
      <c r="J68" s="436"/>
      <c r="K68" s="436"/>
      <c r="L68" s="436"/>
      <c r="M68" s="436"/>
      <c r="N68" s="437"/>
    </row>
    <row r="69" spans="1:14" x14ac:dyDescent="0.2">
      <c r="A69" s="24"/>
      <c r="B69" s="15"/>
      <c r="C69" s="436"/>
      <c r="D69" s="436"/>
      <c r="E69" s="436"/>
      <c r="F69" s="436"/>
      <c r="G69" s="436"/>
      <c r="H69" s="436"/>
      <c r="I69" s="436"/>
      <c r="J69" s="436"/>
      <c r="K69" s="436"/>
      <c r="L69" s="436"/>
      <c r="M69" s="436"/>
      <c r="N69" s="437"/>
    </row>
    <row r="70" spans="1:14" x14ac:dyDescent="0.2">
      <c r="A70" s="24"/>
      <c r="B70" s="15"/>
      <c r="C70" s="438"/>
      <c r="D70" s="438"/>
      <c r="E70" s="438"/>
      <c r="F70" s="438"/>
      <c r="G70" s="438"/>
      <c r="H70" s="438"/>
      <c r="I70" s="438"/>
      <c r="J70" s="438"/>
      <c r="K70" s="438"/>
      <c r="L70" s="438"/>
      <c r="M70" s="438"/>
      <c r="N70" s="439"/>
    </row>
    <row r="71" spans="1:14" ht="13.5" thickBot="1" x14ac:dyDescent="0.25">
      <c r="A71" s="24"/>
      <c r="B71" s="26" t="s">
        <v>426</v>
      </c>
      <c r="C71" s="27" t="s">
        <v>605</v>
      </c>
      <c r="D71" s="27"/>
      <c r="E71" s="28"/>
      <c r="F71" s="28"/>
      <c r="G71" s="28"/>
      <c r="H71" s="28"/>
      <c r="I71" s="28"/>
      <c r="J71" s="28"/>
      <c r="K71" s="28"/>
      <c r="L71" s="28"/>
      <c r="M71" s="28"/>
      <c r="N71" s="29"/>
    </row>
    <row r="72" spans="1:14" x14ac:dyDescent="0.2">
      <c r="A72" s="20"/>
      <c r="B72" s="21" t="s">
        <v>263</v>
      </c>
      <c r="C72" s="21"/>
      <c r="D72" s="21"/>
      <c r="E72" s="22"/>
      <c r="F72" s="22"/>
      <c r="G72" s="22"/>
      <c r="H72" s="22"/>
      <c r="I72" s="22"/>
      <c r="J72" s="48" t="s">
        <v>2169</v>
      </c>
      <c r="K72" s="48" t="s">
        <v>2171</v>
      </c>
      <c r="L72" s="48" t="s">
        <v>1425</v>
      </c>
      <c r="M72" s="48" t="s">
        <v>2172</v>
      </c>
      <c r="N72" s="37"/>
    </row>
    <row r="73" spans="1:14" ht="13.5" thickBot="1" x14ac:dyDescent="0.25">
      <c r="A73" s="30"/>
      <c r="B73" s="31"/>
      <c r="C73" s="31"/>
      <c r="D73" s="31"/>
      <c r="E73" s="32"/>
      <c r="F73" s="32"/>
      <c r="G73" s="32"/>
      <c r="H73" s="32"/>
      <c r="I73" s="32"/>
      <c r="J73" s="65" t="s">
        <v>2170</v>
      </c>
      <c r="K73" s="65" t="s">
        <v>1575</v>
      </c>
      <c r="L73" s="65" t="s">
        <v>296</v>
      </c>
      <c r="M73" s="65" t="s">
        <v>2038</v>
      </c>
      <c r="N73" s="40" t="s">
        <v>2173</v>
      </c>
    </row>
    <row r="74" spans="1:14" x14ac:dyDescent="0.2">
      <c r="A74" s="24"/>
      <c r="B74" s="435" t="s">
        <v>67</v>
      </c>
      <c r="C74" s="435"/>
      <c r="D74" s="435"/>
      <c r="E74" s="28"/>
      <c r="F74" s="28" t="s">
        <v>1180</v>
      </c>
      <c r="G74" s="28" t="s">
        <v>1484</v>
      </c>
      <c r="H74" s="28" t="s">
        <v>702</v>
      </c>
      <c r="I74" s="28"/>
      <c r="J74" s="75">
        <f>100.8/ATHENS!O1*ATHENS!O2</f>
        <v>183.27272727272725</v>
      </c>
      <c r="K74" s="75">
        <f>64.5/ATHENS!O1*ATHENS!O2</f>
        <v>117.27272727272727</v>
      </c>
      <c r="L74" s="75">
        <f>84.5/ATHENS!O1*ATHENS!O2</f>
        <v>153.63636363636363</v>
      </c>
      <c r="M74" s="75">
        <f>171.5/ATHENS!O1*ATHENS!O2</f>
        <v>311.81818181818181</v>
      </c>
      <c r="N74" s="44">
        <f>191/ATHENS!O1*ATHENS!O2</f>
        <v>347.27272727272725</v>
      </c>
    </row>
    <row r="75" spans="1:14" x14ac:dyDescent="0.2">
      <c r="A75" s="24"/>
      <c r="B75" s="435" t="s">
        <v>67</v>
      </c>
      <c r="C75" s="435"/>
      <c r="D75" s="435"/>
      <c r="E75" s="28"/>
      <c r="F75" s="28" t="s">
        <v>1181</v>
      </c>
      <c r="G75" s="28" t="s">
        <v>1484</v>
      </c>
      <c r="H75" s="28" t="s">
        <v>702</v>
      </c>
      <c r="I75" s="28"/>
      <c r="J75" s="75">
        <f>50.5/ATHENS!O1*ATHENS!O2</f>
        <v>91.818181818181813</v>
      </c>
      <c r="K75" s="75">
        <f>64.5/ATHENS!O1*ATHENS!O2</f>
        <v>117.27272727272727</v>
      </c>
      <c r="L75" s="75">
        <f>84.5/ATHENS!O1*ATHENS!O2</f>
        <v>153.63636363636363</v>
      </c>
      <c r="M75" s="75">
        <f>106.9/ATHENS!O1*ATHENS!O2</f>
        <v>194.36363636363635</v>
      </c>
      <c r="N75" s="44">
        <f>120/ATHENS!O1*ATHENS!O2</f>
        <v>218.18181818181816</v>
      </c>
    </row>
    <row r="76" spans="1:14" x14ac:dyDescent="0.2">
      <c r="A76" s="24"/>
      <c r="B76" s="435" t="s">
        <v>67</v>
      </c>
      <c r="C76" s="435"/>
      <c r="D76" s="435"/>
      <c r="E76" s="28"/>
      <c r="F76" s="28" t="s">
        <v>1182</v>
      </c>
      <c r="G76" s="28" t="s">
        <v>1484</v>
      </c>
      <c r="H76" s="28" t="s">
        <v>702</v>
      </c>
      <c r="I76" s="28"/>
      <c r="J76" s="75">
        <f>42.5/ATHENS!O1*ATHENS!O2</f>
        <v>77.272727272727266</v>
      </c>
      <c r="K76" s="75">
        <f>53.7/ATHENS!O1*ATHENS!O2</f>
        <v>97.63636363636364</v>
      </c>
      <c r="L76" s="75">
        <f>70.5/ATHENS!O1*ATHENS!O2</f>
        <v>128.18181818181816</v>
      </c>
      <c r="M76" s="75">
        <f>89.5/ATHENS!O1*ATHENS!O2</f>
        <v>162.72727272727272</v>
      </c>
      <c r="N76" s="44">
        <f>100/ATHENS!O1*ATHENS!O2</f>
        <v>181.81818181818181</v>
      </c>
    </row>
    <row r="77" spans="1:14" ht="13.5" thickBot="1" x14ac:dyDescent="0.25">
      <c r="A77" s="30"/>
      <c r="B77" s="443" t="s">
        <v>902</v>
      </c>
      <c r="C77" s="443"/>
      <c r="D77" s="443"/>
      <c r="E77" s="32"/>
      <c r="F77" s="32"/>
      <c r="G77" s="32"/>
      <c r="H77" s="32" t="s">
        <v>702</v>
      </c>
      <c r="I77" s="32"/>
      <c r="J77" s="76">
        <f>22/ATHENS!O1*ATHENS!O2</f>
        <v>40</v>
      </c>
      <c r="K77" s="76">
        <f>22/ATHENS!O1*ATHENS!O2</f>
        <v>40</v>
      </c>
      <c r="L77" s="76">
        <f>22/ATHENS!O1*ATHENS!O2</f>
        <v>40</v>
      </c>
      <c r="M77" s="76">
        <f>22/ATHENS!O1*ATHENS!O2</f>
        <v>40</v>
      </c>
      <c r="N77" s="46">
        <f>22/ATHENS!O1*ATHENS!O2</f>
        <v>40</v>
      </c>
    </row>
    <row r="78" spans="1:14" ht="9" customHeight="1" x14ac:dyDescent="0.2">
      <c r="A78" s="14"/>
      <c r="B78" s="15"/>
      <c r="C78" s="15"/>
      <c r="D78" s="15"/>
      <c r="E78" s="16"/>
      <c r="F78" s="16"/>
      <c r="G78" s="16"/>
      <c r="H78" s="16"/>
      <c r="I78" s="16"/>
      <c r="J78" s="16"/>
      <c r="K78" s="16"/>
      <c r="L78" s="16"/>
      <c r="M78" s="16"/>
      <c r="N78" s="16"/>
    </row>
    <row r="79" spans="1:14" x14ac:dyDescent="0.2">
      <c r="A79" s="52"/>
      <c r="B79" s="27"/>
      <c r="C79" s="27"/>
      <c r="D79" s="27"/>
      <c r="E79" s="28"/>
      <c r="F79" s="28"/>
      <c r="G79" s="28"/>
      <c r="H79" s="28"/>
      <c r="I79" s="28"/>
      <c r="J79" s="28"/>
      <c r="K79" s="28"/>
      <c r="L79" s="28"/>
      <c r="M79" s="28"/>
      <c r="N79" s="28"/>
    </row>
    <row r="80" spans="1:14" ht="13.5" thickBot="1" x14ac:dyDescent="0.25">
      <c r="A80" s="52"/>
      <c r="B80" s="27"/>
      <c r="C80" s="27"/>
      <c r="D80" s="27"/>
      <c r="E80" s="28"/>
      <c r="F80" s="28"/>
      <c r="G80" s="28"/>
      <c r="H80" s="28"/>
      <c r="I80" s="28"/>
      <c r="J80" s="28"/>
      <c r="K80" s="28"/>
      <c r="L80" s="28"/>
      <c r="M80" s="28"/>
      <c r="N80" s="28"/>
    </row>
    <row r="81" spans="1:14" x14ac:dyDescent="0.2">
      <c r="A81" s="20"/>
      <c r="B81" s="21"/>
      <c r="C81" s="21"/>
      <c r="D81" s="21"/>
      <c r="E81" s="22"/>
      <c r="F81" s="22"/>
      <c r="G81" s="22"/>
      <c r="H81" s="22"/>
      <c r="I81" s="22"/>
      <c r="J81" s="22"/>
      <c r="K81" s="22"/>
      <c r="L81" s="22"/>
      <c r="M81" s="22"/>
      <c r="N81" s="23"/>
    </row>
    <row r="82" spans="1:14" ht="15" x14ac:dyDescent="0.2">
      <c r="A82" s="24"/>
      <c r="B82" s="440" t="s">
        <v>1674</v>
      </c>
      <c r="C82" s="441"/>
      <c r="D82" s="441"/>
      <c r="E82" s="441"/>
      <c r="F82" s="441"/>
      <c r="G82" s="441"/>
      <c r="H82" s="441"/>
      <c r="I82" s="441"/>
      <c r="J82" s="441"/>
      <c r="K82" s="441"/>
      <c r="L82" s="441"/>
      <c r="M82" s="442"/>
      <c r="N82" s="25" t="s">
        <v>96</v>
      </c>
    </row>
    <row r="83" spans="1:14" x14ac:dyDescent="0.2">
      <c r="A83" s="24"/>
      <c r="B83" s="26" t="s">
        <v>428</v>
      </c>
      <c r="C83" s="68" t="s">
        <v>1675</v>
      </c>
      <c r="D83" s="27"/>
      <c r="E83" s="28"/>
      <c r="F83" s="28"/>
      <c r="G83" s="28"/>
      <c r="H83" s="28"/>
      <c r="I83" s="28"/>
      <c r="J83" s="28"/>
      <c r="K83" s="28"/>
      <c r="L83" s="28"/>
      <c r="M83" s="28"/>
      <c r="N83" s="29"/>
    </row>
    <row r="84" spans="1:14" x14ac:dyDescent="0.2">
      <c r="A84" s="24"/>
      <c r="B84" s="26" t="s">
        <v>429</v>
      </c>
      <c r="C84" s="27" t="s">
        <v>1673</v>
      </c>
      <c r="D84" s="27"/>
      <c r="E84" s="28"/>
      <c r="F84" s="28"/>
      <c r="G84" s="28"/>
      <c r="H84" s="28"/>
      <c r="I84" s="28"/>
      <c r="J84" s="28"/>
      <c r="K84" s="28"/>
      <c r="L84" s="28"/>
      <c r="M84" s="28"/>
      <c r="N84" s="29"/>
    </row>
    <row r="85" spans="1:14" x14ac:dyDescent="0.2">
      <c r="A85" s="24"/>
      <c r="B85" s="26" t="s">
        <v>427</v>
      </c>
      <c r="C85" s="436" t="s">
        <v>1676</v>
      </c>
      <c r="D85" s="436"/>
      <c r="E85" s="436"/>
      <c r="F85" s="436"/>
      <c r="G85" s="436"/>
      <c r="H85" s="436"/>
      <c r="I85" s="436"/>
      <c r="J85" s="436"/>
      <c r="K85" s="436"/>
      <c r="L85" s="436"/>
      <c r="M85" s="436"/>
      <c r="N85" s="437"/>
    </row>
    <row r="86" spans="1:14" x14ac:dyDescent="0.2">
      <c r="A86" s="24"/>
      <c r="B86" s="27"/>
      <c r="C86" s="436"/>
      <c r="D86" s="436"/>
      <c r="E86" s="436"/>
      <c r="F86" s="436"/>
      <c r="G86" s="436"/>
      <c r="H86" s="436"/>
      <c r="I86" s="436"/>
      <c r="J86" s="436"/>
      <c r="K86" s="436"/>
      <c r="L86" s="436"/>
      <c r="M86" s="436"/>
      <c r="N86" s="437"/>
    </row>
    <row r="87" spans="1:14" x14ac:dyDescent="0.2">
      <c r="A87" s="24"/>
      <c r="B87" s="26" t="s">
        <v>426</v>
      </c>
      <c r="C87" s="68" t="s">
        <v>1675</v>
      </c>
      <c r="D87" s="27"/>
      <c r="E87" s="28"/>
      <c r="F87" s="28"/>
      <c r="G87" s="28"/>
      <c r="H87" s="28"/>
      <c r="I87" s="28"/>
      <c r="J87" s="28"/>
      <c r="K87" s="28"/>
      <c r="L87" s="28"/>
      <c r="M87" s="28"/>
      <c r="N87" s="29"/>
    </row>
    <row r="88" spans="1:14" ht="13.5" thickBot="1" x14ac:dyDescent="0.25">
      <c r="A88" s="30"/>
      <c r="B88" s="26" t="s">
        <v>430</v>
      </c>
      <c r="C88" s="31"/>
      <c r="D88" s="31"/>
      <c r="E88" s="32"/>
      <c r="F88" s="32"/>
      <c r="G88" s="32"/>
      <c r="H88" s="32"/>
      <c r="I88" s="32"/>
      <c r="J88" s="32"/>
      <c r="K88" s="32"/>
      <c r="L88" s="32"/>
      <c r="M88" s="32"/>
      <c r="N88" s="33"/>
    </row>
    <row r="89" spans="1:14" x14ac:dyDescent="0.2">
      <c r="A89" s="24"/>
      <c r="B89" s="21" t="s">
        <v>263</v>
      </c>
      <c r="C89" s="27"/>
      <c r="D89" s="27"/>
      <c r="E89" s="28"/>
      <c r="F89" s="28"/>
      <c r="G89" s="28"/>
      <c r="H89" s="28"/>
      <c r="I89" s="28"/>
      <c r="J89" s="67" t="s">
        <v>2174</v>
      </c>
      <c r="K89" s="63" t="s">
        <v>2175</v>
      </c>
      <c r="L89" s="63"/>
      <c r="M89" s="63"/>
      <c r="N89" s="63"/>
    </row>
    <row r="90" spans="1:14" ht="13.5" thickBot="1" x14ac:dyDescent="0.25">
      <c r="A90" s="30"/>
      <c r="B90" s="31"/>
      <c r="C90" s="31"/>
      <c r="D90" s="31"/>
      <c r="E90" s="32"/>
      <c r="F90" s="32"/>
      <c r="G90" s="32"/>
      <c r="H90" s="32"/>
      <c r="I90" s="32"/>
      <c r="J90" s="49" t="s">
        <v>1430</v>
      </c>
      <c r="K90" s="40" t="s">
        <v>2176</v>
      </c>
      <c r="L90" s="40" t="s">
        <v>2177</v>
      </c>
      <c r="M90" s="40"/>
      <c r="N90" s="40"/>
    </row>
    <row r="91" spans="1:14" x14ac:dyDescent="0.2">
      <c r="A91" s="20"/>
      <c r="B91" s="434" t="s">
        <v>67</v>
      </c>
      <c r="C91" s="434"/>
      <c r="D91" s="434"/>
      <c r="E91" s="22"/>
      <c r="F91" s="22" t="s">
        <v>1180</v>
      </c>
      <c r="G91" s="22" t="s">
        <v>1484</v>
      </c>
      <c r="H91" s="22" t="s">
        <v>702</v>
      </c>
      <c r="I91" s="28"/>
      <c r="J91" s="75">
        <f>52.7/ATHENS!O1*ATHENS!O2</f>
        <v>95.818181818181813</v>
      </c>
      <c r="K91" s="75">
        <f>74.5/ATHENS!O1*ATHENS!O2</f>
        <v>135.45454545454544</v>
      </c>
      <c r="L91" s="44">
        <f>93/ATHENS!O1*ATHENS!O2</f>
        <v>169.09090909090907</v>
      </c>
      <c r="M91" s="42"/>
      <c r="N91" s="42"/>
    </row>
    <row r="92" spans="1:14" x14ac:dyDescent="0.2">
      <c r="A92" s="24"/>
      <c r="B92" s="435" t="s">
        <v>67</v>
      </c>
      <c r="C92" s="435"/>
      <c r="D92" s="435"/>
      <c r="E92" s="28"/>
      <c r="F92" s="28" t="s">
        <v>1181</v>
      </c>
      <c r="G92" s="28" t="s">
        <v>1484</v>
      </c>
      <c r="H92" s="28" t="s">
        <v>702</v>
      </c>
      <c r="I92" s="28"/>
      <c r="J92" s="75">
        <f>34.5/ATHENS!O1*ATHENS!O2</f>
        <v>62.72727272727272</v>
      </c>
      <c r="K92" s="75">
        <f>49.9/ATHENS!O1*ATHENS!O2</f>
        <v>90.72727272727272</v>
      </c>
      <c r="L92" s="44">
        <f>65/ATHENS!O1*ATHENS!O2</f>
        <v>118.18181818181817</v>
      </c>
      <c r="M92" s="44"/>
      <c r="N92" s="44"/>
    </row>
    <row r="93" spans="1:14" x14ac:dyDescent="0.2">
      <c r="A93" s="24"/>
      <c r="B93" s="68" t="s">
        <v>67</v>
      </c>
      <c r="C93" s="27"/>
      <c r="D93" s="27"/>
      <c r="E93" s="28"/>
      <c r="F93" s="28" t="s">
        <v>1182</v>
      </c>
      <c r="G93" s="28" t="s">
        <v>1484</v>
      </c>
      <c r="H93" s="28" t="s">
        <v>702</v>
      </c>
      <c r="I93" s="28"/>
      <c r="J93" s="75">
        <f>30.9/ATHENS!O1*ATHENS!O2</f>
        <v>56.181818181818173</v>
      </c>
      <c r="K93" s="75">
        <f>44.9/ATHENS!O1*ATHENS!O2</f>
        <v>81.636363636363626</v>
      </c>
      <c r="L93" s="44">
        <f>59/ATHENS!O1*ATHENS!O2</f>
        <v>107.27272727272727</v>
      </c>
      <c r="M93" s="44"/>
      <c r="N93" s="44"/>
    </row>
    <row r="94" spans="1:14" ht="13.5" thickBot="1" x14ac:dyDescent="0.25">
      <c r="A94" s="30"/>
      <c r="B94" s="443" t="s">
        <v>902</v>
      </c>
      <c r="C94" s="443"/>
      <c r="D94" s="443"/>
      <c r="E94" s="32"/>
      <c r="F94" s="89"/>
      <c r="G94" s="89"/>
      <c r="H94" s="32" t="s">
        <v>702</v>
      </c>
      <c r="I94" s="32"/>
      <c r="J94" s="76">
        <f>17.5/ATHENS!O1*ATHENS!O2</f>
        <v>31.818181818181817</v>
      </c>
      <c r="K94" s="76">
        <f>17.5/ATHENS!O1*ATHENS!O2</f>
        <v>31.818181818181817</v>
      </c>
      <c r="L94" s="46">
        <f>18/ATHENS!O1*ATHENS!O2</f>
        <v>32.727272727272727</v>
      </c>
      <c r="M94" s="46"/>
      <c r="N94" s="46"/>
    </row>
    <row r="95" spans="1:14" x14ac:dyDescent="0.2">
      <c r="A95" s="52"/>
      <c r="B95" s="27"/>
      <c r="C95" s="27"/>
      <c r="D95" s="27"/>
      <c r="E95" s="28"/>
      <c r="F95" s="28"/>
      <c r="G95" s="28"/>
      <c r="H95" s="28"/>
      <c r="I95" s="28"/>
      <c r="J95" s="28"/>
      <c r="K95" s="28"/>
      <c r="L95" s="28"/>
      <c r="M95" s="28"/>
      <c r="N95" s="28"/>
    </row>
    <row r="96" spans="1:14" ht="13.5" thickBot="1" x14ac:dyDescent="0.25">
      <c r="A96" s="14"/>
      <c r="B96" s="15"/>
      <c r="C96" s="15"/>
      <c r="D96" s="15"/>
      <c r="E96" s="16"/>
      <c r="F96" s="16"/>
      <c r="G96" s="16"/>
      <c r="H96" s="16"/>
      <c r="I96" s="16"/>
      <c r="J96" s="16"/>
      <c r="K96" s="16"/>
      <c r="L96" s="16"/>
      <c r="M96" s="16"/>
      <c r="N96" s="16"/>
    </row>
    <row r="97" spans="1:14" x14ac:dyDescent="0.2">
      <c r="A97" s="20"/>
      <c r="B97" s="21"/>
      <c r="C97" s="21"/>
      <c r="D97" s="21"/>
      <c r="E97" s="22"/>
      <c r="F97" s="22"/>
      <c r="G97" s="22"/>
      <c r="H97" s="22"/>
      <c r="I97" s="22"/>
      <c r="J97" s="22"/>
      <c r="K97" s="22"/>
      <c r="L97" s="22"/>
      <c r="M97" s="22"/>
      <c r="N97" s="23"/>
    </row>
    <row r="98" spans="1:14" ht="15" x14ac:dyDescent="0.2">
      <c r="A98" s="24"/>
      <c r="B98" s="440" t="s">
        <v>1647</v>
      </c>
      <c r="C98" s="441"/>
      <c r="D98" s="441"/>
      <c r="E98" s="441"/>
      <c r="F98" s="441"/>
      <c r="G98" s="441"/>
      <c r="H98" s="441"/>
      <c r="I98" s="441"/>
      <c r="J98" s="441"/>
      <c r="K98" s="441"/>
      <c r="L98" s="441"/>
      <c r="M98" s="442"/>
      <c r="N98" s="25" t="s">
        <v>96</v>
      </c>
    </row>
    <row r="99" spans="1:14" x14ac:dyDescent="0.2">
      <c r="A99" s="24"/>
      <c r="B99" s="26" t="s">
        <v>428</v>
      </c>
      <c r="C99" s="27" t="s">
        <v>606</v>
      </c>
      <c r="D99" s="27"/>
      <c r="E99" s="28"/>
      <c r="F99" s="28"/>
      <c r="G99" s="28"/>
      <c r="H99" s="28"/>
      <c r="I99" s="28"/>
      <c r="J99" s="28"/>
      <c r="K99" s="28"/>
      <c r="L99" s="28"/>
      <c r="M99" s="28"/>
      <c r="N99" s="29"/>
    </row>
    <row r="100" spans="1:14" x14ac:dyDescent="0.2">
      <c r="A100" s="24"/>
      <c r="B100" s="26" t="s">
        <v>429</v>
      </c>
      <c r="C100" s="27" t="s">
        <v>1162</v>
      </c>
      <c r="D100" s="27"/>
      <c r="E100" s="28"/>
      <c r="F100" s="28"/>
      <c r="G100" s="28"/>
      <c r="H100" s="28"/>
      <c r="I100" s="28"/>
      <c r="J100" s="28"/>
      <c r="K100" s="28"/>
      <c r="L100" s="28"/>
      <c r="M100" s="28"/>
      <c r="N100" s="29"/>
    </row>
    <row r="101" spans="1:14" x14ac:dyDescent="0.2">
      <c r="A101" s="24"/>
      <c r="B101" s="26" t="s">
        <v>427</v>
      </c>
      <c r="C101" s="436" t="s">
        <v>1239</v>
      </c>
      <c r="D101" s="436"/>
      <c r="E101" s="436"/>
      <c r="F101" s="436"/>
      <c r="G101" s="436"/>
      <c r="H101" s="436"/>
      <c r="I101" s="436"/>
      <c r="J101" s="436"/>
      <c r="K101" s="436"/>
      <c r="L101" s="436"/>
      <c r="M101" s="436"/>
      <c r="N101" s="437"/>
    </row>
    <row r="102" spans="1:14" x14ac:dyDescent="0.2">
      <c r="A102" s="24"/>
      <c r="B102" s="15"/>
      <c r="C102" s="436"/>
      <c r="D102" s="436"/>
      <c r="E102" s="436"/>
      <c r="F102" s="436"/>
      <c r="G102" s="436"/>
      <c r="H102" s="436"/>
      <c r="I102" s="436"/>
      <c r="J102" s="436"/>
      <c r="K102" s="436"/>
      <c r="L102" s="436"/>
      <c r="M102" s="436"/>
      <c r="N102" s="437"/>
    </row>
    <row r="103" spans="1:14" x14ac:dyDescent="0.2">
      <c r="A103" s="24"/>
      <c r="B103" s="15"/>
      <c r="C103" s="436"/>
      <c r="D103" s="436"/>
      <c r="E103" s="436"/>
      <c r="F103" s="436"/>
      <c r="G103" s="436"/>
      <c r="H103" s="436"/>
      <c r="I103" s="436"/>
      <c r="J103" s="436"/>
      <c r="K103" s="436"/>
      <c r="L103" s="436"/>
      <c r="M103" s="436"/>
      <c r="N103" s="437"/>
    </row>
    <row r="104" spans="1:14" x14ac:dyDescent="0.2">
      <c r="A104" s="24"/>
      <c r="B104" s="15"/>
      <c r="C104" s="438"/>
      <c r="D104" s="438"/>
      <c r="E104" s="438"/>
      <c r="F104" s="438"/>
      <c r="G104" s="438"/>
      <c r="H104" s="438"/>
      <c r="I104" s="438"/>
      <c r="J104" s="438"/>
      <c r="K104" s="438"/>
      <c r="L104" s="438"/>
      <c r="M104" s="438"/>
      <c r="N104" s="439"/>
    </row>
    <row r="105" spans="1:14" x14ac:dyDescent="0.2">
      <c r="A105" s="24"/>
      <c r="B105" s="15"/>
      <c r="C105" s="438"/>
      <c r="D105" s="438"/>
      <c r="E105" s="438"/>
      <c r="F105" s="438"/>
      <c r="G105" s="438"/>
      <c r="H105" s="438"/>
      <c r="I105" s="438"/>
      <c r="J105" s="438"/>
      <c r="K105" s="438"/>
      <c r="L105" s="438"/>
      <c r="M105" s="438"/>
      <c r="N105" s="439"/>
    </row>
    <row r="106" spans="1:14" x14ac:dyDescent="0.2">
      <c r="A106" s="24"/>
      <c r="B106" s="26" t="s">
        <v>426</v>
      </c>
      <c r="C106" s="27" t="s">
        <v>665</v>
      </c>
      <c r="D106" s="27"/>
      <c r="E106" s="28"/>
      <c r="F106" s="28"/>
      <c r="G106" s="28"/>
      <c r="H106" s="28"/>
      <c r="I106" s="28"/>
      <c r="J106" s="28"/>
      <c r="K106" s="28"/>
      <c r="L106" s="28"/>
      <c r="M106" s="28"/>
      <c r="N106" s="29"/>
    </row>
    <row r="107" spans="1:14" ht="13.5" thickBot="1" x14ac:dyDescent="0.25">
      <c r="A107" s="30"/>
      <c r="B107" s="26" t="s">
        <v>430</v>
      </c>
      <c r="C107" s="31" t="s">
        <v>919</v>
      </c>
      <c r="D107" s="31"/>
      <c r="E107" s="32"/>
      <c r="F107" s="32"/>
      <c r="G107" s="32"/>
      <c r="H107" s="32"/>
      <c r="I107" s="32"/>
      <c r="J107" s="32"/>
      <c r="K107" s="32"/>
      <c r="L107" s="32"/>
      <c r="M107" s="32"/>
      <c r="N107" s="33"/>
    </row>
    <row r="108" spans="1:14" x14ac:dyDescent="0.2">
      <c r="A108" s="24"/>
      <c r="B108" s="21" t="s">
        <v>263</v>
      </c>
      <c r="C108" s="27"/>
      <c r="D108" s="27"/>
      <c r="E108" s="28"/>
      <c r="F108" s="28"/>
      <c r="G108" s="28"/>
      <c r="H108" s="28"/>
      <c r="I108" s="28"/>
      <c r="J108" s="67" t="s">
        <v>87</v>
      </c>
      <c r="K108" s="67" t="s">
        <v>279</v>
      </c>
      <c r="L108" s="63" t="s">
        <v>820</v>
      </c>
      <c r="M108" s="67"/>
      <c r="N108" s="63"/>
    </row>
    <row r="109" spans="1:14" ht="13.5" thickBot="1" x14ac:dyDescent="0.25">
      <c r="A109" s="30"/>
      <c r="B109" s="31"/>
      <c r="C109" s="31"/>
      <c r="D109" s="31"/>
      <c r="E109" s="32"/>
      <c r="F109" s="32"/>
      <c r="G109" s="32"/>
      <c r="H109" s="32"/>
      <c r="I109" s="32"/>
      <c r="J109" s="65" t="s">
        <v>1568</v>
      </c>
      <c r="K109" s="65" t="s">
        <v>523</v>
      </c>
      <c r="L109" s="65" t="s">
        <v>398</v>
      </c>
      <c r="M109" s="65" t="s">
        <v>1569</v>
      </c>
      <c r="N109" s="40"/>
    </row>
    <row r="110" spans="1:14" x14ac:dyDescent="0.2">
      <c r="A110" s="20"/>
      <c r="B110" s="434" t="s">
        <v>67</v>
      </c>
      <c r="C110" s="434"/>
      <c r="D110" s="434"/>
      <c r="E110" s="22"/>
      <c r="F110" s="22" t="s">
        <v>1180</v>
      </c>
      <c r="G110" s="28" t="s">
        <v>1484</v>
      </c>
      <c r="H110" s="22" t="s">
        <v>702</v>
      </c>
      <c r="I110" s="22"/>
      <c r="J110" s="75">
        <f>51.5/ATHENS!O1*ATHENS!O2</f>
        <v>93.636363636363626</v>
      </c>
      <c r="K110" s="75">
        <f>77/ATHENS!O1*ATHENS!O2</f>
        <v>140</v>
      </c>
      <c r="L110" s="75">
        <f>107.5/ATHENS!O1*ATHENS!O2</f>
        <v>195.45454545454544</v>
      </c>
      <c r="M110" s="75">
        <f>113/ATHENS!O1*ATHENS!O2</f>
        <v>205.45454545454544</v>
      </c>
      <c r="N110" s="42"/>
    </row>
    <row r="111" spans="1:14" x14ac:dyDescent="0.2">
      <c r="A111" s="24"/>
      <c r="B111" s="435" t="s">
        <v>67</v>
      </c>
      <c r="C111" s="435"/>
      <c r="D111" s="435"/>
      <c r="E111" s="28"/>
      <c r="F111" s="28" t="s">
        <v>1181</v>
      </c>
      <c r="G111" s="28" t="s">
        <v>1484</v>
      </c>
      <c r="H111" s="28" t="s">
        <v>702</v>
      </c>
      <c r="I111" s="28"/>
      <c r="J111" s="75">
        <f>31.5/ATHENS!O1*ATHENS!O2</f>
        <v>57.272727272727266</v>
      </c>
      <c r="K111" s="75">
        <f>46/ATHENS!O1*ATHENS!O2</f>
        <v>83.636363636363626</v>
      </c>
      <c r="L111" s="75">
        <f>65.5/ATHENS!O1*ATHENS!O2</f>
        <v>119.09090909090908</v>
      </c>
      <c r="M111" s="75">
        <f>71/ATHENS!O1*ATHENS!O2</f>
        <v>129.09090909090909</v>
      </c>
      <c r="N111" s="44"/>
    </row>
    <row r="112" spans="1:14" x14ac:dyDescent="0.2">
      <c r="A112" s="24"/>
      <c r="B112" s="435" t="s">
        <v>67</v>
      </c>
      <c r="C112" s="435"/>
      <c r="D112" s="435"/>
      <c r="E112" s="28"/>
      <c r="F112" s="28" t="s">
        <v>1182</v>
      </c>
      <c r="G112" s="28" t="s">
        <v>1484</v>
      </c>
      <c r="H112" s="28" t="s">
        <v>702</v>
      </c>
      <c r="I112" s="28"/>
      <c r="J112" s="75">
        <f>28.5/ATHENS!O1*ATHENS!O2</f>
        <v>51.818181818181813</v>
      </c>
      <c r="K112" s="75">
        <f>41.6/ATHENS!O1*ATHENS!O2</f>
        <v>75.636363636363626</v>
      </c>
      <c r="L112" s="75">
        <f>58.9/ATHENS!O1*ATHENS!O2</f>
        <v>107.09090909090908</v>
      </c>
      <c r="M112" s="75">
        <f>63.9/ATHENS!O1*ATHENS!O2</f>
        <v>116.18181818181817</v>
      </c>
      <c r="N112" s="44"/>
    </row>
    <row r="113" spans="1:14" ht="13.5" thickBot="1" x14ac:dyDescent="0.25">
      <c r="A113" s="30"/>
      <c r="B113" s="443" t="s">
        <v>902</v>
      </c>
      <c r="C113" s="443"/>
      <c r="D113" s="443"/>
      <c r="E113" s="32"/>
      <c r="F113" s="32"/>
      <c r="G113" s="32"/>
      <c r="H113" s="32" t="s">
        <v>702</v>
      </c>
      <c r="I113" s="32"/>
      <c r="J113" s="76">
        <f>19/ATHENS!O1*ATHENS!O2</f>
        <v>34.54545454545454</v>
      </c>
      <c r="K113" s="76">
        <f>19/ATHENS!O1*ATHENS!O2</f>
        <v>34.54545454545454</v>
      </c>
      <c r="L113" s="76">
        <f>19/ATHENS!O1*ATHENS!O2</f>
        <v>34.54545454545454</v>
      </c>
      <c r="M113" s="76">
        <f>19/ATHENS!O1*ATHENS!O2</f>
        <v>34.54545454545454</v>
      </c>
      <c r="N113" s="46"/>
    </row>
    <row r="114" spans="1:14" x14ac:dyDescent="0.2">
      <c r="A114" s="14"/>
      <c r="B114" s="15"/>
      <c r="C114" s="15"/>
      <c r="D114" s="15"/>
      <c r="E114" s="16"/>
      <c r="F114" s="16"/>
      <c r="G114" s="16"/>
      <c r="H114" s="16"/>
      <c r="I114" s="16"/>
      <c r="J114" s="16"/>
      <c r="K114" s="16"/>
      <c r="L114" s="16"/>
      <c r="M114" s="16"/>
      <c r="N114" s="16"/>
    </row>
    <row r="115" spans="1:14" x14ac:dyDescent="0.2">
      <c r="A115" s="14"/>
      <c r="B115" s="15"/>
      <c r="C115" s="15"/>
      <c r="D115" s="15"/>
      <c r="E115" s="16"/>
      <c r="F115" s="16"/>
      <c r="G115" s="16"/>
      <c r="H115" s="16"/>
      <c r="I115" s="16"/>
      <c r="J115" s="16"/>
      <c r="K115" s="16"/>
      <c r="L115" s="16"/>
      <c r="M115" s="16"/>
      <c r="N115" s="16"/>
    </row>
    <row r="116" spans="1:14" x14ac:dyDescent="0.2">
      <c r="A116" s="52"/>
      <c r="B116" s="27"/>
      <c r="C116" s="27"/>
      <c r="D116" s="27"/>
      <c r="E116" s="28"/>
      <c r="F116" s="28"/>
      <c r="G116" s="28"/>
      <c r="H116" s="28"/>
      <c r="I116" s="28"/>
      <c r="J116" s="229"/>
      <c r="K116" s="229"/>
      <c r="L116" s="229"/>
      <c r="M116" s="229"/>
      <c r="N116" s="229"/>
    </row>
    <row r="117" spans="1:14" ht="13.5" thickBot="1" x14ac:dyDescent="0.25">
      <c r="A117" s="14"/>
      <c r="B117" s="15"/>
      <c r="C117" s="15"/>
      <c r="D117" s="15"/>
      <c r="E117" s="16"/>
      <c r="F117" s="16"/>
      <c r="G117" s="16"/>
      <c r="H117" s="16"/>
      <c r="I117" s="16"/>
      <c r="J117" s="16"/>
      <c r="K117" s="16"/>
      <c r="L117" s="16"/>
      <c r="M117" s="16"/>
      <c r="N117" s="16"/>
    </row>
    <row r="118" spans="1:14" x14ac:dyDescent="0.2">
      <c r="A118" s="20"/>
      <c r="B118" s="21"/>
      <c r="C118" s="21"/>
      <c r="D118" s="21"/>
      <c r="E118" s="22"/>
      <c r="F118" s="22"/>
      <c r="G118" s="22"/>
      <c r="H118" s="22"/>
      <c r="I118" s="22"/>
      <c r="J118" s="22"/>
      <c r="K118" s="22"/>
      <c r="L118" s="22"/>
      <c r="M118" s="22"/>
      <c r="N118" s="23"/>
    </row>
    <row r="119" spans="1:14" ht="15" x14ac:dyDescent="0.2">
      <c r="A119" s="24"/>
      <c r="B119" s="440" t="s">
        <v>1467</v>
      </c>
      <c r="C119" s="441"/>
      <c r="D119" s="441"/>
      <c r="E119" s="441"/>
      <c r="F119" s="441"/>
      <c r="G119" s="441"/>
      <c r="H119" s="441"/>
      <c r="I119" s="441"/>
      <c r="J119" s="441"/>
      <c r="K119" s="441"/>
      <c r="L119" s="441"/>
      <c r="M119" s="442"/>
      <c r="N119" s="25" t="s">
        <v>664</v>
      </c>
    </row>
    <row r="120" spans="1:14" x14ac:dyDescent="0.2">
      <c r="A120" s="24"/>
      <c r="B120" s="26" t="s">
        <v>428</v>
      </c>
      <c r="C120" s="27" t="s">
        <v>788</v>
      </c>
      <c r="D120" s="27"/>
      <c r="E120" s="28"/>
      <c r="F120" s="28"/>
      <c r="G120" s="28"/>
      <c r="H120" s="28"/>
      <c r="I120" s="28"/>
      <c r="J120" s="28"/>
      <c r="K120" s="28"/>
      <c r="L120" s="28"/>
      <c r="M120" s="28"/>
      <c r="N120" s="29"/>
    </row>
    <row r="121" spans="1:14" x14ac:dyDescent="0.2">
      <c r="A121" s="24"/>
      <c r="B121" s="26" t="s">
        <v>429</v>
      </c>
      <c r="C121" s="27" t="s">
        <v>865</v>
      </c>
      <c r="D121" s="27"/>
      <c r="E121" s="28"/>
      <c r="F121" s="28"/>
      <c r="G121" s="28"/>
      <c r="H121" s="28"/>
      <c r="I121" s="28"/>
      <c r="J121" s="28"/>
      <c r="K121" s="28"/>
      <c r="L121" s="28"/>
      <c r="M121" s="28"/>
      <c r="N121" s="29"/>
    </row>
    <row r="122" spans="1:14" x14ac:dyDescent="0.2">
      <c r="A122" s="24"/>
      <c r="B122" s="26" t="s">
        <v>427</v>
      </c>
      <c r="C122" s="436" t="s">
        <v>1645</v>
      </c>
      <c r="D122" s="436"/>
      <c r="E122" s="436"/>
      <c r="F122" s="436"/>
      <c r="G122" s="436"/>
      <c r="H122" s="436"/>
      <c r="I122" s="436"/>
      <c r="J122" s="436"/>
      <c r="K122" s="436"/>
      <c r="L122" s="436"/>
      <c r="M122" s="436"/>
      <c r="N122" s="437"/>
    </row>
    <row r="123" spans="1:14" x14ac:dyDescent="0.2">
      <c r="A123" s="24"/>
      <c r="B123" s="15"/>
      <c r="C123" s="436"/>
      <c r="D123" s="436"/>
      <c r="E123" s="436"/>
      <c r="F123" s="436"/>
      <c r="G123" s="436"/>
      <c r="H123" s="436"/>
      <c r="I123" s="436"/>
      <c r="J123" s="436"/>
      <c r="K123" s="436"/>
      <c r="L123" s="436"/>
      <c r="M123" s="436"/>
      <c r="N123" s="437"/>
    </row>
    <row r="124" spans="1:14" x14ac:dyDescent="0.2">
      <c r="A124" s="24"/>
      <c r="B124" s="15"/>
      <c r="C124" s="438"/>
      <c r="D124" s="438"/>
      <c r="E124" s="438"/>
      <c r="F124" s="438"/>
      <c r="G124" s="438"/>
      <c r="H124" s="438"/>
      <c r="I124" s="438"/>
      <c r="J124" s="438"/>
      <c r="K124" s="438"/>
      <c r="L124" s="438"/>
      <c r="M124" s="438"/>
      <c r="N124" s="439"/>
    </row>
    <row r="125" spans="1:14" x14ac:dyDescent="0.2">
      <c r="A125" s="24"/>
      <c r="B125" s="15"/>
      <c r="C125" s="438"/>
      <c r="D125" s="438"/>
      <c r="E125" s="438"/>
      <c r="F125" s="438"/>
      <c r="G125" s="438"/>
      <c r="H125" s="438"/>
      <c r="I125" s="438"/>
      <c r="J125" s="438"/>
      <c r="K125" s="438"/>
      <c r="L125" s="438"/>
      <c r="M125" s="438"/>
      <c r="N125" s="439"/>
    </row>
    <row r="126" spans="1:14" x14ac:dyDescent="0.2">
      <c r="A126" s="24"/>
      <c r="B126" s="26" t="s">
        <v>426</v>
      </c>
      <c r="C126" s="27" t="s">
        <v>1163</v>
      </c>
      <c r="D126" s="27"/>
      <c r="E126" s="28"/>
      <c r="F126" s="28"/>
      <c r="G126" s="28"/>
      <c r="H126" s="28"/>
      <c r="I126" s="28"/>
      <c r="J126" s="28"/>
      <c r="K126" s="28"/>
      <c r="L126" s="28"/>
      <c r="M126" s="28"/>
      <c r="N126" s="29"/>
    </row>
    <row r="127" spans="1:14" ht="13.5" thickBot="1" x14ac:dyDescent="0.25">
      <c r="A127" s="30"/>
      <c r="B127" s="47" t="s">
        <v>430</v>
      </c>
      <c r="C127" s="31"/>
      <c r="D127" s="31"/>
      <c r="E127" s="32"/>
      <c r="F127" s="32"/>
      <c r="G127" s="32"/>
      <c r="H127" s="32"/>
      <c r="I127" s="32"/>
      <c r="J127" s="32"/>
      <c r="K127" s="32"/>
      <c r="L127" s="32"/>
      <c r="M127" s="32"/>
      <c r="N127" s="33"/>
    </row>
    <row r="128" spans="1:14" x14ac:dyDescent="0.2">
      <c r="A128" s="20"/>
      <c r="B128" s="21" t="s">
        <v>263</v>
      </c>
      <c r="C128" s="21"/>
      <c r="D128" s="21"/>
      <c r="E128" s="22"/>
      <c r="F128" s="22"/>
      <c r="G128" s="22"/>
      <c r="H128" s="22"/>
      <c r="I128" s="22"/>
      <c r="J128" s="37" t="s">
        <v>758</v>
      </c>
      <c r="K128" s="37" t="s">
        <v>1399</v>
      </c>
      <c r="L128" s="37"/>
      <c r="M128" s="37"/>
      <c r="N128" s="37"/>
    </row>
    <row r="129" spans="1:15" ht="13.5" thickBot="1" x14ac:dyDescent="0.25">
      <c r="A129" s="30"/>
      <c r="B129" s="31"/>
      <c r="C129" s="31"/>
      <c r="D129" s="31"/>
      <c r="E129" s="32"/>
      <c r="F129" s="32"/>
      <c r="G129" s="32"/>
      <c r="H129" s="32"/>
      <c r="I129" s="32"/>
      <c r="J129" s="40" t="s">
        <v>245</v>
      </c>
      <c r="K129" s="40" t="s">
        <v>482</v>
      </c>
      <c r="L129" s="40" t="s">
        <v>2178</v>
      </c>
      <c r="M129" s="40"/>
      <c r="N129" s="40"/>
    </row>
    <row r="130" spans="1:15" x14ac:dyDescent="0.2">
      <c r="A130" s="20"/>
      <c r="B130" s="434" t="s">
        <v>67</v>
      </c>
      <c r="C130" s="434"/>
      <c r="D130" s="434"/>
      <c r="E130" s="22"/>
      <c r="F130" s="22" t="s">
        <v>1180</v>
      </c>
      <c r="G130" s="22" t="s">
        <v>1484</v>
      </c>
      <c r="H130" s="22" t="s">
        <v>702</v>
      </c>
      <c r="I130" s="22"/>
      <c r="J130" s="75">
        <f>47.5/ATHENS!O1*ATHENS!O2</f>
        <v>86.36363636363636</v>
      </c>
      <c r="K130" s="75">
        <f>69.5/ATHENS!O1*ATHENS!O2</f>
        <v>126.36363636363636</v>
      </c>
      <c r="L130" s="75">
        <f>78.5/ATHENS!O1*ATHENS!O2</f>
        <v>142.72727272727272</v>
      </c>
      <c r="M130" s="44"/>
      <c r="N130" s="42"/>
    </row>
    <row r="131" spans="1:15" x14ac:dyDescent="0.2">
      <c r="A131" s="24"/>
      <c r="B131" s="435" t="s">
        <v>67</v>
      </c>
      <c r="C131" s="435"/>
      <c r="D131" s="435"/>
      <c r="E131" s="28"/>
      <c r="F131" s="28" t="s">
        <v>1181</v>
      </c>
      <c r="G131" s="28" t="s">
        <v>1484</v>
      </c>
      <c r="H131" s="28" t="s">
        <v>702</v>
      </c>
      <c r="I131" s="28"/>
      <c r="J131" s="75">
        <f>25.6/ATHENS!O1*ATHENS!O2</f>
        <v>46.545454545454547</v>
      </c>
      <c r="K131" s="75">
        <f>36.8/ATHENS!O1*ATHENS!O2</f>
        <v>66.909090909090892</v>
      </c>
      <c r="L131" s="75">
        <f>55.9/ATHENS!O1*ATHENS!O2</f>
        <v>101.63636363636363</v>
      </c>
      <c r="M131" s="44"/>
      <c r="N131" s="44"/>
    </row>
    <row r="132" spans="1:15" ht="13.5" thickBot="1" x14ac:dyDescent="0.25">
      <c r="A132" s="30"/>
      <c r="B132" s="443" t="s">
        <v>67</v>
      </c>
      <c r="C132" s="443"/>
      <c r="D132" s="443"/>
      <c r="E132" s="32"/>
      <c r="F132" s="32" t="s">
        <v>1182</v>
      </c>
      <c r="G132" s="32" t="s">
        <v>1484</v>
      </c>
      <c r="H132" s="32" t="s">
        <v>702</v>
      </c>
      <c r="I132" s="32"/>
      <c r="J132" s="76">
        <f>23.5/ATHENS!O1*ATHENS!O2</f>
        <v>42.727272727272727</v>
      </c>
      <c r="K132" s="76">
        <f>33.5/ATHENS!O1*ATHENS!O2</f>
        <v>60.909090909090907</v>
      </c>
      <c r="L132" s="76">
        <f>50.5/ATHENS!O1*ATHENS!O2</f>
        <v>91.818181818181813</v>
      </c>
      <c r="M132" s="46"/>
      <c r="N132" s="46"/>
    </row>
    <row r="133" spans="1:15" x14ac:dyDescent="0.2">
      <c r="A133" s="90"/>
      <c r="O133" s="17"/>
    </row>
    <row r="134" spans="1:15" x14ac:dyDescent="0.2">
      <c r="A134" s="90"/>
      <c r="O134" s="17"/>
    </row>
    <row r="135" spans="1:15" x14ac:dyDescent="0.2">
      <c r="A135" s="90"/>
      <c r="O135" s="17"/>
    </row>
    <row r="136" spans="1:15" x14ac:dyDescent="0.2">
      <c r="A136" s="90"/>
      <c r="O136" s="17"/>
    </row>
    <row r="137" spans="1:15" x14ac:dyDescent="0.2">
      <c r="A137" s="90"/>
      <c r="O137" s="17"/>
    </row>
    <row r="138" spans="1:15" x14ac:dyDescent="0.2">
      <c r="A138" s="90"/>
      <c r="O138" s="17"/>
    </row>
    <row r="139" spans="1:15" x14ac:dyDescent="0.2">
      <c r="A139" s="90"/>
      <c r="O139" s="17"/>
    </row>
    <row r="140" spans="1:15" x14ac:dyDescent="0.2">
      <c r="A140" s="90"/>
      <c r="O140" s="17"/>
    </row>
    <row r="141" spans="1:15" x14ac:dyDescent="0.2">
      <c r="A141" s="90"/>
      <c r="O141" s="17"/>
    </row>
    <row r="142" spans="1:15" x14ac:dyDescent="0.2">
      <c r="A142" s="90"/>
      <c r="O142" s="17"/>
    </row>
    <row r="143" spans="1:15" x14ac:dyDescent="0.2">
      <c r="A143" s="90"/>
      <c r="O143" s="17"/>
    </row>
    <row r="144" spans="1:15" x14ac:dyDescent="0.2">
      <c r="A144" s="90"/>
      <c r="O144" s="17"/>
    </row>
    <row r="145" spans="1:15" x14ac:dyDescent="0.2">
      <c r="A145" s="90"/>
      <c r="O145" s="17"/>
    </row>
    <row r="146" spans="1:15" x14ac:dyDescent="0.2">
      <c r="A146" s="90"/>
      <c r="O146" s="17"/>
    </row>
    <row r="147" spans="1:15" x14ac:dyDescent="0.2">
      <c r="A147" s="90"/>
      <c r="O147" s="17"/>
    </row>
    <row r="148" spans="1:15" x14ac:dyDescent="0.2">
      <c r="A148" s="90"/>
      <c r="O148" s="17"/>
    </row>
    <row r="149" spans="1:15" x14ac:dyDescent="0.2">
      <c r="A149" s="90"/>
      <c r="O149" s="17"/>
    </row>
    <row r="150" spans="1:15" x14ac:dyDescent="0.2">
      <c r="A150" s="90"/>
      <c r="O150" s="17"/>
    </row>
    <row r="151" spans="1:15" x14ac:dyDescent="0.2">
      <c r="A151" s="90"/>
      <c r="O151" s="17"/>
    </row>
    <row r="152" spans="1:15" x14ac:dyDescent="0.2">
      <c r="A152" s="90"/>
      <c r="O152" s="17"/>
    </row>
    <row r="153" spans="1:15" x14ac:dyDescent="0.2">
      <c r="A153" s="90"/>
      <c r="O153" s="17"/>
    </row>
    <row r="154" spans="1:15" x14ac:dyDescent="0.2">
      <c r="A154" s="90"/>
      <c r="O154" s="17"/>
    </row>
    <row r="155" spans="1:15" x14ac:dyDescent="0.2">
      <c r="A155" s="90"/>
      <c r="O155" s="17"/>
    </row>
    <row r="156" spans="1:15" x14ac:dyDescent="0.2">
      <c r="A156" s="90"/>
      <c r="O156" s="17"/>
    </row>
    <row r="157" spans="1:15" x14ac:dyDescent="0.2">
      <c r="A157" s="90"/>
      <c r="O157" s="17"/>
    </row>
    <row r="158" spans="1:15" x14ac:dyDescent="0.2">
      <c r="A158" s="90"/>
      <c r="O158" s="17"/>
    </row>
    <row r="159" spans="1:15" x14ac:dyDescent="0.2">
      <c r="A159" s="90"/>
      <c r="O159" s="17"/>
    </row>
    <row r="160" spans="1:15" x14ac:dyDescent="0.2">
      <c r="A160" s="90"/>
      <c r="O160" s="17"/>
    </row>
    <row r="161" spans="1:15" x14ac:dyDescent="0.2">
      <c r="A161" s="90"/>
      <c r="O161" s="17"/>
    </row>
    <row r="162" spans="1:15" x14ac:dyDescent="0.2">
      <c r="A162" s="90"/>
      <c r="O162" s="17"/>
    </row>
    <row r="163" spans="1:15" x14ac:dyDescent="0.2">
      <c r="A163" s="90"/>
      <c r="O163" s="17"/>
    </row>
    <row r="164" spans="1:15" x14ac:dyDescent="0.2">
      <c r="A164" s="90"/>
      <c r="O164" s="17"/>
    </row>
    <row r="165" spans="1:15" x14ac:dyDescent="0.2">
      <c r="A165" s="90"/>
      <c r="O165" s="17"/>
    </row>
    <row r="166" spans="1:15" x14ac:dyDescent="0.2">
      <c r="A166" s="90"/>
      <c r="O166" s="17"/>
    </row>
    <row r="167" spans="1:15" x14ac:dyDescent="0.2">
      <c r="A167" s="90"/>
      <c r="O167" s="17"/>
    </row>
    <row r="168" spans="1:15" x14ac:dyDescent="0.2">
      <c r="A168" s="90"/>
      <c r="O168" s="17"/>
    </row>
    <row r="169" spans="1:15" x14ac:dyDescent="0.2">
      <c r="A169" s="90"/>
      <c r="O169" s="17"/>
    </row>
    <row r="170" spans="1:15" x14ac:dyDescent="0.2">
      <c r="A170" s="90"/>
      <c r="O170" s="17"/>
    </row>
    <row r="171" spans="1:15" x14ac:dyDescent="0.2">
      <c r="A171" s="90"/>
      <c r="O171" s="17"/>
    </row>
    <row r="172" spans="1:15" x14ac:dyDescent="0.2">
      <c r="A172" s="90"/>
      <c r="O172" s="17"/>
    </row>
    <row r="173" spans="1:15" x14ac:dyDescent="0.2">
      <c r="A173" s="90"/>
      <c r="O173" s="17"/>
    </row>
    <row r="174" spans="1:15" x14ac:dyDescent="0.2">
      <c r="A174" s="90"/>
      <c r="O174" s="17"/>
    </row>
    <row r="175" spans="1:15" x14ac:dyDescent="0.2">
      <c r="A175" s="90"/>
      <c r="O175" s="17"/>
    </row>
    <row r="176" spans="1:15" x14ac:dyDescent="0.2">
      <c r="A176" s="90"/>
      <c r="O176" s="17"/>
    </row>
    <row r="177" spans="1:15" x14ac:dyDescent="0.2">
      <c r="A177" s="90"/>
      <c r="O177" s="17"/>
    </row>
    <row r="178" spans="1:15" x14ac:dyDescent="0.2">
      <c r="A178" s="90"/>
      <c r="O178" s="17"/>
    </row>
    <row r="179" spans="1:15" x14ac:dyDescent="0.2">
      <c r="A179" s="90"/>
      <c r="O179" s="17"/>
    </row>
    <row r="180" spans="1:15" x14ac:dyDescent="0.2">
      <c r="A180" s="90"/>
      <c r="O180" s="17"/>
    </row>
    <row r="181" spans="1:15" x14ac:dyDescent="0.2">
      <c r="A181" s="90"/>
      <c r="O181" s="17"/>
    </row>
    <row r="182" spans="1:15" x14ac:dyDescent="0.2">
      <c r="A182" s="90"/>
      <c r="O182" s="17"/>
    </row>
    <row r="183" spans="1:15" x14ac:dyDescent="0.2">
      <c r="A183" s="90"/>
      <c r="O183" s="17"/>
    </row>
    <row r="184" spans="1:15" x14ac:dyDescent="0.2">
      <c r="A184" s="90"/>
      <c r="O184" s="17"/>
    </row>
    <row r="185" spans="1:15" x14ac:dyDescent="0.2">
      <c r="A185" s="90"/>
      <c r="O185" s="17"/>
    </row>
    <row r="186" spans="1:15" x14ac:dyDescent="0.2">
      <c r="A186" s="90"/>
      <c r="O186" s="17"/>
    </row>
    <row r="187" spans="1:15" x14ac:dyDescent="0.2">
      <c r="A187" s="90"/>
      <c r="O187" s="17"/>
    </row>
    <row r="188" spans="1:15" x14ac:dyDescent="0.2">
      <c r="A188" s="90"/>
      <c r="O188" s="17"/>
    </row>
    <row r="189" spans="1:15" x14ac:dyDescent="0.2">
      <c r="A189" s="90"/>
      <c r="O189" s="17"/>
    </row>
    <row r="190" spans="1:15" x14ac:dyDescent="0.2">
      <c r="A190" s="90"/>
      <c r="O190" s="17"/>
    </row>
    <row r="191" spans="1:15" x14ac:dyDescent="0.2">
      <c r="A191" s="90"/>
      <c r="O191" s="17"/>
    </row>
    <row r="192" spans="1:15" x14ac:dyDescent="0.2">
      <c r="A192" s="90"/>
      <c r="O192" s="17"/>
    </row>
    <row r="193" spans="1:15" x14ac:dyDescent="0.2">
      <c r="A193" s="90"/>
      <c r="O193" s="17"/>
    </row>
    <row r="194" spans="1:15" x14ac:dyDescent="0.2">
      <c r="A194" s="90"/>
      <c r="O194" s="17"/>
    </row>
    <row r="195" spans="1:15" x14ac:dyDescent="0.2">
      <c r="A195" s="90"/>
      <c r="O195" s="17"/>
    </row>
    <row r="196" spans="1:15" x14ac:dyDescent="0.2">
      <c r="A196" s="90"/>
      <c r="O196" s="17"/>
    </row>
    <row r="197" spans="1:15" x14ac:dyDescent="0.2">
      <c r="A197" s="90"/>
      <c r="O197" s="17"/>
    </row>
    <row r="198" spans="1:15" x14ac:dyDescent="0.2">
      <c r="A198" s="90"/>
      <c r="O198" s="17"/>
    </row>
    <row r="199" spans="1:15" x14ac:dyDescent="0.2">
      <c r="A199" s="90"/>
      <c r="O199" s="17"/>
    </row>
  </sheetData>
  <customSheetViews>
    <customSheetView guid="{3C76061C-A85D-4390-B9DB-73E13038638C}" showPageBreaks="1" showGridLines="0" view="pageLayout" topLeftCell="A163">
      <selection activeCell="M51" sqref="M51"/>
      <rowBreaks count="3" manualBreakCount="3">
        <brk id="39" max="16383" man="1"/>
        <brk id="78" max="16383" man="1"/>
        <brk id="114" max="16383" man="1"/>
      </rowBreaks>
      <pageMargins left="0.28125" right="0.25" top="0.6692913385826772" bottom="0.70866141732283472" header="0.23622047244094491" footer="0.47244094488188981"/>
      <printOptions horizontalCentered="1"/>
      <pageSetup paperSize="9" firstPageNumber="29"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 guid="{777CFE61-6F99-11D9-974B-0050BFD074B6}" showRuler="0">
      <selection activeCell="K14" sqref="K14:N18"/>
      <pageMargins left="0" right="0" top="0" bottom="0" header="0" footer="0"/>
      <pageSetup paperSize="9" orientation="portrait" horizontalDpi="4294967293" verticalDpi="300" r:id="rId2"/>
      <headerFooter alignWithMargins="0"/>
    </customSheetView>
  </customSheetViews>
  <mergeCells count="45">
    <mergeCell ref="B82:M82"/>
    <mergeCell ref="C85:N86"/>
    <mergeCell ref="B91:D91"/>
    <mergeCell ref="B92:D92"/>
    <mergeCell ref="B98:M98"/>
    <mergeCell ref="B131:D131"/>
    <mergeCell ref="B132:D132"/>
    <mergeCell ref="C122:N125"/>
    <mergeCell ref="B119:M119"/>
    <mergeCell ref="C101:N105"/>
    <mergeCell ref="B110:D110"/>
    <mergeCell ref="B130:D130"/>
    <mergeCell ref="B113:D113"/>
    <mergeCell ref="B111:D111"/>
    <mergeCell ref="B112:D112"/>
    <mergeCell ref="B75:D75"/>
    <mergeCell ref="B41:M41"/>
    <mergeCell ref="C44:N50"/>
    <mergeCell ref="B57:D57"/>
    <mergeCell ref="B58:D58"/>
    <mergeCell ref="C67:N70"/>
    <mergeCell ref="B74:D74"/>
    <mergeCell ref="B60:D60"/>
    <mergeCell ref="B2:M2"/>
    <mergeCell ref="B16:D16"/>
    <mergeCell ref="B19:D19"/>
    <mergeCell ref="B17:D17"/>
    <mergeCell ref="B18:D18"/>
    <mergeCell ref="C5:N9"/>
    <mergeCell ref="C27:N30"/>
    <mergeCell ref="B36:D36"/>
    <mergeCell ref="B94:D94"/>
    <mergeCell ref="B20:D20"/>
    <mergeCell ref="B38:D38"/>
    <mergeCell ref="B56:D56"/>
    <mergeCell ref="B21:D21"/>
    <mergeCell ref="B55:D55"/>
    <mergeCell ref="B24:M24"/>
    <mergeCell ref="B35:D35"/>
    <mergeCell ref="B77:D77"/>
    <mergeCell ref="B59:D59"/>
    <mergeCell ref="B37:D37"/>
    <mergeCell ref="B54:D54"/>
    <mergeCell ref="B64:M64"/>
    <mergeCell ref="B76:D76"/>
  </mergeCells>
  <phoneticPr fontId="0" type="noConversion"/>
  <hyperlinks>
    <hyperlink ref="B2:M2" r:id="rId3" display=" Aquis Corfu Holidays Palace" xr:uid="{00000000-0004-0000-0B00-000000000000}"/>
    <hyperlink ref="B24:M24" r:id="rId4" display="Corfu Palace" xr:uid="{00000000-0004-0000-0B00-000001000000}"/>
    <hyperlink ref="B41:M41" r:id="rId5" display="Kontokali Bay" xr:uid="{00000000-0004-0000-0B00-000002000000}"/>
    <hyperlink ref="B64:M64" r:id="rId6" display="Melia Marbella Corfu" xr:uid="{00000000-0004-0000-0B00-000003000000}"/>
    <hyperlink ref="B98:M98" r:id="rId7" display=" Nissaki Beach" xr:uid="{00000000-0004-0000-0B00-000004000000}"/>
    <hyperlink ref="B119:M119" r:id="rId8" display="Livadi Nafsika" xr:uid="{00000000-0004-0000-0B00-000005000000}"/>
    <hyperlink ref="B82:M82" r:id="rId9" display="Elea Beach" xr:uid="{00000000-0004-0000-0B00-000006000000}"/>
  </hyperlinks>
  <printOptions horizontalCentered="1"/>
  <pageMargins left="0.28125" right="0.25" top="0.6692913385826772" bottom="0.70866141732283472" header="0.23622047244094491" footer="0.47244094488188981"/>
  <pageSetup paperSize="9" firstPageNumber="29" orientation="portrait" useFirstPageNumber="1" horizontalDpi="300" verticalDpi="300" r:id="rId10"/>
  <headerFooter scaleWithDoc="0" alignWithMargins="0">
    <oddHeader xml:space="preserve">&amp;C TARIFF 2021
 (EURO)
</oddHeader>
    <oddFooter>&amp;LAll rates are in EURO&amp;C
TARIFF 2021
&amp;RPage &amp;P</oddFooter>
  </headerFooter>
  <rowBreaks count="3" manualBreakCount="3">
    <brk id="39" max="16383" man="1"/>
    <brk id="78" max="16383" man="1"/>
    <brk id="114"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dimension ref="A1:IV490"/>
  <sheetViews>
    <sheetView showGridLines="0" view="pageLayout" zoomScaleNormal="100" workbookViewId="0">
      <selection activeCell="M53" sqref="M53"/>
    </sheetView>
  </sheetViews>
  <sheetFormatPr defaultRowHeight="12.75" x14ac:dyDescent="0.2"/>
  <cols>
    <col min="1" max="1" width="1.85546875" style="98" customWidth="1"/>
    <col min="2" max="3" width="10.7109375" style="98" customWidth="1"/>
    <col min="4" max="9" width="3.7109375" style="98" customWidth="1"/>
    <col min="10" max="14" width="10.7109375" style="98" customWidth="1"/>
    <col min="15" max="15" width="9.5703125" style="98" customWidth="1"/>
    <col min="16" max="16" width="2.7109375" style="98" customWidth="1"/>
    <col min="17" max="17" width="4.140625" style="98" customWidth="1"/>
    <col min="18" max="18" width="4.7109375" style="98" customWidth="1"/>
    <col min="19" max="19" width="3.85546875" style="98" customWidth="1"/>
    <col min="20" max="20" width="4" style="98" customWidth="1"/>
    <col min="21" max="21" width="4.7109375" style="98" customWidth="1"/>
    <col min="22" max="22" width="4.28515625" style="98" customWidth="1"/>
    <col min="23" max="27" width="2.7109375" style="98" customWidth="1"/>
    <col min="28" max="16384" width="9.140625" style="98"/>
  </cols>
  <sheetData>
    <row r="1" spans="1:14" s="17" customFormat="1" x14ac:dyDescent="0.2">
      <c r="A1" s="20"/>
      <c r="B1" s="21"/>
      <c r="C1" s="21"/>
      <c r="D1" s="21"/>
      <c r="E1" s="22"/>
      <c r="F1" s="22"/>
      <c r="G1" s="22"/>
      <c r="H1" s="22"/>
      <c r="I1" s="22"/>
      <c r="J1" s="22"/>
      <c r="K1" s="22"/>
      <c r="L1" s="22"/>
      <c r="M1" s="22"/>
      <c r="N1" s="23"/>
    </row>
    <row r="2" spans="1:14" s="17" customFormat="1" ht="15" x14ac:dyDescent="0.2">
      <c r="A2" s="24"/>
      <c r="B2" s="440" t="s">
        <v>1141</v>
      </c>
      <c r="C2" s="441"/>
      <c r="D2" s="441"/>
      <c r="E2" s="441"/>
      <c r="F2" s="441"/>
      <c r="G2" s="441"/>
      <c r="H2" s="441"/>
      <c r="I2" s="441"/>
      <c r="J2" s="441"/>
      <c r="K2" s="441"/>
      <c r="L2" s="441"/>
      <c r="M2" s="442"/>
      <c r="N2" s="25" t="s">
        <v>1104</v>
      </c>
    </row>
    <row r="3" spans="1:14" s="17" customFormat="1" x14ac:dyDescent="0.2">
      <c r="A3" s="24"/>
      <c r="B3" s="26" t="s">
        <v>428</v>
      </c>
      <c r="C3" s="27" t="s">
        <v>139</v>
      </c>
      <c r="D3" s="27"/>
      <c r="E3" s="28"/>
      <c r="F3" s="28"/>
      <c r="G3" s="28"/>
      <c r="H3" s="28"/>
      <c r="I3" s="28"/>
      <c r="J3" s="28"/>
      <c r="K3" s="28"/>
      <c r="L3" s="28"/>
      <c r="M3" s="28"/>
      <c r="N3" s="29"/>
    </row>
    <row r="4" spans="1:14" s="17" customFormat="1" x14ac:dyDescent="0.2">
      <c r="A4" s="24"/>
      <c r="B4" s="26" t="s">
        <v>429</v>
      </c>
      <c r="C4" s="27" t="s">
        <v>140</v>
      </c>
      <c r="D4" s="27"/>
      <c r="E4" s="28"/>
      <c r="F4" s="28"/>
      <c r="G4" s="28"/>
      <c r="H4" s="28"/>
      <c r="I4" s="28"/>
      <c r="J4" s="28"/>
      <c r="K4" s="28"/>
      <c r="L4" s="28"/>
      <c r="M4" s="28"/>
      <c r="N4" s="29"/>
    </row>
    <row r="5" spans="1:14" s="17" customFormat="1" x14ac:dyDescent="0.2">
      <c r="A5" s="24"/>
      <c r="B5" s="26" t="s">
        <v>427</v>
      </c>
      <c r="C5" s="436" t="s">
        <v>1648</v>
      </c>
      <c r="D5" s="436"/>
      <c r="E5" s="436"/>
      <c r="F5" s="436"/>
      <c r="G5" s="436"/>
      <c r="H5" s="436"/>
      <c r="I5" s="436"/>
      <c r="J5" s="436"/>
      <c r="K5" s="436"/>
      <c r="L5" s="436"/>
      <c r="M5" s="436"/>
      <c r="N5" s="437"/>
    </row>
    <row r="6" spans="1:14" s="17" customFormat="1" x14ac:dyDescent="0.2">
      <c r="A6" s="24"/>
      <c r="B6" s="26"/>
      <c r="C6" s="436"/>
      <c r="D6" s="436"/>
      <c r="E6" s="436"/>
      <c r="F6" s="436"/>
      <c r="G6" s="436"/>
      <c r="H6" s="436"/>
      <c r="I6" s="436"/>
      <c r="J6" s="436"/>
      <c r="K6" s="436"/>
      <c r="L6" s="436"/>
      <c r="M6" s="436"/>
      <c r="N6" s="437"/>
    </row>
    <row r="7" spans="1:14" s="17" customFormat="1" x14ac:dyDescent="0.2">
      <c r="A7" s="24"/>
      <c r="B7" s="26"/>
      <c r="C7" s="436"/>
      <c r="D7" s="436"/>
      <c r="E7" s="436"/>
      <c r="F7" s="436"/>
      <c r="G7" s="436"/>
      <c r="H7" s="436"/>
      <c r="I7" s="436"/>
      <c r="J7" s="436"/>
      <c r="K7" s="436"/>
      <c r="L7" s="436"/>
      <c r="M7" s="436"/>
      <c r="N7" s="437"/>
    </row>
    <row r="8" spans="1:14" s="17" customFormat="1" x14ac:dyDescent="0.2">
      <c r="A8" s="24"/>
      <c r="B8" s="26"/>
      <c r="C8" s="436"/>
      <c r="D8" s="436"/>
      <c r="E8" s="436"/>
      <c r="F8" s="436"/>
      <c r="G8" s="436"/>
      <c r="H8" s="436"/>
      <c r="I8" s="436"/>
      <c r="J8" s="436"/>
      <c r="K8" s="436"/>
      <c r="L8" s="436"/>
      <c r="M8" s="436"/>
      <c r="N8" s="437"/>
    </row>
    <row r="9" spans="1:14" s="17" customFormat="1" x14ac:dyDescent="0.2">
      <c r="A9" s="24"/>
      <c r="B9" s="26"/>
      <c r="C9" s="438"/>
      <c r="D9" s="438"/>
      <c r="E9" s="438"/>
      <c r="F9" s="438"/>
      <c r="G9" s="438"/>
      <c r="H9" s="438"/>
      <c r="I9" s="438"/>
      <c r="J9" s="438"/>
      <c r="K9" s="438"/>
      <c r="L9" s="438"/>
      <c r="M9" s="438"/>
      <c r="N9" s="439"/>
    </row>
    <row r="10" spans="1:14" s="17" customFormat="1" x14ac:dyDescent="0.2">
      <c r="A10" s="24"/>
      <c r="B10" s="26"/>
      <c r="C10" s="438"/>
      <c r="D10" s="438"/>
      <c r="E10" s="438"/>
      <c r="F10" s="438"/>
      <c r="G10" s="438"/>
      <c r="H10" s="438"/>
      <c r="I10" s="438"/>
      <c r="J10" s="438"/>
      <c r="K10" s="438"/>
      <c r="L10" s="438"/>
      <c r="M10" s="438"/>
      <c r="N10" s="439"/>
    </row>
    <row r="11" spans="1:14" s="17" customFormat="1" x14ac:dyDescent="0.2">
      <c r="A11" s="24"/>
      <c r="B11" s="26" t="s">
        <v>426</v>
      </c>
      <c r="C11" s="27" t="s">
        <v>1490</v>
      </c>
      <c r="D11" s="27"/>
      <c r="E11" s="28"/>
      <c r="F11" s="28"/>
      <c r="G11" s="28"/>
      <c r="H11" s="28"/>
      <c r="I11" s="28"/>
      <c r="J11" s="28"/>
      <c r="K11" s="28"/>
      <c r="L11" s="28"/>
      <c r="M11" s="28"/>
      <c r="N11" s="29"/>
    </row>
    <row r="12" spans="1:14" s="17" customFormat="1" x14ac:dyDescent="0.2">
      <c r="A12" s="24"/>
      <c r="B12" s="26" t="s">
        <v>430</v>
      </c>
      <c r="C12" s="27" t="s">
        <v>1491</v>
      </c>
      <c r="D12" s="27"/>
      <c r="E12" s="28"/>
      <c r="F12" s="28"/>
      <c r="G12" s="28"/>
      <c r="H12" s="28"/>
      <c r="I12" s="28"/>
      <c r="J12" s="28"/>
      <c r="K12" s="28"/>
      <c r="L12" s="28"/>
      <c r="M12" s="28"/>
      <c r="N12" s="29"/>
    </row>
    <row r="13" spans="1:14" s="17" customFormat="1" ht="13.5" thickBot="1" x14ac:dyDescent="0.25">
      <c r="A13" s="30"/>
      <c r="B13" s="31"/>
      <c r="C13" s="31" t="s">
        <v>1492</v>
      </c>
      <c r="D13" s="31"/>
      <c r="E13" s="32"/>
      <c r="F13" s="32"/>
      <c r="G13" s="32"/>
      <c r="H13" s="32"/>
      <c r="I13" s="32"/>
      <c r="J13" s="32"/>
      <c r="K13" s="32"/>
      <c r="L13" s="32"/>
      <c r="M13" s="32"/>
      <c r="N13" s="33"/>
    </row>
    <row r="14" spans="1:14" s="17" customFormat="1" x14ac:dyDescent="0.2">
      <c r="A14" s="20"/>
      <c r="B14" s="21" t="s">
        <v>263</v>
      </c>
      <c r="C14" s="21"/>
      <c r="D14" s="21"/>
      <c r="E14" s="22"/>
      <c r="F14" s="22"/>
      <c r="G14" s="22"/>
      <c r="H14" s="22"/>
      <c r="I14" s="22"/>
      <c r="J14" s="92" t="s">
        <v>2131</v>
      </c>
      <c r="K14" s="37" t="s">
        <v>2133</v>
      </c>
      <c r="L14" s="37" t="s">
        <v>2134</v>
      </c>
      <c r="M14" s="37"/>
      <c r="N14" s="37"/>
    </row>
    <row r="15" spans="1:14" s="17" customFormat="1" ht="13.5" thickBot="1" x14ac:dyDescent="0.25">
      <c r="A15" s="30"/>
      <c r="B15" s="31"/>
      <c r="C15" s="31"/>
      <c r="D15" s="31"/>
      <c r="E15" s="32"/>
      <c r="F15" s="32"/>
      <c r="G15" s="32"/>
      <c r="H15" s="32"/>
      <c r="I15" s="32"/>
      <c r="J15" s="49" t="s">
        <v>2132</v>
      </c>
      <c r="K15" s="93" t="s">
        <v>509</v>
      </c>
      <c r="L15" s="93" t="s">
        <v>1576</v>
      </c>
      <c r="M15" s="93" t="s">
        <v>1577</v>
      </c>
      <c r="N15" s="40"/>
    </row>
    <row r="16" spans="1:14" s="17" customFormat="1" x14ac:dyDescent="0.2">
      <c r="A16" s="20"/>
      <c r="B16" s="434" t="s">
        <v>594</v>
      </c>
      <c r="C16" s="434"/>
      <c r="D16" s="434"/>
      <c r="E16" s="22"/>
      <c r="F16" s="22" t="s">
        <v>1504</v>
      </c>
      <c r="G16" s="22" t="s">
        <v>1484</v>
      </c>
      <c r="H16" s="22" t="s">
        <v>702</v>
      </c>
      <c r="I16" s="22"/>
      <c r="J16" s="74">
        <f>66.7/ATHENS!O1*ATHENS!O2</f>
        <v>121.27272727272727</v>
      </c>
      <c r="K16" s="74">
        <v>112.5</v>
      </c>
      <c r="L16" s="74">
        <f>136.5/ATHENS!O1*ATHENS!O2</f>
        <v>248.18181818181816</v>
      </c>
      <c r="M16" s="74">
        <f>185.5/ATHENS!O1*ATHENS!O2</f>
        <v>337.27272727272725</v>
      </c>
      <c r="N16" s="42"/>
    </row>
    <row r="17" spans="1:14" s="17" customFormat="1" x14ac:dyDescent="0.2">
      <c r="A17" s="24"/>
      <c r="B17" s="435" t="s">
        <v>594</v>
      </c>
      <c r="C17" s="435"/>
      <c r="D17" s="435"/>
      <c r="E17" s="28"/>
      <c r="F17" s="28" t="s">
        <v>1505</v>
      </c>
      <c r="G17" s="28" t="s">
        <v>1484</v>
      </c>
      <c r="H17" s="28" t="s">
        <v>702</v>
      </c>
      <c r="I17" s="28"/>
      <c r="J17" s="75">
        <f>51.6/ATHENS!O1*ATHENS!O2</f>
        <v>93.818181818181813</v>
      </c>
      <c r="K17" s="75">
        <f>70.5/ATHENS!O1*ATHENS!O2</f>
        <v>128.18181818181816</v>
      </c>
      <c r="L17" s="75">
        <f>85.5/ATHENS!O1*ATHENS!O2</f>
        <v>155.45454545454544</v>
      </c>
      <c r="M17" s="75">
        <f>115.9/ATHENS!O1*ATHENS!O2</f>
        <v>210.72727272727272</v>
      </c>
      <c r="N17" s="44"/>
    </row>
    <row r="18" spans="1:14" s="17" customFormat="1" x14ac:dyDescent="0.2">
      <c r="A18" s="24"/>
      <c r="B18" s="435" t="s">
        <v>594</v>
      </c>
      <c r="C18" s="435"/>
      <c r="D18" s="435"/>
      <c r="E18" s="28"/>
      <c r="F18" s="28" t="s">
        <v>1506</v>
      </c>
      <c r="G18" s="28" t="s">
        <v>1484</v>
      </c>
      <c r="H18" s="28" t="s">
        <v>702</v>
      </c>
      <c r="I18" s="28"/>
      <c r="J18" s="75">
        <f>46.5/ATHENS!O1*ATHENS!O2</f>
        <v>84.545454545454533</v>
      </c>
      <c r="K18" s="75">
        <f>63.5/ATHENS!O1*ATHENS!O2</f>
        <v>115.45454545454544</v>
      </c>
      <c r="L18" s="75">
        <f>77.5/ATHENS!O1*ATHENS!O2</f>
        <v>140.90909090909091</v>
      </c>
      <c r="M18" s="75">
        <f>104.5/ATHENS!O1*ATHENS!O2</f>
        <v>189.99999999999997</v>
      </c>
      <c r="N18" s="44"/>
    </row>
    <row r="19" spans="1:14" s="17" customFormat="1" x14ac:dyDescent="0.2">
      <c r="A19" s="24"/>
      <c r="B19" s="435" t="s">
        <v>1493</v>
      </c>
      <c r="C19" s="435"/>
      <c r="D19" s="435"/>
      <c r="E19" s="28"/>
      <c r="F19" s="28" t="s">
        <v>1504</v>
      </c>
      <c r="G19" s="28" t="s">
        <v>1484</v>
      </c>
      <c r="H19" s="28" t="s">
        <v>702</v>
      </c>
      <c r="I19" s="28"/>
      <c r="J19" s="75">
        <f>73.5/ATHENS!O1*ATHENS!O2</f>
        <v>133.63636363636363</v>
      </c>
      <c r="K19" s="75">
        <f>128.5/ATHENS!O1*ATHENS!O2</f>
        <v>233.63636363636363</v>
      </c>
      <c r="L19" s="75">
        <f>151.5/ATHENS!O1*ATHENS!O2</f>
        <v>275.45454545454544</v>
      </c>
      <c r="M19" s="75">
        <f>203.5/ATHENS!O1*ATHENS!O2</f>
        <v>369.99999999999994</v>
      </c>
      <c r="N19" s="44"/>
    </row>
    <row r="20" spans="1:14" s="17" customFormat="1" x14ac:dyDescent="0.2">
      <c r="A20" s="24"/>
      <c r="B20" s="435" t="s">
        <v>1493</v>
      </c>
      <c r="C20" s="435"/>
      <c r="D20" s="435"/>
      <c r="E20" s="28"/>
      <c r="F20" s="28" t="s">
        <v>1505</v>
      </c>
      <c r="G20" s="28" t="s">
        <v>1484</v>
      </c>
      <c r="H20" s="28" t="s">
        <v>702</v>
      </c>
      <c r="I20" s="28"/>
      <c r="J20" s="75">
        <f>55.8/ATHENS!O1*ATHENS!O2</f>
        <v>101.45454545454544</v>
      </c>
      <c r="K20" s="75">
        <f>79.8/ATHENS!O1*ATHENS!O2</f>
        <v>145.09090909090907</v>
      </c>
      <c r="L20" s="75">
        <f>94.9/ATHENS!O1*ATHENS!O2</f>
        <v>172.54545454545453</v>
      </c>
      <c r="M20" s="75">
        <f>126.96/ATHENS!O1*ATHENS!O2</f>
        <v>230.83636363636361</v>
      </c>
      <c r="N20" s="44"/>
    </row>
    <row r="21" spans="1:14" s="17" customFormat="1" ht="13.5" thickBot="1" x14ac:dyDescent="0.25">
      <c r="A21" s="30"/>
      <c r="B21" s="443" t="s">
        <v>1493</v>
      </c>
      <c r="C21" s="443"/>
      <c r="D21" s="443"/>
      <c r="E21" s="32"/>
      <c r="F21" s="32" t="s">
        <v>1506</v>
      </c>
      <c r="G21" s="32" t="s">
        <v>1484</v>
      </c>
      <c r="H21" s="32" t="s">
        <v>702</v>
      </c>
      <c r="I21" s="32"/>
      <c r="J21" s="76">
        <f>50.5/ATHENS!O1*ATHENS!O2</f>
        <v>91.818181818181813</v>
      </c>
      <c r="K21" s="76">
        <f>71.9/ATHENS!O1*ATHENS!O2</f>
        <v>130.72727272727272</v>
      </c>
      <c r="L21" s="76">
        <f>85.5/ATHENS!O1*ATHENS!O2</f>
        <v>155.45454545454544</v>
      </c>
      <c r="M21" s="76">
        <f>114.5/ATHENS!O1*ATHENS!O2</f>
        <v>208.18181818181816</v>
      </c>
      <c r="N21" s="46"/>
    </row>
    <row r="22" spans="1:14" s="17" customFormat="1" x14ac:dyDescent="0.2">
      <c r="A22" s="52" t="s">
        <v>1421</v>
      </c>
      <c r="B22" s="27"/>
      <c r="C22" s="27"/>
      <c r="D22" s="27"/>
      <c r="E22" s="28"/>
      <c r="F22" s="28"/>
      <c r="G22" s="28"/>
      <c r="H22" s="28"/>
      <c r="I22" s="28"/>
      <c r="J22" s="229"/>
      <c r="K22" s="229"/>
      <c r="L22" s="229"/>
      <c r="M22" s="229"/>
      <c r="N22" s="53"/>
    </row>
    <row r="23" spans="1:14" s="17" customFormat="1" ht="13.5" thickBot="1" x14ac:dyDescent="0.25">
      <c r="A23" s="14"/>
      <c r="B23" s="15"/>
      <c r="C23" s="15"/>
      <c r="D23" s="15"/>
      <c r="E23" s="16"/>
      <c r="F23" s="16"/>
      <c r="G23" s="16"/>
      <c r="H23" s="16"/>
      <c r="I23" s="16"/>
      <c r="J23" s="16"/>
      <c r="K23" s="16"/>
      <c r="L23" s="16"/>
      <c r="M23" s="16"/>
      <c r="N23" s="16"/>
    </row>
    <row r="24" spans="1:14" s="17" customFormat="1" x14ac:dyDescent="0.2">
      <c r="A24" s="20"/>
      <c r="B24" s="21"/>
      <c r="C24" s="21"/>
      <c r="D24" s="21"/>
      <c r="E24" s="22"/>
      <c r="F24" s="22"/>
      <c r="G24" s="22"/>
      <c r="H24" s="22"/>
      <c r="I24" s="22"/>
      <c r="J24" s="22"/>
      <c r="K24" s="22"/>
      <c r="L24" s="22"/>
      <c r="M24" s="22"/>
      <c r="N24" s="23"/>
    </row>
    <row r="25" spans="1:14" s="17" customFormat="1" ht="15" x14ac:dyDescent="0.2">
      <c r="A25" s="24"/>
      <c r="B25" s="440" t="s">
        <v>207</v>
      </c>
      <c r="C25" s="441"/>
      <c r="D25" s="441"/>
      <c r="E25" s="441"/>
      <c r="F25" s="441"/>
      <c r="G25" s="441"/>
      <c r="H25" s="441"/>
      <c r="I25" s="441"/>
      <c r="J25" s="441"/>
      <c r="K25" s="441"/>
      <c r="L25" s="441"/>
      <c r="M25" s="442"/>
      <c r="N25" s="25" t="s">
        <v>1104</v>
      </c>
    </row>
    <row r="26" spans="1:14" s="17" customFormat="1" x14ac:dyDescent="0.2">
      <c r="A26" s="24"/>
      <c r="B26" s="26" t="s">
        <v>428</v>
      </c>
      <c r="C26" s="27" t="s">
        <v>139</v>
      </c>
      <c r="D26" s="27"/>
      <c r="E26" s="28"/>
      <c r="F26" s="28"/>
      <c r="G26" s="28"/>
      <c r="H26" s="28"/>
      <c r="I26" s="28"/>
      <c r="J26" s="28"/>
      <c r="K26" s="28"/>
      <c r="L26" s="28"/>
      <c r="M26" s="28"/>
      <c r="N26" s="29"/>
    </row>
    <row r="27" spans="1:14" s="17" customFormat="1" x14ac:dyDescent="0.2">
      <c r="A27" s="24"/>
      <c r="B27" s="26" t="s">
        <v>429</v>
      </c>
      <c r="C27" s="27" t="s">
        <v>141</v>
      </c>
      <c r="D27" s="27"/>
      <c r="E27" s="28"/>
      <c r="F27" s="28"/>
      <c r="G27" s="28"/>
      <c r="H27" s="28"/>
      <c r="I27" s="28"/>
      <c r="J27" s="28"/>
      <c r="K27" s="28"/>
      <c r="L27" s="28"/>
      <c r="M27" s="28"/>
      <c r="N27" s="29"/>
    </row>
    <row r="28" spans="1:14" s="17" customFormat="1" x14ac:dyDescent="0.2">
      <c r="A28" s="24"/>
      <c r="B28" s="26" t="s">
        <v>427</v>
      </c>
      <c r="C28" s="436" t="s">
        <v>1649</v>
      </c>
      <c r="D28" s="436"/>
      <c r="E28" s="436"/>
      <c r="F28" s="436"/>
      <c r="G28" s="436"/>
      <c r="H28" s="436"/>
      <c r="I28" s="436"/>
      <c r="J28" s="436"/>
      <c r="K28" s="436"/>
      <c r="L28" s="436"/>
      <c r="M28" s="436"/>
      <c r="N28" s="437"/>
    </row>
    <row r="29" spans="1:14" s="17" customFormat="1" x14ac:dyDescent="0.2">
      <c r="A29" s="24"/>
      <c r="B29" s="26"/>
      <c r="C29" s="436"/>
      <c r="D29" s="436"/>
      <c r="E29" s="436"/>
      <c r="F29" s="436"/>
      <c r="G29" s="436"/>
      <c r="H29" s="436"/>
      <c r="I29" s="436"/>
      <c r="J29" s="436"/>
      <c r="K29" s="436"/>
      <c r="L29" s="436"/>
      <c r="M29" s="436"/>
      <c r="N29" s="437"/>
    </row>
    <row r="30" spans="1:14" s="17" customFormat="1" x14ac:dyDescent="0.2">
      <c r="A30" s="24"/>
      <c r="B30" s="26"/>
      <c r="C30" s="436"/>
      <c r="D30" s="436"/>
      <c r="E30" s="436"/>
      <c r="F30" s="436"/>
      <c r="G30" s="436"/>
      <c r="H30" s="436"/>
      <c r="I30" s="436"/>
      <c r="J30" s="436"/>
      <c r="K30" s="436"/>
      <c r="L30" s="436"/>
      <c r="M30" s="436"/>
      <c r="N30" s="437"/>
    </row>
    <row r="31" spans="1:14" s="17" customFormat="1" x14ac:dyDescent="0.2">
      <c r="A31" s="24"/>
      <c r="B31" s="26"/>
      <c r="C31" s="436"/>
      <c r="D31" s="436"/>
      <c r="E31" s="436"/>
      <c r="F31" s="436"/>
      <c r="G31" s="436"/>
      <c r="H31" s="436"/>
      <c r="I31" s="436"/>
      <c r="J31" s="436"/>
      <c r="K31" s="436"/>
      <c r="L31" s="436"/>
      <c r="M31" s="436"/>
      <c r="N31" s="437"/>
    </row>
    <row r="32" spans="1:14" s="17" customFormat="1" x14ac:dyDescent="0.2">
      <c r="A32" s="24"/>
      <c r="B32" s="26"/>
      <c r="C32" s="438"/>
      <c r="D32" s="438"/>
      <c r="E32" s="438"/>
      <c r="F32" s="438"/>
      <c r="G32" s="438"/>
      <c r="H32" s="438"/>
      <c r="I32" s="438"/>
      <c r="J32" s="438"/>
      <c r="K32" s="438"/>
      <c r="L32" s="438"/>
      <c r="M32" s="438"/>
      <c r="N32" s="439"/>
    </row>
    <row r="33" spans="1:14" s="17" customFormat="1" x14ac:dyDescent="0.2">
      <c r="A33" s="24"/>
      <c r="B33" s="26"/>
      <c r="C33" s="438"/>
      <c r="D33" s="438"/>
      <c r="E33" s="438"/>
      <c r="F33" s="438"/>
      <c r="G33" s="438"/>
      <c r="H33" s="438"/>
      <c r="I33" s="438"/>
      <c r="J33" s="438"/>
      <c r="K33" s="438"/>
      <c r="L33" s="438"/>
      <c r="M33" s="438"/>
      <c r="N33" s="439"/>
    </row>
    <row r="34" spans="1:14" s="17" customFormat="1" x14ac:dyDescent="0.2">
      <c r="A34" s="24"/>
      <c r="B34" s="26"/>
      <c r="C34" s="438"/>
      <c r="D34" s="438"/>
      <c r="E34" s="438"/>
      <c r="F34" s="438"/>
      <c r="G34" s="438"/>
      <c r="H34" s="438"/>
      <c r="I34" s="438"/>
      <c r="J34" s="438"/>
      <c r="K34" s="438"/>
      <c r="L34" s="438"/>
      <c r="M34" s="438"/>
      <c r="N34" s="439"/>
    </row>
    <row r="35" spans="1:14" s="17" customFormat="1" x14ac:dyDescent="0.2">
      <c r="A35" s="24"/>
      <c r="B35" s="26"/>
      <c r="C35" s="438"/>
      <c r="D35" s="438"/>
      <c r="E35" s="438"/>
      <c r="F35" s="438"/>
      <c r="G35" s="438"/>
      <c r="H35" s="438"/>
      <c r="I35" s="438"/>
      <c r="J35" s="438"/>
      <c r="K35" s="438"/>
      <c r="L35" s="438"/>
      <c r="M35" s="438"/>
      <c r="N35" s="439"/>
    </row>
    <row r="36" spans="1:14" s="17" customFormat="1" x14ac:dyDescent="0.2">
      <c r="A36" s="24"/>
      <c r="B36" s="26"/>
      <c r="C36" s="438"/>
      <c r="D36" s="438"/>
      <c r="E36" s="438"/>
      <c r="F36" s="438"/>
      <c r="G36" s="438"/>
      <c r="H36" s="438"/>
      <c r="I36" s="438"/>
      <c r="J36" s="438"/>
      <c r="K36" s="438"/>
      <c r="L36" s="438"/>
      <c r="M36" s="438"/>
      <c r="N36" s="439"/>
    </row>
    <row r="37" spans="1:14" s="17" customFormat="1" x14ac:dyDescent="0.2">
      <c r="A37" s="24"/>
      <c r="B37" s="26" t="s">
        <v>426</v>
      </c>
      <c r="C37" s="27" t="s">
        <v>871</v>
      </c>
      <c r="D37" s="27"/>
      <c r="E37" s="28"/>
      <c r="F37" s="28"/>
      <c r="G37" s="28"/>
      <c r="H37" s="28"/>
      <c r="I37" s="28"/>
      <c r="J37" s="28"/>
      <c r="K37" s="28"/>
      <c r="L37" s="28"/>
      <c r="M37" s="28"/>
      <c r="N37" s="29"/>
    </row>
    <row r="38" spans="1:14" s="17" customFormat="1" x14ac:dyDescent="0.2">
      <c r="A38" s="24"/>
      <c r="B38" s="26" t="s">
        <v>430</v>
      </c>
      <c r="C38" s="27" t="s">
        <v>872</v>
      </c>
      <c r="D38" s="27"/>
      <c r="E38" s="28"/>
      <c r="F38" s="28"/>
      <c r="G38" s="28"/>
      <c r="H38" s="28"/>
      <c r="I38" s="28"/>
      <c r="J38" s="28"/>
      <c r="K38" s="28"/>
      <c r="L38" s="28"/>
      <c r="M38" s="28"/>
      <c r="N38" s="29"/>
    </row>
    <row r="39" spans="1:14" s="17" customFormat="1" ht="13.5" thickBot="1" x14ac:dyDescent="0.25">
      <c r="A39" s="30"/>
      <c r="B39" s="31"/>
      <c r="C39" s="31" t="s">
        <v>873</v>
      </c>
      <c r="D39" s="31"/>
      <c r="E39" s="32"/>
      <c r="F39" s="32"/>
      <c r="G39" s="32"/>
      <c r="H39" s="32"/>
      <c r="I39" s="32"/>
      <c r="J39" s="32"/>
      <c r="K39" s="32"/>
      <c r="L39" s="32"/>
      <c r="M39" s="32"/>
      <c r="N39" s="33"/>
    </row>
    <row r="40" spans="1:14" s="17" customFormat="1" x14ac:dyDescent="0.2">
      <c r="A40" s="20"/>
      <c r="B40" s="21" t="s">
        <v>263</v>
      </c>
      <c r="C40" s="21"/>
      <c r="D40" s="21"/>
      <c r="E40" s="22"/>
      <c r="F40" s="22"/>
      <c r="G40" s="22"/>
      <c r="H40" s="22"/>
      <c r="I40" s="22"/>
      <c r="J40" s="92" t="s">
        <v>2135</v>
      </c>
      <c r="K40" s="37" t="s">
        <v>2133</v>
      </c>
      <c r="L40" s="37" t="s">
        <v>2134</v>
      </c>
      <c r="M40" s="37"/>
      <c r="N40" s="37"/>
    </row>
    <row r="41" spans="1:14" s="17" customFormat="1" ht="13.5" thickBot="1" x14ac:dyDescent="0.25">
      <c r="A41" s="30"/>
      <c r="B41" s="31"/>
      <c r="C41" s="31"/>
      <c r="D41" s="31"/>
      <c r="E41" s="32"/>
      <c r="F41" s="32"/>
      <c r="G41" s="32"/>
      <c r="H41" s="32"/>
      <c r="I41" s="32"/>
      <c r="J41" s="49" t="s">
        <v>2132</v>
      </c>
      <c r="K41" s="93" t="s">
        <v>509</v>
      </c>
      <c r="L41" s="93" t="s">
        <v>1576</v>
      </c>
      <c r="M41" s="93" t="s">
        <v>1577</v>
      </c>
      <c r="N41" s="40"/>
    </row>
    <row r="42" spans="1:14" s="17" customFormat="1" x14ac:dyDescent="0.2">
      <c r="A42" s="20"/>
      <c r="B42" s="434" t="s">
        <v>594</v>
      </c>
      <c r="C42" s="434"/>
      <c r="D42" s="434"/>
      <c r="E42" s="22"/>
      <c r="F42" s="22" t="s">
        <v>1504</v>
      </c>
      <c r="G42" s="22" t="s">
        <v>1484</v>
      </c>
      <c r="H42" s="22" t="s">
        <v>702</v>
      </c>
      <c r="I42" s="22"/>
      <c r="J42" s="74">
        <f>76.5/ATHENS!O1*ATHENS!O2</f>
        <v>139.09090909090909</v>
      </c>
      <c r="K42" s="74">
        <f>109.9/ATHENS!O1*ATHENS!O2</f>
        <v>199.81818181818181</v>
      </c>
      <c r="L42" s="74">
        <f>147.5/ATHENS!O1*ATHENS!O2</f>
        <v>268.18181818181819</v>
      </c>
      <c r="M42" s="74">
        <f>198/ATHENS!O1*ATHENS!O2</f>
        <v>359.99999999999994</v>
      </c>
      <c r="N42" s="42"/>
    </row>
    <row r="43" spans="1:14" s="17" customFormat="1" x14ac:dyDescent="0.2">
      <c r="A43" s="24"/>
      <c r="B43" s="435" t="s">
        <v>594</v>
      </c>
      <c r="C43" s="435"/>
      <c r="D43" s="435"/>
      <c r="E43" s="28"/>
      <c r="F43" s="28" t="s">
        <v>1505</v>
      </c>
      <c r="G43" s="28" t="s">
        <v>1484</v>
      </c>
      <c r="H43" s="28" t="s">
        <v>702</v>
      </c>
      <c r="I43" s="28"/>
      <c r="J43" s="75">
        <f>58.5/ATHENS!O1*ATHENS!O2</f>
        <v>106.36363636363636</v>
      </c>
      <c r="K43" s="75">
        <f>78.5/ATHENS!O1*ATHENS!O2</f>
        <v>142.72727272727272</v>
      </c>
      <c r="L43" s="75">
        <f>98.5/ATHENS!O1*ATHENS!O2</f>
        <v>179.09090909090907</v>
      </c>
      <c r="M43" s="75">
        <f>132/ATHENS!O1*ATHENS!O2</f>
        <v>239.99999999999997</v>
      </c>
      <c r="N43" s="44"/>
    </row>
    <row r="44" spans="1:14" s="17" customFormat="1" x14ac:dyDescent="0.2">
      <c r="A44" s="24"/>
      <c r="B44" s="435" t="s">
        <v>1493</v>
      </c>
      <c r="C44" s="435"/>
      <c r="D44" s="435"/>
      <c r="E44" s="28"/>
      <c r="F44" s="28" t="s">
        <v>1505</v>
      </c>
      <c r="G44" s="28" t="s">
        <v>1484</v>
      </c>
      <c r="H44" s="28" t="s">
        <v>702</v>
      </c>
      <c r="I44" s="28"/>
      <c r="J44" s="75">
        <f>68.9/ATHENS!O1*ATHENS!O2</f>
        <v>125.27272727272727</v>
      </c>
      <c r="K44" s="75">
        <f>93.5/ATHENS!O1*ATHENS!O2</f>
        <v>170</v>
      </c>
      <c r="L44" s="75">
        <f>113.5/ATHENS!O1*ATHENS!O2</f>
        <v>206.36363636363635</v>
      </c>
      <c r="M44" s="75">
        <f>156.5/ATHENS!O1*ATHENS!O2</f>
        <v>284.5454545454545</v>
      </c>
      <c r="N44" s="44"/>
    </row>
    <row r="45" spans="1:14" s="17" customFormat="1" x14ac:dyDescent="0.2">
      <c r="A45" s="52" t="s">
        <v>1421</v>
      </c>
      <c r="B45" s="15"/>
      <c r="C45" s="15"/>
      <c r="D45" s="15"/>
      <c r="E45" s="16"/>
      <c r="F45" s="16"/>
      <c r="G45" s="16"/>
      <c r="H45" s="16"/>
      <c r="I45" s="16"/>
      <c r="J45" s="16"/>
      <c r="K45" s="16"/>
      <c r="L45" s="16"/>
      <c r="M45" s="16"/>
      <c r="N45" s="16"/>
    </row>
    <row r="46" spans="1:14" s="17" customFormat="1" x14ac:dyDescent="0.2">
      <c r="A46" s="52"/>
      <c r="B46" s="15"/>
      <c r="C46" s="15"/>
      <c r="D46" s="15"/>
      <c r="E46" s="16"/>
      <c r="F46" s="16"/>
      <c r="G46" s="16"/>
      <c r="H46" s="16"/>
      <c r="I46" s="16"/>
      <c r="J46" s="16"/>
      <c r="K46" s="16"/>
      <c r="L46" s="16"/>
      <c r="M46" s="16"/>
      <c r="N46" s="16"/>
    </row>
    <row r="47" spans="1:14" s="17" customFormat="1" x14ac:dyDescent="0.2">
      <c r="A47" s="52"/>
      <c r="B47" s="15"/>
      <c r="C47" s="15"/>
      <c r="D47" s="15"/>
      <c r="E47" s="16"/>
      <c r="F47" s="16"/>
      <c r="G47" s="16"/>
      <c r="H47" s="16"/>
      <c r="I47" s="16"/>
      <c r="J47" s="16"/>
      <c r="K47" s="16"/>
      <c r="L47" s="16"/>
      <c r="M47" s="16"/>
      <c r="N47" s="16"/>
    </row>
    <row r="48" spans="1:14" s="17" customFormat="1" x14ac:dyDescent="0.2">
      <c r="A48" s="52"/>
      <c r="B48" s="15"/>
      <c r="C48" s="15"/>
      <c r="D48" s="15"/>
      <c r="E48" s="16"/>
      <c r="F48" s="16"/>
      <c r="G48" s="16"/>
      <c r="H48" s="16"/>
      <c r="I48" s="16"/>
      <c r="J48" s="16"/>
      <c r="K48" s="16"/>
      <c r="L48" s="16"/>
      <c r="M48" s="16"/>
      <c r="N48" s="16"/>
    </row>
    <row r="49" spans="1:14" s="17" customFormat="1" x14ac:dyDescent="0.2">
      <c r="A49" s="52"/>
      <c r="B49" s="15"/>
      <c r="C49" s="15"/>
      <c r="D49" s="15"/>
      <c r="E49" s="16"/>
      <c r="F49" s="16"/>
      <c r="G49" s="16"/>
      <c r="H49" s="16"/>
      <c r="I49" s="16"/>
      <c r="J49" s="16"/>
      <c r="K49" s="16"/>
      <c r="L49" s="16"/>
      <c r="M49" s="16"/>
      <c r="N49" s="16"/>
    </row>
    <row r="50" spans="1:14" s="17" customFormat="1" x14ac:dyDescent="0.2">
      <c r="A50" s="52"/>
      <c r="B50" s="15"/>
      <c r="C50" s="15"/>
      <c r="D50" s="15"/>
      <c r="E50" s="16"/>
      <c r="F50" s="16"/>
      <c r="G50" s="16"/>
      <c r="H50" s="16"/>
      <c r="I50" s="16"/>
      <c r="J50" s="16"/>
      <c r="K50" s="16"/>
      <c r="L50" s="16"/>
      <c r="M50" s="16"/>
      <c r="N50" s="16"/>
    </row>
    <row r="51" spans="1:14" s="17" customFormat="1" ht="12.75" customHeight="1" x14ac:dyDescent="0.2">
      <c r="A51" s="52"/>
      <c r="B51" s="15"/>
      <c r="C51" s="15"/>
      <c r="D51" s="15"/>
      <c r="E51" s="16"/>
      <c r="F51" s="16"/>
      <c r="G51" s="16"/>
      <c r="H51" s="16"/>
      <c r="I51" s="16"/>
      <c r="J51" s="16"/>
      <c r="K51" s="16"/>
      <c r="L51" s="16"/>
      <c r="M51" s="16"/>
      <c r="N51" s="16"/>
    </row>
    <row r="52" spans="1:14" s="17" customFormat="1" x14ac:dyDescent="0.2">
      <c r="A52" s="52"/>
      <c r="B52" s="15"/>
      <c r="C52" s="15"/>
      <c r="D52" s="15"/>
      <c r="E52" s="16"/>
      <c r="F52" s="16"/>
      <c r="G52" s="16"/>
      <c r="H52" s="16"/>
      <c r="I52" s="16"/>
      <c r="J52" s="16"/>
      <c r="K52" s="16"/>
      <c r="L52" s="16"/>
      <c r="M52" s="16"/>
      <c r="N52" s="16"/>
    </row>
    <row r="53" spans="1:14" s="17" customFormat="1" x14ac:dyDescent="0.2">
      <c r="A53" s="52"/>
      <c r="B53" s="15"/>
      <c r="C53" s="15"/>
      <c r="D53" s="15"/>
      <c r="E53" s="16"/>
      <c r="F53" s="16"/>
      <c r="G53" s="16"/>
      <c r="H53" s="16"/>
      <c r="I53" s="16"/>
      <c r="J53" s="16"/>
      <c r="K53" s="16"/>
      <c r="L53" s="16"/>
      <c r="M53" s="16"/>
      <c r="N53" s="16"/>
    </row>
    <row r="54" spans="1:14" s="17" customFormat="1" x14ac:dyDescent="0.2">
      <c r="A54" s="52"/>
      <c r="B54" s="15"/>
      <c r="C54" s="15"/>
      <c r="D54" s="15"/>
      <c r="E54" s="16"/>
      <c r="F54" s="16"/>
      <c r="G54" s="16"/>
      <c r="H54" s="16"/>
      <c r="I54" s="16"/>
      <c r="J54" s="16"/>
      <c r="K54" s="16"/>
      <c r="L54" s="16"/>
      <c r="M54" s="16"/>
      <c r="N54" s="16"/>
    </row>
    <row r="55" spans="1:14" s="17" customFormat="1" x14ac:dyDescent="0.2">
      <c r="A55" s="52"/>
      <c r="B55" s="15"/>
      <c r="C55" s="15"/>
      <c r="D55" s="15"/>
      <c r="E55" s="16"/>
      <c r="F55" s="16"/>
      <c r="G55" s="16"/>
      <c r="H55" s="16"/>
      <c r="I55" s="16"/>
      <c r="J55" s="16"/>
      <c r="K55" s="16"/>
      <c r="L55" s="16"/>
      <c r="M55" s="16"/>
      <c r="N55" s="16"/>
    </row>
    <row r="56" spans="1:14" s="17" customFormat="1" x14ac:dyDescent="0.2">
      <c r="A56" s="52"/>
      <c r="B56" s="15"/>
      <c r="C56" s="15"/>
      <c r="D56" s="15"/>
      <c r="E56" s="16"/>
      <c r="F56" s="16"/>
      <c r="G56" s="16"/>
      <c r="H56" s="16"/>
      <c r="I56" s="16"/>
      <c r="J56" s="16"/>
      <c r="K56" s="16"/>
      <c r="L56" s="16"/>
      <c r="M56" s="16"/>
      <c r="N56" s="16"/>
    </row>
    <row r="57" spans="1:14" s="17" customFormat="1" x14ac:dyDescent="0.2">
      <c r="A57" s="52"/>
      <c r="B57" s="15"/>
      <c r="C57" s="15"/>
      <c r="D57" s="15"/>
      <c r="E57" s="16"/>
      <c r="F57" s="16"/>
      <c r="G57" s="16"/>
      <c r="H57" s="16"/>
      <c r="I57" s="16"/>
      <c r="J57" s="16"/>
      <c r="K57" s="16"/>
      <c r="L57" s="16"/>
      <c r="M57" s="16"/>
      <c r="N57" s="16"/>
    </row>
    <row r="58" spans="1:14" s="17" customFormat="1" x14ac:dyDescent="0.2">
      <c r="A58" s="52"/>
      <c r="B58" s="15"/>
      <c r="C58" s="15"/>
      <c r="D58" s="15"/>
      <c r="E58" s="16"/>
      <c r="F58" s="16"/>
      <c r="G58" s="16"/>
      <c r="H58" s="16"/>
      <c r="I58" s="16"/>
      <c r="J58" s="16"/>
      <c r="K58" s="16"/>
      <c r="L58" s="16"/>
      <c r="M58" s="16"/>
      <c r="N58" s="16"/>
    </row>
    <row r="59" spans="1:14" s="17" customFormat="1" x14ac:dyDescent="0.2">
      <c r="A59" s="52"/>
      <c r="B59" s="15"/>
      <c r="C59" s="15"/>
      <c r="D59" s="15"/>
      <c r="E59" s="16"/>
      <c r="F59" s="16"/>
      <c r="G59" s="16"/>
      <c r="H59" s="16"/>
      <c r="I59" s="16"/>
      <c r="J59" s="16"/>
      <c r="K59" s="16"/>
      <c r="L59" s="16"/>
      <c r="M59" s="16"/>
      <c r="N59" s="16"/>
    </row>
    <row r="60" spans="1:14" s="17" customFormat="1" x14ac:dyDescent="0.2">
      <c r="A60" s="52"/>
      <c r="B60" s="15"/>
      <c r="C60" s="15"/>
      <c r="D60" s="15"/>
      <c r="E60" s="16"/>
      <c r="F60" s="16"/>
      <c r="G60" s="16"/>
      <c r="H60" s="16"/>
      <c r="I60" s="16"/>
      <c r="J60" s="16"/>
      <c r="K60" s="16"/>
      <c r="L60" s="16"/>
      <c r="M60" s="16"/>
      <c r="N60" s="16"/>
    </row>
    <row r="61" spans="1:14" s="17" customFormat="1" x14ac:dyDescent="0.2">
      <c r="A61" s="52"/>
      <c r="B61" s="15"/>
      <c r="C61" s="15"/>
      <c r="D61" s="15"/>
      <c r="E61" s="16"/>
      <c r="F61" s="16"/>
      <c r="G61" s="16"/>
      <c r="H61" s="16"/>
      <c r="I61" s="16"/>
      <c r="J61" s="16"/>
      <c r="K61" s="16"/>
      <c r="L61" s="16"/>
      <c r="M61" s="16"/>
      <c r="N61" s="16"/>
    </row>
    <row r="62" spans="1:14" s="17" customFormat="1" x14ac:dyDescent="0.2">
      <c r="A62" s="52"/>
      <c r="B62" s="15"/>
      <c r="C62" s="15"/>
      <c r="D62" s="15"/>
      <c r="E62" s="16"/>
      <c r="F62" s="16"/>
      <c r="G62" s="16"/>
      <c r="H62" s="16"/>
      <c r="I62" s="16"/>
      <c r="J62" s="16"/>
      <c r="K62" s="16"/>
      <c r="L62" s="16"/>
      <c r="M62" s="16"/>
      <c r="N62" s="16"/>
    </row>
    <row r="63" spans="1:14" s="17" customFormat="1" x14ac:dyDescent="0.2">
      <c r="A63" s="52"/>
      <c r="B63" s="15"/>
      <c r="C63" s="15"/>
      <c r="D63" s="15"/>
      <c r="E63" s="16"/>
      <c r="F63" s="16"/>
      <c r="G63" s="16"/>
      <c r="H63" s="16"/>
      <c r="I63" s="16"/>
      <c r="J63" s="16"/>
      <c r="K63" s="16"/>
      <c r="L63" s="16"/>
      <c r="M63" s="16"/>
      <c r="N63" s="16"/>
    </row>
    <row r="64" spans="1:14" s="17" customFormat="1" ht="13.5" thickBot="1" x14ac:dyDescent="0.25">
      <c r="A64" s="52"/>
      <c r="B64" s="15"/>
      <c r="C64" s="15"/>
      <c r="D64" s="15"/>
      <c r="E64" s="16"/>
      <c r="F64" s="16"/>
      <c r="G64" s="16"/>
      <c r="H64" s="16"/>
      <c r="I64" s="16"/>
      <c r="J64" s="16"/>
      <c r="K64" s="16"/>
      <c r="L64" s="16"/>
      <c r="M64" s="16"/>
      <c r="N64" s="16"/>
    </row>
    <row r="65" spans="1:14" s="17" customFormat="1" x14ac:dyDescent="0.2">
      <c r="A65" s="20"/>
      <c r="B65" s="21"/>
      <c r="C65" s="21"/>
      <c r="D65" s="21"/>
      <c r="E65" s="22"/>
      <c r="F65" s="22"/>
      <c r="G65" s="22"/>
      <c r="H65" s="22"/>
      <c r="I65" s="22"/>
      <c r="J65" s="22"/>
      <c r="K65" s="22"/>
      <c r="L65" s="22"/>
      <c r="M65" s="22"/>
      <c r="N65" s="23"/>
    </row>
    <row r="66" spans="1:14" s="17" customFormat="1" ht="15" x14ac:dyDescent="0.2">
      <c r="A66" s="24"/>
      <c r="B66" s="440" t="s">
        <v>1712</v>
      </c>
      <c r="C66" s="441"/>
      <c r="D66" s="441"/>
      <c r="E66" s="441"/>
      <c r="F66" s="441"/>
      <c r="G66" s="441"/>
      <c r="H66" s="441"/>
      <c r="I66" s="441"/>
      <c r="J66" s="441"/>
      <c r="K66" s="441"/>
      <c r="L66" s="441"/>
      <c r="M66" s="442"/>
      <c r="N66" s="25" t="s">
        <v>91</v>
      </c>
    </row>
    <row r="67" spans="1:14" s="17" customFormat="1" x14ac:dyDescent="0.2">
      <c r="A67" s="24"/>
      <c r="B67" s="26" t="s">
        <v>428</v>
      </c>
      <c r="C67" s="27" t="s">
        <v>1727</v>
      </c>
      <c r="D67" s="27"/>
      <c r="E67" s="28"/>
      <c r="F67" s="28"/>
      <c r="G67" s="28"/>
      <c r="H67" s="28"/>
      <c r="I67" s="28"/>
      <c r="J67" s="28"/>
      <c r="K67" s="28"/>
      <c r="L67" s="28"/>
      <c r="M67" s="28"/>
      <c r="N67" s="29"/>
    </row>
    <row r="68" spans="1:14" s="17" customFormat="1" x14ac:dyDescent="0.2">
      <c r="A68" s="24"/>
      <c r="B68" s="26" t="s">
        <v>429</v>
      </c>
      <c r="C68" s="27" t="s">
        <v>1728</v>
      </c>
      <c r="D68" s="27"/>
      <c r="E68" s="28"/>
      <c r="F68" s="28"/>
      <c r="G68" s="28"/>
      <c r="H68" s="28"/>
      <c r="I68" s="28"/>
      <c r="J68" s="28"/>
      <c r="K68" s="28"/>
      <c r="L68" s="28"/>
      <c r="M68" s="28"/>
      <c r="N68" s="29"/>
    </row>
    <row r="69" spans="1:14" s="17" customFormat="1" x14ac:dyDescent="0.2">
      <c r="A69" s="24"/>
      <c r="B69" s="26" t="s">
        <v>427</v>
      </c>
      <c r="C69" s="436" t="s">
        <v>1729</v>
      </c>
      <c r="D69" s="436"/>
      <c r="E69" s="436"/>
      <c r="F69" s="436"/>
      <c r="G69" s="436"/>
      <c r="H69" s="436"/>
      <c r="I69" s="436"/>
      <c r="J69" s="436"/>
      <c r="K69" s="436"/>
      <c r="L69" s="436"/>
      <c r="M69" s="436"/>
      <c r="N69" s="437"/>
    </row>
    <row r="70" spans="1:14" s="17" customFormat="1" x14ac:dyDescent="0.2">
      <c r="A70" s="24"/>
      <c r="B70" s="27"/>
      <c r="C70" s="436"/>
      <c r="D70" s="436"/>
      <c r="E70" s="436"/>
      <c r="F70" s="436"/>
      <c r="G70" s="436"/>
      <c r="H70" s="436"/>
      <c r="I70" s="436"/>
      <c r="J70" s="436"/>
      <c r="K70" s="436"/>
      <c r="L70" s="436"/>
      <c r="M70" s="436"/>
      <c r="N70" s="437"/>
    </row>
    <row r="71" spans="1:14" s="17" customFormat="1" x14ac:dyDescent="0.2">
      <c r="A71" s="24"/>
      <c r="B71" s="26" t="s">
        <v>426</v>
      </c>
      <c r="C71" s="27"/>
      <c r="D71" s="27"/>
      <c r="E71" s="28"/>
      <c r="F71" s="28"/>
      <c r="G71" s="28"/>
      <c r="H71" s="28"/>
      <c r="I71" s="28"/>
      <c r="J71" s="28"/>
      <c r="K71" s="28"/>
      <c r="L71" s="28"/>
      <c r="M71" s="28"/>
      <c r="N71" s="29"/>
    </row>
    <row r="72" spans="1:14" s="17" customFormat="1" ht="13.5" thickBot="1" x14ac:dyDescent="0.25">
      <c r="A72" s="30"/>
      <c r="B72" s="26" t="s">
        <v>430</v>
      </c>
      <c r="C72" s="31"/>
      <c r="D72" s="31"/>
      <c r="E72" s="32"/>
      <c r="F72" s="32"/>
      <c r="G72" s="32"/>
      <c r="H72" s="32"/>
      <c r="I72" s="32"/>
      <c r="J72" s="32"/>
      <c r="K72" s="32"/>
      <c r="L72" s="32"/>
      <c r="M72" s="32"/>
      <c r="N72" s="33"/>
    </row>
    <row r="73" spans="1:14" s="17" customFormat="1" x14ac:dyDescent="0.2">
      <c r="A73" s="24"/>
      <c r="B73" s="21" t="s">
        <v>263</v>
      </c>
      <c r="C73" s="27"/>
      <c r="D73" s="27"/>
      <c r="E73" s="28"/>
      <c r="F73" s="28"/>
      <c r="G73" s="28"/>
      <c r="H73" s="28"/>
      <c r="I73" s="28"/>
      <c r="J73" s="67" t="s">
        <v>908</v>
      </c>
      <c r="K73" s="63"/>
      <c r="L73" s="63"/>
      <c r="M73" s="63"/>
      <c r="N73" s="63"/>
    </row>
    <row r="74" spans="1:14" s="17" customFormat="1" ht="13.5" thickBot="1" x14ac:dyDescent="0.25">
      <c r="A74" s="30"/>
      <c r="B74" s="31"/>
      <c r="C74" s="31"/>
      <c r="D74" s="31"/>
      <c r="E74" s="32"/>
      <c r="F74" s="32"/>
      <c r="G74" s="32"/>
      <c r="H74" s="32"/>
      <c r="I74" s="32"/>
      <c r="J74" s="49" t="s">
        <v>612</v>
      </c>
      <c r="K74" s="40" t="s">
        <v>514</v>
      </c>
      <c r="L74" s="40"/>
      <c r="M74" s="40"/>
      <c r="N74" s="40"/>
    </row>
    <row r="75" spans="1:14" s="17" customFormat="1" x14ac:dyDescent="0.2">
      <c r="A75" s="20"/>
      <c r="B75" s="434" t="s">
        <v>67</v>
      </c>
      <c r="C75" s="434"/>
      <c r="D75" s="434"/>
      <c r="E75" s="22"/>
      <c r="F75" s="22" t="s">
        <v>1180</v>
      </c>
      <c r="G75" s="22" t="s">
        <v>68</v>
      </c>
      <c r="H75" s="22" t="s">
        <v>702</v>
      </c>
      <c r="I75" s="28"/>
      <c r="J75" s="75">
        <f>74.7/ATHENS!O1*ATHENS!O2</f>
        <v>135.81818181818181</v>
      </c>
      <c r="K75" s="75">
        <f>85.9/ATHENS!O1*ATHENS!O2</f>
        <v>156.18181818181819</v>
      </c>
      <c r="L75" s="44"/>
      <c r="M75" s="42"/>
      <c r="N75" s="42"/>
    </row>
    <row r="76" spans="1:14" s="17" customFormat="1" ht="12.75" customHeight="1" x14ac:dyDescent="0.2">
      <c r="A76" s="24"/>
      <c r="B76" s="435" t="s">
        <v>67</v>
      </c>
      <c r="C76" s="435"/>
      <c r="D76" s="435"/>
      <c r="E76" s="28"/>
      <c r="F76" s="28" t="s">
        <v>1181</v>
      </c>
      <c r="G76" s="28" t="s">
        <v>68</v>
      </c>
      <c r="H76" s="28" t="s">
        <v>702</v>
      </c>
      <c r="I76" s="28"/>
      <c r="J76" s="75">
        <f>44.8/ATHENS!O1*ATHENS!O2</f>
        <v>81.454545454545439</v>
      </c>
      <c r="K76" s="75">
        <f>51.9/ATHENS!O1*ATHENS!O2</f>
        <v>94.36363636363636</v>
      </c>
      <c r="L76" s="44"/>
      <c r="M76" s="44"/>
      <c r="N76" s="44"/>
    </row>
    <row r="77" spans="1:14" s="17" customFormat="1" x14ac:dyDescent="0.2">
      <c r="A77" s="24"/>
      <c r="B77" s="68" t="s">
        <v>67</v>
      </c>
      <c r="C77" s="27"/>
      <c r="D77" s="27"/>
      <c r="E77" s="28"/>
      <c r="F77" s="28" t="s">
        <v>1182</v>
      </c>
      <c r="G77" s="28" t="s">
        <v>68</v>
      </c>
      <c r="H77" s="28" t="s">
        <v>702</v>
      </c>
      <c r="I77" s="28"/>
      <c r="J77" s="75">
        <f>37.5/ATHENS!O1*ATHENS!O2</f>
        <v>68.181818181818173</v>
      </c>
      <c r="K77" s="75">
        <f>43.5/ATHENS!O1*ATHENS!O2</f>
        <v>79.090909090909079</v>
      </c>
      <c r="L77" s="44"/>
      <c r="M77" s="44"/>
      <c r="N77" s="44"/>
    </row>
    <row r="78" spans="1:14" s="17" customFormat="1" ht="13.5" thickBot="1" x14ac:dyDescent="0.25">
      <c r="A78" s="30"/>
      <c r="B78" s="443" t="s">
        <v>902</v>
      </c>
      <c r="C78" s="443"/>
      <c r="D78" s="443"/>
      <c r="E78" s="32"/>
      <c r="F78" s="89"/>
      <c r="G78" s="89"/>
      <c r="H78" s="32" t="s">
        <v>702</v>
      </c>
      <c r="I78" s="32"/>
      <c r="J78" s="76">
        <f>15/ATHENS!O1*ATHENS!O2</f>
        <v>27.27272727272727</v>
      </c>
      <c r="K78" s="76">
        <f>15/ATHENS!O1*ATHENS!O2</f>
        <v>27.27272727272727</v>
      </c>
      <c r="L78" s="46"/>
      <c r="M78" s="46"/>
      <c r="N78" s="46"/>
    </row>
    <row r="79" spans="1:14" s="17" customFormat="1" ht="13.5" thickBot="1" x14ac:dyDescent="0.25">
      <c r="A79" s="52"/>
      <c r="B79" s="15"/>
      <c r="C79" s="15"/>
      <c r="D79" s="15"/>
      <c r="E79" s="16"/>
      <c r="F79" s="16"/>
      <c r="G79" s="16"/>
      <c r="H79" s="16"/>
      <c r="I79" s="16"/>
      <c r="J79" s="16"/>
      <c r="K79" s="16"/>
      <c r="L79" s="16"/>
      <c r="M79" s="16"/>
      <c r="N79" s="16"/>
    </row>
    <row r="80" spans="1:14" s="17" customFormat="1" x14ac:dyDescent="0.2">
      <c r="A80" s="20"/>
      <c r="B80" s="21"/>
      <c r="C80" s="21"/>
      <c r="D80" s="21"/>
      <c r="E80" s="22"/>
      <c r="F80" s="22"/>
      <c r="G80" s="22"/>
      <c r="H80" s="22"/>
      <c r="I80" s="22"/>
      <c r="J80" s="22"/>
      <c r="K80" s="22"/>
      <c r="L80" s="22"/>
      <c r="M80" s="22"/>
      <c r="N80" s="23"/>
    </row>
    <row r="81" spans="1:14" s="17" customFormat="1" ht="15" x14ac:dyDescent="0.2">
      <c r="A81" s="24"/>
      <c r="B81" s="440" t="s">
        <v>442</v>
      </c>
      <c r="C81" s="441"/>
      <c r="D81" s="441"/>
      <c r="E81" s="441"/>
      <c r="F81" s="441"/>
      <c r="G81" s="441"/>
      <c r="H81" s="441"/>
      <c r="I81" s="441"/>
      <c r="J81" s="441"/>
      <c r="K81" s="441"/>
      <c r="L81" s="441"/>
      <c r="M81" s="442"/>
      <c r="N81" s="25" t="s">
        <v>1104</v>
      </c>
    </row>
    <row r="82" spans="1:14" s="17" customFormat="1" x14ac:dyDescent="0.2">
      <c r="A82" s="24"/>
      <c r="B82" s="26" t="s">
        <v>428</v>
      </c>
      <c r="C82" s="27" t="s">
        <v>443</v>
      </c>
      <c r="D82" s="27"/>
      <c r="E82" s="28"/>
      <c r="F82" s="28"/>
      <c r="G82" s="28"/>
      <c r="H82" s="28"/>
      <c r="I82" s="28"/>
      <c r="J82" s="28"/>
      <c r="K82" s="28"/>
      <c r="L82" s="28"/>
      <c r="M82" s="28"/>
      <c r="N82" s="29"/>
    </row>
    <row r="83" spans="1:14" s="17" customFormat="1" x14ac:dyDescent="0.2">
      <c r="A83" s="24"/>
      <c r="B83" s="26" t="s">
        <v>429</v>
      </c>
      <c r="C83" s="27" t="s">
        <v>142</v>
      </c>
      <c r="D83" s="27"/>
      <c r="E83" s="28"/>
      <c r="F83" s="28"/>
      <c r="G83" s="28"/>
      <c r="H83" s="28"/>
      <c r="I83" s="28"/>
      <c r="J83" s="28"/>
      <c r="K83" s="28"/>
      <c r="L83" s="28"/>
      <c r="M83" s="28"/>
      <c r="N83" s="29"/>
    </row>
    <row r="84" spans="1:14" s="17" customFormat="1" x14ac:dyDescent="0.2">
      <c r="A84" s="24"/>
      <c r="B84" s="26" t="s">
        <v>427</v>
      </c>
      <c r="C84" s="436" t="s">
        <v>1650</v>
      </c>
      <c r="D84" s="436"/>
      <c r="E84" s="436"/>
      <c r="F84" s="436"/>
      <c r="G84" s="436"/>
      <c r="H84" s="436"/>
      <c r="I84" s="436"/>
      <c r="J84" s="436"/>
      <c r="K84" s="436"/>
      <c r="L84" s="436"/>
      <c r="M84" s="436"/>
      <c r="N84" s="437"/>
    </row>
    <row r="85" spans="1:14" s="17" customFormat="1" x14ac:dyDescent="0.2">
      <c r="A85" s="24"/>
      <c r="B85" s="15"/>
      <c r="C85" s="436"/>
      <c r="D85" s="436"/>
      <c r="E85" s="436"/>
      <c r="F85" s="436"/>
      <c r="G85" s="436"/>
      <c r="H85" s="436"/>
      <c r="I85" s="436"/>
      <c r="J85" s="436"/>
      <c r="K85" s="436"/>
      <c r="L85" s="436"/>
      <c r="M85" s="436"/>
      <c r="N85" s="437"/>
    </row>
    <row r="86" spans="1:14" s="17" customFormat="1" x14ac:dyDescent="0.2">
      <c r="A86" s="24"/>
      <c r="B86" s="15"/>
      <c r="C86" s="438"/>
      <c r="D86" s="438"/>
      <c r="E86" s="438"/>
      <c r="F86" s="438"/>
      <c r="G86" s="438"/>
      <c r="H86" s="438"/>
      <c r="I86" s="438"/>
      <c r="J86" s="438"/>
      <c r="K86" s="438"/>
      <c r="L86" s="438"/>
      <c r="M86" s="438"/>
      <c r="N86" s="439"/>
    </row>
    <row r="87" spans="1:14" s="17" customFormat="1" x14ac:dyDescent="0.2">
      <c r="A87" s="24"/>
      <c r="B87" s="26" t="s">
        <v>426</v>
      </c>
      <c r="C87" s="27" t="s">
        <v>395</v>
      </c>
      <c r="D87" s="27"/>
      <c r="E87" s="28"/>
      <c r="F87" s="28"/>
      <c r="G87" s="28"/>
      <c r="H87" s="28"/>
      <c r="I87" s="28"/>
      <c r="J87" s="28"/>
      <c r="K87" s="28"/>
      <c r="L87" s="28"/>
      <c r="M87" s="28"/>
      <c r="N87" s="29"/>
    </row>
    <row r="88" spans="1:14" s="17" customFormat="1" ht="13.5" thickBot="1" x14ac:dyDescent="0.25">
      <c r="A88" s="30"/>
      <c r="B88" s="26" t="s">
        <v>430</v>
      </c>
      <c r="C88" s="31"/>
      <c r="D88" s="31"/>
      <c r="E88" s="32"/>
      <c r="F88" s="32"/>
      <c r="G88" s="32"/>
      <c r="H88" s="32"/>
      <c r="I88" s="32"/>
      <c r="J88" s="32"/>
      <c r="K88" s="32"/>
      <c r="L88" s="32"/>
      <c r="M88" s="32"/>
      <c r="N88" s="33"/>
    </row>
    <row r="89" spans="1:14" s="17" customFormat="1" x14ac:dyDescent="0.2">
      <c r="A89" s="20"/>
      <c r="B89" s="21" t="s">
        <v>263</v>
      </c>
      <c r="C89" s="21"/>
      <c r="D89" s="21"/>
      <c r="E89" s="22"/>
      <c r="F89" s="22"/>
      <c r="G89" s="22"/>
      <c r="H89" s="22"/>
      <c r="I89" s="22"/>
      <c r="J89" s="48" t="s">
        <v>2151</v>
      </c>
      <c r="K89" s="48" t="s">
        <v>2153</v>
      </c>
      <c r="L89" s="37" t="s">
        <v>1579</v>
      </c>
      <c r="M89" s="37"/>
      <c r="N89" s="37"/>
    </row>
    <row r="90" spans="1:14" s="17" customFormat="1" ht="13.5" thickBot="1" x14ac:dyDescent="0.25">
      <c r="A90" s="30"/>
      <c r="B90" s="31"/>
      <c r="C90" s="31"/>
      <c r="D90" s="31"/>
      <c r="E90" s="32"/>
      <c r="F90" s="32"/>
      <c r="G90" s="32"/>
      <c r="H90" s="32"/>
      <c r="I90" s="32"/>
      <c r="J90" s="65" t="s">
        <v>2152</v>
      </c>
      <c r="K90" s="40" t="s">
        <v>1812</v>
      </c>
      <c r="L90" s="40" t="s">
        <v>433</v>
      </c>
      <c r="M90" s="40" t="s">
        <v>1580</v>
      </c>
      <c r="N90" s="40"/>
    </row>
    <row r="91" spans="1:14" s="17" customFormat="1" x14ac:dyDescent="0.2">
      <c r="A91" s="20"/>
      <c r="B91" s="434" t="s">
        <v>67</v>
      </c>
      <c r="C91" s="434"/>
      <c r="D91" s="434"/>
      <c r="E91" s="22"/>
      <c r="F91" s="22" t="s">
        <v>1504</v>
      </c>
      <c r="G91" s="22" t="s">
        <v>68</v>
      </c>
      <c r="H91" s="22" t="s">
        <v>702</v>
      </c>
      <c r="I91" s="22"/>
      <c r="J91" s="74">
        <f>206.8/ATHENS!O1*ATHENS!O2</f>
        <v>376</v>
      </c>
      <c r="K91" s="74">
        <f>250.5/ATHENS!O1*ATHENS!O2</f>
        <v>455.45454545454544</v>
      </c>
      <c r="L91" s="77">
        <f>314.8/ATHENS!O1*ATHENS!O2</f>
        <v>572.36363636363637</v>
      </c>
      <c r="M91" s="74">
        <f>350.5/ATHENS!O1*ATHENS!O2</f>
        <v>637.27272727272725</v>
      </c>
      <c r="N91" s="42"/>
    </row>
    <row r="92" spans="1:14" s="17" customFormat="1" x14ac:dyDescent="0.2">
      <c r="A92" s="24"/>
      <c r="B92" s="435" t="s">
        <v>67</v>
      </c>
      <c r="C92" s="435"/>
      <c r="D92" s="435"/>
      <c r="E92" s="28"/>
      <c r="F92" s="28" t="s">
        <v>1505</v>
      </c>
      <c r="G92" s="28" t="s">
        <v>68</v>
      </c>
      <c r="H92" s="28" t="s">
        <v>702</v>
      </c>
      <c r="I92" s="28"/>
      <c r="J92" s="75">
        <f>129.5/ATHENS!O1*ATHENS!O2</f>
        <v>235.45454545454544</v>
      </c>
      <c r="K92" s="75">
        <f>156.5/ATHENS!O1*ATHENS!O2</f>
        <v>284.5454545454545</v>
      </c>
      <c r="L92" s="75">
        <f>196.9/ATHENS!O1*ATHENS!O2</f>
        <v>358</v>
      </c>
      <c r="M92" s="75">
        <f>218.5/ATHENS!O1*ATHENS!O2</f>
        <v>397.27272727272725</v>
      </c>
      <c r="N92" s="44"/>
    </row>
    <row r="93" spans="1:14" s="17" customFormat="1" x14ac:dyDescent="0.2">
      <c r="A93" s="24"/>
      <c r="B93" s="435" t="s">
        <v>67</v>
      </c>
      <c r="C93" s="435"/>
      <c r="D93" s="435"/>
      <c r="E93" s="28"/>
      <c r="F93" s="28" t="s">
        <v>1506</v>
      </c>
      <c r="G93" s="28" t="s">
        <v>68</v>
      </c>
      <c r="H93" s="28" t="s">
        <v>702</v>
      </c>
      <c r="I93" s="28"/>
      <c r="J93" s="75">
        <f>97.5/ATHENS!O1*ATHENS!O2</f>
        <v>177.27272727272725</v>
      </c>
      <c r="K93" s="75">
        <f>124.5/ATHENS!O1*ATHENS!O2</f>
        <v>226.36363636363635</v>
      </c>
      <c r="L93" s="75">
        <f>151.6/ATHENS!O1*ATHENS!O2</f>
        <v>275.63636363636363</v>
      </c>
      <c r="M93" s="75">
        <f>165.9/ATHENS!O1*ATHENS!O2</f>
        <v>301.63636363636363</v>
      </c>
      <c r="N93" s="44"/>
    </row>
    <row r="94" spans="1:14" s="17" customFormat="1" ht="13.5" thickBot="1" x14ac:dyDescent="0.25">
      <c r="A94" s="30"/>
      <c r="B94" s="31" t="s">
        <v>902</v>
      </c>
      <c r="C94" s="31"/>
      <c r="D94" s="31"/>
      <c r="E94" s="32"/>
      <c r="F94" s="32"/>
      <c r="G94" s="32"/>
      <c r="H94" s="32" t="s">
        <v>702</v>
      </c>
      <c r="I94" s="32"/>
      <c r="J94" s="76">
        <f>40/ATHENS!O1*ATHENS!O2</f>
        <v>72.72727272727272</v>
      </c>
      <c r="K94" s="76">
        <f>40/ATHENS!O1*ATHENS!O2</f>
        <v>72.72727272727272</v>
      </c>
      <c r="L94" s="76">
        <f>40/ATHENS!O1*ATHENS!O2</f>
        <v>72.72727272727272</v>
      </c>
      <c r="M94" s="76">
        <f>40/ATHENS!O1*ATHENS!O2</f>
        <v>72.72727272727272</v>
      </c>
      <c r="N94" s="46"/>
    </row>
    <row r="95" spans="1:14" s="17" customFormat="1" x14ac:dyDescent="0.2">
      <c r="A95" s="52"/>
      <c r="B95" s="15"/>
      <c r="C95" s="15"/>
      <c r="D95" s="15"/>
      <c r="E95" s="16"/>
      <c r="F95" s="16"/>
      <c r="G95" s="16"/>
      <c r="H95" s="16"/>
      <c r="I95" s="16"/>
      <c r="J95" s="16"/>
      <c r="K95" s="16"/>
      <c r="L95" s="16"/>
      <c r="M95" s="16"/>
      <c r="N95" s="16"/>
    </row>
    <row r="96" spans="1:14" s="17" customFormat="1" x14ac:dyDescent="0.2">
      <c r="A96" s="52"/>
      <c r="B96" s="15"/>
      <c r="C96" s="15"/>
      <c r="D96" s="15"/>
      <c r="E96" s="16"/>
      <c r="F96" s="16"/>
      <c r="G96" s="16"/>
      <c r="H96" s="16"/>
      <c r="I96" s="16"/>
      <c r="J96" s="16"/>
      <c r="K96" s="16"/>
      <c r="L96" s="16"/>
      <c r="M96" s="16"/>
      <c r="N96" s="16"/>
    </row>
    <row r="97" spans="1:14" s="17" customFormat="1" x14ac:dyDescent="0.2">
      <c r="A97" s="52"/>
      <c r="B97" s="15"/>
      <c r="C97" s="15"/>
      <c r="D97" s="15"/>
      <c r="E97" s="16"/>
      <c r="F97" s="16"/>
      <c r="G97" s="16"/>
      <c r="H97" s="16"/>
      <c r="I97" s="16"/>
      <c r="J97" s="16"/>
      <c r="K97" s="16"/>
      <c r="L97" s="16"/>
      <c r="M97" s="16"/>
      <c r="N97" s="16"/>
    </row>
    <row r="98" spans="1:14" s="17" customFormat="1" x14ac:dyDescent="0.2">
      <c r="A98" s="52"/>
      <c r="B98" s="15"/>
      <c r="C98" s="15"/>
      <c r="D98" s="15"/>
      <c r="E98" s="16"/>
      <c r="F98" s="16"/>
      <c r="G98" s="16"/>
      <c r="H98" s="16"/>
      <c r="I98" s="16"/>
      <c r="J98" s="16"/>
      <c r="K98" s="16"/>
      <c r="L98" s="16"/>
      <c r="M98" s="16"/>
      <c r="N98" s="16"/>
    </row>
    <row r="99" spans="1:14" s="17" customFormat="1" x14ac:dyDescent="0.2">
      <c r="A99" s="52"/>
      <c r="B99" s="15"/>
      <c r="C99" s="15"/>
      <c r="D99" s="15"/>
      <c r="E99" s="16"/>
      <c r="F99" s="16"/>
      <c r="G99" s="16"/>
      <c r="H99" s="16"/>
      <c r="I99" s="16"/>
      <c r="J99" s="16"/>
      <c r="K99" s="16"/>
      <c r="L99" s="16"/>
      <c r="M99" s="16"/>
      <c r="N99" s="16"/>
    </row>
    <row r="100" spans="1:14" s="17" customFormat="1" x14ac:dyDescent="0.2">
      <c r="A100" s="52"/>
      <c r="B100" s="15"/>
      <c r="C100" s="15"/>
      <c r="D100" s="15"/>
      <c r="E100" s="16"/>
      <c r="F100" s="16"/>
      <c r="G100" s="16"/>
      <c r="H100" s="16"/>
      <c r="I100" s="16"/>
      <c r="J100" s="16"/>
      <c r="K100" s="16"/>
      <c r="L100" s="16"/>
      <c r="M100" s="16"/>
      <c r="N100" s="16"/>
    </row>
    <row r="101" spans="1:14" s="17" customFormat="1" x14ac:dyDescent="0.2">
      <c r="A101" s="52"/>
      <c r="B101" s="15"/>
      <c r="C101" s="15"/>
      <c r="D101" s="15"/>
      <c r="E101" s="16"/>
      <c r="F101" s="16"/>
      <c r="G101" s="16"/>
      <c r="H101" s="16"/>
      <c r="I101" s="16"/>
      <c r="J101" s="16"/>
      <c r="K101" s="16"/>
      <c r="L101" s="16"/>
      <c r="M101" s="16"/>
      <c r="N101" s="16"/>
    </row>
    <row r="102" spans="1:14" s="17" customFormat="1" x14ac:dyDescent="0.2">
      <c r="A102" s="52"/>
      <c r="B102" s="15"/>
      <c r="C102" s="15"/>
      <c r="D102" s="15"/>
      <c r="E102" s="16"/>
      <c r="F102" s="16"/>
      <c r="G102" s="16"/>
      <c r="H102" s="16"/>
      <c r="I102" s="16"/>
      <c r="J102" s="16"/>
      <c r="K102" s="16"/>
      <c r="L102" s="16"/>
      <c r="M102" s="16"/>
      <c r="N102" s="16"/>
    </row>
    <row r="103" spans="1:14" s="17" customFormat="1" x14ac:dyDescent="0.2">
      <c r="A103" s="52"/>
      <c r="B103" s="15"/>
      <c r="C103" s="15"/>
      <c r="D103" s="15"/>
      <c r="E103" s="16"/>
      <c r="F103" s="16"/>
      <c r="G103" s="16"/>
      <c r="H103" s="16"/>
      <c r="I103" s="16"/>
      <c r="J103" s="16"/>
      <c r="K103" s="16"/>
      <c r="L103" s="16"/>
      <c r="M103" s="16"/>
      <c r="N103" s="16"/>
    </row>
    <row r="104" spans="1:14" s="17" customFormat="1" x14ac:dyDescent="0.2">
      <c r="A104" s="52"/>
      <c r="B104" s="15"/>
      <c r="C104" s="15"/>
      <c r="D104" s="15"/>
      <c r="E104" s="16"/>
      <c r="F104" s="16"/>
      <c r="G104" s="16"/>
      <c r="H104" s="16"/>
      <c r="I104" s="16"/>
      <c r="J104" s="16"/>
      <c r="K104" s="16"/>
      <c r="L104" s="16"/>
      <c r="M104" s="16"/>
      <c r="N104" s="16"/>
    </row>
    <row r="105" spans="1:14" s="17" customFormat="1" x14ac:dyDescent="0.2"/>
    <row r="106" spans="1:14" s="17" customFormat="1" x14ac:dyDescent="0.2"/>
    <row r="107" spans="1:14" s="17" customFormat="1" ht="13.5" thickBot="1" x14ac:dyDescent="0.25">
      <c r="A107" s="14"/>
      <c r="B107" s="15"/>
      <c r="C107" s="15"/>
      <c r="D107" s="15"/>
      <c r="E107" s="16"/>
      <c r="F107" s="16"/>
      <c r="G107" s="16"/>
      <c r="H107" s="16"/>
      <c r="I107" s="16"/>
      <c r="J107" s="16"/>
      <c r="K107" s="16"/>
      <c r="L107" s="16"/>
      <c r="M107" s="16"/>
      <c r="N107" s="16"/>
    </row>
    <row r="108" spans="1:14" s="17" customFormat="1" x14ac:dyDescent="0.2">
      <c r="A108" s="20"/>
      <c r="B108" s="21"/>
      <c r="C108" s="21"/>
      <c r="D108" s="21"/>
      <c r="E108" s="22"/>
      <c r="F108" s="22"/>
      <c r="G108" s="22"/>
      <c r="H108" s="22"/>
      <c r="I108" s="22"/>
      <c r="J108" s="22"/>
      <c r="K108" s="22"/>
      <c r="L108" s="22"/>
      <c r="M108" s="22"/>
      <c r="N108" s="23"/>
    </row>
    <row r="109" spans="1:14" s="17" customFormat="1" ht="15" x14ac:dyDescent="0.2">
      <c r="A109" s="24"/>
      <c r="B109" s="440" t="s">
        <v>805</v>
      </c>
      <c r="C109" s="441"/>
      <c r="D109" s="441"/>
      <c r="E109" s="441"/>
      <c r="F109" s="441"/>
      <c r="G109" s="441"/>
      <c r="H109" s="441"/>
      <c r="I109" s="441"/>
      <c r="J109" s="441"/>
      <c r="K109" s="441"/>
      <c r="L109" s="441"/>
      <c r="M109" s="442"/>
      <c r="N109" s="25" t="s">
        <v>1104</v>
      </c>
    </row>
    <row r="110" spans="1:14" s="17" customFormat="1" x14ac:dyDescent="0.2">
      <c r="A110" s="24"/>
      <c r="B110" s="26" t="s">
        <v>428</v>
      </c>
      <c r="C110" s="27" t="s">
        <v>1142</v>
      </c>
      <c r="D110" s="27"/>
      <c r="E110" s="28"/>
      <c r="F110" s="28"/>
      <c r="G110" s="28"/>
      <c r="H110" s="28"/>
      <c r="I110" s="28"/>
      <c r="J110" s="28"/>
      <c r="K110" s="28"/>
      <c r="L110" s="28"/>
      <c r="M110" s="28"/>
      <c r="N110" s="29"/>
    </row>
    <row r="111" spans="1:14" s="17" customFormat="1" x14ac:dyDescent="0.2">
      <c r="A111" s="24"/>
      <c r="B111" s="26" t="s">
        <v>429</v>
      </c>
      <c r="C111" s="27" t="s">
        <v>444</v>
      </c>
      <c r="D111" s="27"/>
      <c r="E111" s="28"/>
      <c r="F111" s="28"/>
      <c r="G111" s="28"/>
      <c r="H111" s="28"/>
      <c r="I111" s="28"/>
      <c r="J111" s="28"/>
      <c r="K111" s="28"/>
      <c r="L111" s="28"/>
      <c r="M111" s="28"/>
      <c r="N111" s="29"/>
    </row>
    <row r="112" spans="1:14" s="17" customFormat="1" x14ac:dyDescent="0.2">
      <c r="A112" s="24"/>
      <c r="B112" s="26" t="s">
        <v>427</v>
      </c>
      <c r="C112" s="436" t="s">
        <v>1512</v>
      </c>
      <c r="D112" s="436"/>
      <c r="E112" s="436"/>
      <c r="F112" s="436"/>
      <c r="G112" s="436"/>
      <c r="H112" s="436"/>
      <c r="I112" s="436"/>
      <c r="J112" s="436"/>
      <c r="K112" s="436"/>
      <c r="L112" s="436"/>
      <c r="M112" s="436"/>
      <c r="N112" s="437"/>
    </row>
    <row r="113" spans="1:14" s="17" customFormat="1" x14ac:dyDescent="0.2">
      <c r="A113" s="24"/>
      <c r="B113" s="15"/>
      <c r="C113" s="436"/>
      <c r="D113" s="436"/>
      <c r="E113" s="436"/>
      <c r="F113" s="436"/>
      <c r="G113" s="436"/>
      <c r="H113" s="436"/>
      <c r="I113" s="436"/>
      <c r="J113" s="436"/>
      <c r="K113" s="436"/>
      <c r="L113" s="436"/>
      <c r="M113" s="436"/>
      <c r="N113" s="437"/>
    </row>
    <row r="114" spans="1:14" s="17" customFormat="1" x14ac:dyDescent="0.2">
      <c r="A114" s="24"/>
      <c r="B114" s="15"/>
      <c r="C114" s="436"/>
      <c r="D114" s="436"/>
      <c r="E114" s="436"/>
      <c r="F114" s="436"/>
      <c r="G114" s="436"/>
      <c r="H114" s="436"/>
      <c r="I114" s="436"/>
      <c r="J114" s="436"/>
      <c r="K114" s="436"/>
      <c r="L114" s="436"/>
      <c r="M114" s="436"/>
      <c r="N114" s="437"/>
    </row>
    <row r="115" spans="1:14" s="17" customFormat="1" x14ac:dyDescent="0.2">
      <c r="A115" s="24"/>
      <c r="B115" s="15"/>
      <c r="C115" s="438"/>
      <c r="D115" s="438"/>
      <c r="E115" s="438"/>
      <c r="F115" s="438"/>
      <c r="G115" s="438"/>
      <c r="H115" s="438"/>
      <c r="I115" s="438"/>
      <c r="J115" s="438"/>
      <c r="K115" s="438"/>
      <c r="L115" s="438"/>
      <c r="M115" s="438"/>
      <c r="N115" s="439"/>
    </row>
    <row r="116" spans="1:14" s="17" customFormat="1" x14ac:dyDescent="0.2">
      <c r="A116" s="24"/>
      <c r="B116" s="15"/>
      <c r="C116" s="438"/>
      <c r="D116" s="438"/>
      <c r="E116" s="438"/>
      <c r="F116" s="438"/>
      <c r="G116" s="438"/>
      <c r="H116" s="438"/>
      <c r="I116" s="438"/>
      <c r="J116" s="438"/>
      <c r="K116" s="438"/>
      <c r="L116" s="438"/>
      <c r="M116" s="438"/>
      <c r="N116" s="439"/>
    </row>
    <row r="117" spans="1:14" s="17" customFormat="1" x14ac:dyDescent="0.2">
      <c r="A117" s="24"/>
      <c r="B117" s="26" t="s">
        <v>426</v>
      </c>
      <c r="C117" s="27" t="s">
        <v>250</v>
      </c>
      <c r="D117" s="27"/>
      <c r="E117" s="28"/>
      <c r="F117" s="28"/>
      <c r="G117" s="28"/>
      <c r="H117" s="28"/>
      <c r="I117" s="28"/>
      <c r="J117" s="28"/>
      <c r="K117" s="28"/>
      <c r="L117" s="28"/>
      <c r="M117" s="28"/>
      <c r="N117" s="29"/>
    </row>
    <row r="118" spans="1:14" s="17" customFormat="1" x14ac:dyDescent="0.2">
      <c r="A118" s="24"/>
      <c r="B118" s="26" t="s">
        <v>430</v>
      </c>
      <c r="C118" s="27" t="s">
        <v>251</v>
      </c>
      <c r="D118" s="27"/>
      <c r="E118" s="28"/>
      <c r="F118" s="28"/>
      <c r="G118" s="28"/>
      <c r="H118" s="28"/>
      <c r="I118" s="28"/>
      <c r="J118" s="28"/>
      <c r="K118" s="28"/>
      <c r="L118" s="28"/>
      <c r="M118" s="28"/>
      <c r="N118" s="29"/>
    </row>
    <row r="119" spans="1:14" s="17" customFormat="1" ht="13.5" thickBot="1" x14ac:dyDescent="0.25">
      <c r="A119" s="30"/>
      <c r="B119" s="47"/>
      <c r="C119" s="31" t="s">
        <v>252</v>
      </c>
      <c r="D119" s="31"/>
      <c r="E119" s="32"/>
      <c r="F119" s="32"/>
      <c r="G119" s="32"/>
      <c r="H119" s="32"/>
      <c r="I119" s="32"/>
      <c r="J119" s="32"/>
      <c r="K119" s="32"/>
      <c r="L119" s="32"/>
      <c r="M119" s="32"/>
      <c r="N119" s="33"/>
    </row>
    <row r="120" spans="1:14" s="17" customFormat="1" x14ac:dyDescent="0.2">
      <c r="A120" s="20"/>
      <c r="B120" s="21" t="s">
        <v>263</v>
      </c>
      <c r="C120" s="21"/>
      <c r="D120" s="21"/>
      <c r="E120" s="22"/>
      <c r="F120" s="22"/>
      <c r="G120" s="22"/>
      <c r="H120" s="22"/>
      <c r="I120" s="22"/>
      <c r="J120" s="48"/>
      <c r="K120" s="37" t="s">
        <v>1416</v>
      </c>
      <c r="L120" s="37" t="s">
        <v>1417</v>
      </c>
      <c r="M120" s="37" t="s">
        <v>618</v>
      </c>
      <c r="N120" s="37"/>
    </row>
    <row r="121" spans="1:14" s="17" customFormat="1" ht="13.5" thickBot="1" x14ac:dyDescent="0.25">
      <c r="A121" s="30"/>
      <c r="B121" s="31"/>
      <c r="C121" s="31"/>
      <c r="D121" s="31"/>
      <c r="E121" s="32"/>
      <c r="F121" s="32"/>
      <c r="G121" s="32"/>
      <c r="H121" s="32"/>
      <c r="I121" s="32"/>
      <c r="J121" s="49" t="s">
        <v>2136</v>
      </c>
      <c r="K121" s="40" t="s">
        <v>2137</v>
      </c>
      <c r="L121" s="40" t="s">
        <v>1418</v>
      </c>
      <c r="M121" s="40" t="s">
        <v>398</v>
      </c>
      <c r="N121" s="40" t="s">
        <v>831</v>
      </c>
    </row>
    <row r="122" spans="1:14" s="17" customFormat="1" x14ac:dyDescent="0.2">
      <c r="A122" s="24"/>
      <c r="B122" s="435" t="s">
        <v>67</v>
      </c>
      <c r="C122" s="435"/>
      <c r="D122" s="435"/>
      <c r="E122" s="28"/>
      <c r="F122" s="28" t="s">
        <v>1180</v>
      </c>
      <c r="G122" s="28" t="s">
        <v>1487</v>
      </c>
      <c r="H122" s="28" t="s">
        <v>702</v>
      </c>
      <c r="I122" s="28"/>
      <c r="J122" s="75">
        <f>131.5/ATHENS!O1*ATHENS!O2</f>
        <v>239.09090909090907</v>
      </c>
      <c r="K122" s="75">
        <f>158.8/ATHENS!O1*ATHENS!O2</f>
        <v>288.72727272727275</v>
      </c>
      <c r="L122" s="75">
        <f>224.5/ATHENS!O1*ATHENS!O2</f>
        <v>408.18181818181813</v>
      </c>
      <c r="M122" s="75">
        <f>249.5/ATHENS!O1*ATHENS!O2</f>
        <v>453.63636363636363</v>
      </c>
      <c r="N122" s="75">
        <f>282.5/ATHENS!O1*ATHENS!O2</f>
        <v>513.63636363636363</v>
      </c>
    </row>
    <row r="123" spans="1:14" s="17" customFormat="1" x14ac:dyDescent="0.2">
      <c r="A123" s="24"/>
      <c r="B123" s="435" t="s">
        <v>67</v>
      </c>
      <c r="C123" s="435"/>
      <c r="D123" s="435"/>
      <c r="E123" s="28"/>
      <c r="F123" s="28" t="s">
        <v>1181</v>
      </c>
      <c r="G123" s="28" t="s">
        <v>1487</v>
      </c>
      <c r="H123" s="28" t="s">
        <v>702</v>
      </c>
      <c r="I123" s="28"/>
      <c r="J123" s="75">
        <f>65.75/ATHENS!O1*ATHENS!O2</f>
        <v>119.54545454545453</v>
      </c>
      <c r="K123" s="75">
        <f>79.5/ATHENS!O1*ATHENS!O2</f>
        <v>144.54545454545453</v>
      </c>
      <c r="L123" s="75">
        <f>112.5/ATHENS!O1*ATHENS!O2</f>
        <v>204.54545454545453</v>
      </c>
      <c r="M123" s="75">
        <f>124.7/ATHENS!O1*ATHENS!O2</f>
        <v>226.72727272727272</v>
      </c>
      <c r="N123" s="75">
        <f>141.5/ATHENS!O1*ATHENS!O2</f>
        <v>257.27272727272725</v>
      </c>
    </row>
    <row r="124" spans="1:14" s="17" customFormat="1" ht="13.5" thickBot="1" x14ac:dyDescent="0.25">
      <c r="A124" s="30"/>
      <c r="B124" s="443" t="s">
        <v>67</v>
      </c>
      <c r="C124" s="443"/>
      <c r="D124" s="443"/>
      <c r="E124" s="32"/>
      <c r="F124" s="32" t="s">
        <v>1182</v>
      </c>
      <c r="G124" s="32" t="s">
        <v>1487</v>
      </c>
      <c r="H124" s="32" t="s">
        <v>702</v>
      </c>
      <c r="I124" s="32"/>
      <c r="J124" s="76">
        <f>59.5/ATHENS!O1*ATHENS!O2</f>
        <v>108.18181818181817</v>
      </c>
      <c r="K124" s="76">
        <f>71.8/ATHENS!O1*ATHENS!O2</f>
        <v>130.54545454545453</v>
      </c>
      <c r="L124" s="76">
        <f>101.5/ATHENS!O1*ATHENS!O2</f>
        <v>184.54545454545453</v>
      </c>
      <c r="M124" s="76">
        <f>112.5/ATHENS!O1*ATHENS!O2</f>
        <v>204.54545454545453</v>
      </c>
      <c r="N124" s="76">
        <f>127.6/ATHENS!O1*ATHENS!O2</f>
        <v>231.99999999999997</v>
      </c>
    </row>
    <row r="125" spans="1:14" s="17" customFormat="1" ht="13.5" thickBot="1" x14ac:dyDescent="0.25">
      <c r="A125" s="52"/>
      <c r="B125" s="27"/>
      <c r="C125" s="27"/>
      <c r="D125" s="27"/>
      <c r="E125" s="28"/>
      <c r="F125" s="28"/>
      <c r="G125" s="28"/>
      <c r="H125" s="28"/>
      <c r="I125" s="28"/>
      <c r="J125" s="229"/>
      <c r="K125" s="229"/>
      <c r="L125" s="229"/>
      <c r="M125" s="229"/>
      <c r="N125" s="229"/>
    </row>
    <row r="126" spans="1:14" s="17" customFormat="1" x14ac:dyDescent="0.2">
      <c r="A126" s="20"/>
      <c r="B126" s="21"/>
      <c r="C126" s="21"/>
      <c r="D126" s="21"/>
      <c r="E126" s="22"/>
      <c r="F126" s="22"/>
      <c r="G126" s="22"/>
      <c r="H126" s="22"/>
      <c r="I126" s="22"/>
      <c r="J126" s="22"/>
      <c r="K126" s="22"/>
      <c r="L126" s="22"/>
      <c r="M126" s="22"/>
      <c r="N126" s="23"/>
    </row>
    <row r="127" spans="1:14" s="17" customFormat="1" ht="15" x14ac:dyDescent="0.2">
      <c r="A127" s="24"/>
      <c r="B127" s="440" t="s">
        <v>435</v>
      </c>
      <c r="C127" s="441"/>
      <c r="D127" s="441"/>
      <c r="E127" s="441"/>
      <c r="F127" s="441"/>
      <c r="G127" s="441"/>
      <c r="H127" s="441"/>
      <c r="I127" s="441"/>
      <c r="J127" s="441"/>
      <c r="K127" s="441"/>
      <c r="L127" s="441"/>
      <c r="M127" s="442"/>
      <c r="N127" s="25" t="s">
        <v>1104</v>
      </c>
    </row>
    <row r="128" spans="1:14" s="17" customFormat="1" x14ac:dyDescent="0.2">
      <c r="A128" s="24"/>
      <c r="B128" s="26" t="s">
        <v>428</v>
      </c>
      <c r="C128" s="27" t="s">
        <v>436</v>
      </c>
      <c r="D128" s="27"/>
      <c r="E128" s="28"/>
      <c r="F128" s="28"/>
      <c r="G128" s="28"/>
      <c r="H128" s="28"/>
      <c r="I128" s="28"/>
      <c r="J128" s="28"/>
      <c r="K128" s="28"/>
      <c r="L128" s="28"/>
      <c r="M128" s="28"/>
      <c r="N128" s="29"/>
    </row>
    <row r="129" spans="1:14" s="17" customFormat="1" x14ac:dyDescent="0.2">
      <c r="A129" s="24"/>
      <c r="B129" s="26" t="s">
        <v>429</v>
      </c>
      <c r="C129" s="27" t="s">
        <v>143</v>
      </c>
      <c r="D129" s="27"/>
      <c r="E129" s="28"/>
      <c r="F129" s="28"/>
      <c r="G129" s="28"/>
      <c r="H129" s="28"/>
      <c r="I129" s="28"/>
      <c r="J129" s="28"/>
      <c r="K129" s="28"/>
      <c r="L129" s="28"/>
      <c r="M129" s="28"/>
      <c r="N129" s="29"/>
    </row>
    <row r="130" spans="1:14" s="17" customFormat="1" x14ac:dyDescent="0.2">
      <c r="A130" s="24"/>
      <c r="B130" s="26" t="s">
        <v>427</v>
      </c>
      <c r="C130" s="436" t="s">
        <v>1262</v>
      </c>
      <c r="D130" s="436"/>
      <c r="E130" s="436"/>
      <c r="F130" s="436"/>
      <c r="G130" s="436"/>
      <c r="H130" s="436"/>
      <c r="I130" s="436"/>
      <c r="J130" s="436"/>
      <c r="K130" s="436"/>
      <c r="L130" s="436"/>
      <c r="M130" s="436"/>
      <c r="N130" s="437"/>
    </row>
    <row r="131" spans="1:14" s="17" customFormat="1" x14ac:dyDescent="0.2">
      <c r="A131" s="24"/>
      <c r="B131" s="15"/>
      <c r="C131" s="436"/>
      <c r="D131" s="436"/>
      <c r="E131" s="436"/>
      <c r="F131" s="436"/>
      <c r="G131" s="436"/>
      <c r="H131" s="436"/>
      <c r="I131" s="436"/>
      <c r="J131" s="436"/>
      <c r="K131" s="436"/>
      <c r="L131" s="436"/>
      <c r="M131" s="436"/>
      <c r="N131" s="437"/>
    </row>
    <row r="132" spans="1:14" s="17" customFormat="1" x14ac:dyDescent="0.2">
      <c r="A132" s="24"/>
      <c r="B132" s="15"/>
      <c r="C132" s="438"/>
      <c r="D132" s="438"/>
      <c r="E132" s="438"/>
      <c r="F132" s="438"/>
      <c r="G132" s="438"/>
      <c r="H132" s="438"/>
      <c r="I132" s="438"/>
      <c r="J132" s="438"/>
      <c r="K132" s="438"/>
      <c r="L132" s="438"/>
      <c r="M132" s="438"/>
      <c r="N132" s="439"/>
    </row>
    <row r="133" spans="1:14" s="17" customFormat="1" x14ac:dyDescent="0.2">
      <c r="A133" s="24"/>
      <c r="B133" s="15"/>
      <c r="C133" s="438"/>
      <c r="D133" s="438"/>
      <c r="E133" s="438"/>
      <c r="F133" s="438"/>
      <c r="G133" s="438"/>
      <c r="H133" s="438"/>
      <c r="I133" s="438"/>
      <c r="J133" s="438"/>
      <c r="K133" s="438"/>
      <c r="L133" s="438"/>
      <c r="M133" s="438"/>
      <c r="N133" s="439"/>
    </row>
    <row r="134" spans="1:14" s="17" customFormat="1" x14ac:dyDescent="0.2">
      <c r="A134" s="24"/>
      <c r="B134" s="26" t="s">
        <v>426</v>
      </c>
      <c r="C134" s="27"/>
      <c r="D134" s="27"/>
      <c r="E134" s="28"/>
      <c r="F134" s="28"/>
      <c r="G134" s="28"/>
      <c r="H134" s="28"/>
      <c r="I134" s="28"/>
      <c r="J134" s="28"/>
      <c r="K134" s="28"/>
      <c r="L134" s="28"/>
      <c r="M134" s="28"/>
      <c r="N134" s="29"/>
    </row>
    <row r="135" spans="1:14" s="17" customFormat="1" x14ac:dyDescent="0.2">
      <c r="A135" s="24"/>
      <c r="B135" s="26" t="s">
        <v>430</v>
      </c>
      <c r="C135" s="27"/>
      <c r="D135" s="27"/>
      <c r="E135" s="28"/>
      <c r="F135" s="28"/>
      <c r="G135" s="28"/>
      <c r="H135" s="28"/>
      <c r="I135" s="28"/>
      <c r="J135" s="28"/>
      <c r="K135" s="28"/>
      <c r="L135" s="28"/>
      <c r="M135" s="28"/>
      <c r="N135" s="29"/>
    </row>
    <row r="136" spans="1:14" s="17" customFormat="1" ht="13.5" thickBot="1" x14ac:dyDescent="0.25">
      <c r="A136" s="30"/>
      <c r="B136" s="47"/>
      <c r="C136" s="31"/>
      <c r="D136" s="31"/>
      <c r="E136" s="32"/>
      <c r="F136" s="32"/>
      <c r="G136" s="32"/>
      <c r="H136" s="32"/>
      <c r="I136" s="32"/>
      <c r="J136" s="32"/>
      <c r="K136" s="32"/>
      <c r="L136" s="32"/>
      <c r="M136" s="32"/>
      <c r="N136" s="33"/>
    </row>
    <row r="137" spans="1:14" s="17" customFormat="1" x14ac:dyDescent="0.2">
      <c r="A137" s="20"/>
      <c r="B137" s="21" t="s">
        <v>263</v>
      </c>
      <c r="C137" s="21"/>
      <c r="D137" s="21"/>
      <c r="E137" s="22"/>
      <c r="F137" s="22"/>
      <c r="G137" s="22"/>
      <c r="H137" s="22"/>
      <c r="I137" s="22"/>
      <c r="J137" s="48" t="s">
        <v>1909</v>
      </c>
      <c r="K137" s="37" t="s">
        <v>340</v>
      </c>
      <c r="L137" s="37" t="s">
        <v>519</v>
      </c>
      <c r="M137" s="37"/>
      <c r="N137" s="37"/>
    </row>
    <row r="138" spans="1:14" s="17" customFormat="1" ht="13.5" thickBot="1" x14ac:dyDescent="0.25">
      <c r="A138" s="30"/>
      <c r="B138" s="31"/>
      <c r="C138" s="31"/>
      <c r="D138" s="31"/>
      <c r="E138" s="32"/>
      <c r="F138" s="32"/>
      <c r="G138" s="32"/>
      <c r="H138" s="32"/>
      <c r="I138" s="32"/>
      <c r="J138" s="49" t="s">
        <v>481</v>
      </c>
      <c r="K138" s="40" t="s">
        <v>341</v>
      </c>
      <c r="L138" s="40" t="s">
        <v>755</v>
      </c>
      <c r="M138" s="40" t="s">
        <v>437</v>
      </c>
      <c r="N138" s="40"/>
    </row>
    <row r="139" spans="1:14" s="17" customFormat="1" x14ac:dyDescent="0.2">
      <c r="A139" s="20"/>
      <c r="B139" s="434" t="s">
        <v>67</v>
      </c>
      <c r="C139" s="434"/>
      <c r="D139" s="434"/>
      <c r="E139" s="22"/>
      <c r="F139" s="22" t="s">
        <v>1180</v>
      </c>
      <c r="G139" s="22" t="s">
        <v>1484</v>
      </c>
      <c r="H139" s="22" t="s">
        <v>702</v>
      </c>
      <c r="I139" s="22"/>
      <c r="J139" s="74">
        <f>63/ATHENS!O1*ATHENS!O2</f>
        <v>114.54545454545453</v>
      </c>
      <c r="K139" s="74">
        <f>79.5/ATHENS!O1*ATHENS!O2</f>
        <v>144.54545454545453</v>
      </c>
      <c r="L139" s="74">
        <f>97.5/ATHENS!O1*ATHENS!O2</f>
        <v>177.27272727272725</v>
      </c>
      <c r="M139" s="74">
        <f>126.5/ATHENS!O1*ATHENS!O2</f>
        <v>229.99999999999997</v>
      </c>
      <c r="N139" s="42"/>
    </row>
    <row r="140" spans="1:14" s="17" customFormat="1" x14ac:dyDescent="0.2">
      <c r="A140" s="24"/>
      <c r="B140" s="27" t="s">
        <v>874</v>
      </c>
      <c r="C140" s="27"/>
      <c r="D140" s="27"/>
      <c r="E140" s="28"/>
      <c r="F140" s="28" t="s">
        <v>518</v>
      </c>
      <c r="G140" s="28" t="s">
        <v>1484</v>
      </c>
      <c r="H140" s="28" t="s">
        <v>702</v>
      </c>
      <c r="I140" s="28"/>
      <c r="J140" s="75">
        <f>38.5/ATHENS!O1*ATHENS!O2</f>
        <v>70</v>
      </c>
      <c r="K140" s="75">
        <f>49.5/ATHENS!O1*ATHENS!O2</f>
        <v>89.999999999999986</v>
      </c>
      <c r="L140" s="75">
        <f>62.5/ATHENS!O1*ATHENS!O2</f>
        <v>113.63636363636363</v>
      </c>
      <c r="M140" s="75">
        <f>78.5/ATHENS!O1*ATHENS!O2</f>
        <v>142.72727272727272</v>
      </c>
      <c r="N140" s="44"/>
    </row>
    <row r="141" spans="1:14" s="17" customFormat="1" x14ac:dyDescent="0.2">
      <c r="A141" s="24"/>
      <c r="B141" s="27" t="s">
        <v>874</v>
      </c>
      <c r="C141" s="27"/>
      <c r="D141" s="27"/>
      <c r="E141" s="28"/>
      <c r="F141" s="28" t="s">
        <v>705</v>
      </c>
      <c r="G141" s="28" t="s">
        <v>1484</v>
      </c>
      <c r="H141" s="28" t="s">
        <v>702</v>
      </c>
      <c r="I141" s="28"/>
      <c r="J141" s="75">
        <f>34.9/ATHENS!O1*ATHENS!O2</f>
        <v>63.454545454545446</v>
      </c>
      <c r="K141" s="75">
        <f>44.8/ATHENS!O1*ATHENS!O2</f>
        <v>81.454545454545439</v>
      </c>
      <c r="L141" s="75">
        <f>56.5/ATHENS!O1*ATHENS!O2</f>
        <v>102.72727272727272</v>
      </c>
      <c r="M141" s="75">
        <f>70.6/ATHENS!O1*ATHENS!O2</f>
        <v>128.36363636363635</v>
      </c>
      <c r="N141" s="44"/>
    </row>
    <row r="142" spans="1:14" s="17" customFormat="1" ht="13.5" thickBot="1" x14ac:dyDescent="0.25">
      <c r="A142" s="30"/>
      <c r="B142" s="443"/>
      <c r="C142" s="443"/>
      <c r="D142" s="443"/>
      <c r="E142" s="32"/>
      <c r="F142" s="32"/>
      <c r="G142" s="32"/>
      <c r="H142" s="32"/>
      <c r="I142" s="32"/>
      <c r="J142" s="76"/>
      <c r="K142" s="76"/>
      <c r="L142" s="76"/>
      <c r="M142" s="76"/>
      <c r="N142" s="46"/>
    </row>
    <row r="143" spans="1:14" s="17" customFormat="1" x14ac:dyDescent="0.2">
      <c r="A143" s="52"/>
      <c r="B143" s="27"/>
      <c r="C143" s="27"/>
      <c r="D143" s="27"/>
      <c r="E143" s="28"/>
      <c r="F143" s="28"/>
      <c r="G143" s="28"/>
      <c r="H143" s="28"/>
      <c r="I143" s="28"/>
      <c r="J143" s="229"/>
      <c r="K143" s="229"/>
      <c r="L143" s="229"/>
      <c r="M143" s="229"/>
      <c r="N143" s="229"/>
    </row>
    <row r="144" spans="1:14" s="17" customFormat="1" x14ac:dyDescent="0.2">
      <c r="A144" s="52"/>
      <c r="B144" s="27"/>
      <c r="C144" s="27"/>
      <c r="D144" s="27"/>
      <c r="E144" s="28"/>
      <c r="F144" s="28"/>
      <c r="G144" s="28"/>
      <c r="H144" s="28"/>
      <c r="I144" s="28"/>
      <c r="J144" s="229"/>
      <c r="K144" s="229"/>
      <c r="L144" s="229"/>
      <c r="M144" s="229"/>
      <c r="N144" s="229"/>
    </row>
    <row r="145" spans="1:14" s="17" customFormat="1" x14ac:dyDescent="0.2">
      <c r="A145" s="52"/>
      <c r="B145" s="27"/>
      <c r="C145" s="27"/>
      <c r="D145" s="27"/>
      <c r="E145" s="28"/>
      <c r="F145" s="28"/>
      <c r="G145" s="28"/>
      <c r="H145" s="28"/>
      <c r="I145" s="28"/>
      <c r="J145" s="229"/>
      <c r="K145" s="229"/>
      <c r="L145" s="229"/>
      <c r="M145" s="229"/>
      <c r="N145" s="229"/>
    </row>
    <row r="146" spans="1:14" s="17" customFormat="1" x14ac:dyDescent="0.2">
      <c r="A146" s="52"/>
      <c r="B146" s="27"/>
      <c r="C146" s="27"/>
      <c r="D146" s="27"/>
      <c r="E146" s="28"/>
      <c r="F146" s="28"/>
      <c r="G146" s="28"/>
      <c r="H146" s="28"/>
      <c r="I146" s="28"/>
      <c r="J146" s="229"/>
      <c r="K146" s="229"/>
      <c r="L146" s="229"/>
      <c r="M146" s="229"/>
      <c r="N146" s="229"/>
    </row>
    <row r="147" spans="1:14" s="17" customFormat="1" x14ac:dyDescent="0.2">
      <c r="A147" s="52"/>
      <c r="B147" s="27"/>
      <c r="C147" s="27"/>
      <c r="D147" s="27"/>
      <c r="E147" s="28"/>
      <c r="F147" s="28"/>
      <c r="G147" s="28"/>
      <c r="H147" s="28"/>
      <c r="I147" s="28"/>
      <c r="J147" s="229"/>
      <c r="K147" s="229"/>
      <c r="L147" s="229"/>
      <c r="M147" s="229"/>
      <c r="N147" s="229"/>
    </row>
    <row r="148" spans="1:14" s="17" customFormat="1" x14ac:dyDescent="0.2">
      <c r="A148" s="52"/>
      <c r="B148" s="27"/>
      <c r="C148" s="27"/>
      <c r="D148" s="27"/>
      <c r="E148" s="28"/>
      <c r="F148" s="28"/>
      <c r="G148" s="28"/>
      <c r="H148" s="28"/>
      <c r="I148" s="28"/>
      <c r="J148" s="229"/>
      <c r="K148" s="229"/>
      <c r="L148" s="229"/>
      <c r="M148" s="229"/>
      <c r="N148" s="229"/>
    </row>
    <row r="149" spans="1:14" s="17" customFormat="1" x14ac:dyDescent="0.2">
      <c r="A149" s="52"/>
      <c r="B149" s="27"/>
      <c r="C149" s="27"/>
      <c r="D149" s="27"/>
      <c r="E149" s="28"/>
      <c r="F149" s="28"/>
      <c r="G149" s="28"/>
      <c r="H149" s="28"/>
      <c r="I149" s="28"/>
      <c r="J149" s="229"/>
      <c r="K149" s="229"/>
      <c r="L149" s="229"/>
      <c r="M149" s="229"/>
      <c r="N149" s="229"/>
    </row>
    <row r="150" spans="1:14" s="17" customFormat="1" x14ac:dyDescent="0.2">
      <c r="A150" s="52"/>
      <c r="B150" s="27"/>
      <c r="C150" s="27"/>
      <c r="D150" s="27"/>
      <c r="E150" s="28"/>
      <c r="F150" s="28"/>
      <c r="G150" s="28"/>
      <c r="H150" s="28"/>
      <c r="I150" s="28"/>
      <c r="J150" s="229"/>
      <c r="K150" s="229"/>
      <c r="L150" s="229"/>
      <c r="M150" s="229"/>
      <c r="N150" s="229"/>
    </row>
    <row r="151" spans="1:14" s="17" customFormat="1" x14ac:dyDescent="0.2">
      <c r="A151" s="52"/>
      <c r="B151" s="27"/>
      <c r="C151" s="27"/>
      <c r="D151" s="27"/>
      <c r="E151" s="28"/>
      <c r="F151" s="28"/>
      <c r="G151" s="28"/>
      <c r="H151" s="28"/>
      <c r="I151" s="28"/>
      <c r="J151" s="229"/>
      <c r="K151" s="229"/>
      <c r="L151" s="229"/>
      <c r="M151" s="229"/>
      <c r="N151" s="229"/>
    </row>
    <row r="152" spans="1:14" s="17" customFormat="1" x14ac:dyDescent="0.2">
      <c r="A152" s="52"/>
      <c r="B152" s="27"/>
      <c r="C152" s="27"/>
      <c r="D152" s="27"/>
      <c r="E152" s="28"/>
      <c r="F152" s="28"/>
      <c r="G152" s="28"/>
      <c r="H152" s="28"/>
      <c r="I152" s="28"/>
      <c r="J152" s="229"/>
      <c r="K152" s="229"/>
      <c r="L152" s="229"/>
      <c r="M152" s="229"/>
      <c r="N152" s="229"/>
    </row>
    <row r="153" spans="1:14" s="17" customFormat="1" x14ac:dyDescent="0.2">
      <c r="A153" s="52"/>
      <c r="B153" s="27"/>
      <c r="C153" s="27"/>
      <c r="D153" s="27"/>
      <c r="E153" s="28"/>
      <c r="F153" s="28"/>
      <c r="G153" s="28"/>
      <c r="H153" s="28"/>
      <c r="I153" s="28"/>
      <c r="J153" s="229"/>
      <c r="K153" s="229"/>
      <c r="L153" s="229"/>
      <c r="M153" s="229"/>
      <c r="N153" s="229"/>
    </row>
    <row r="154" spans="1:14" s="17" customFormat="1" x14ac:dyDescent="0.2">
      <c r="A154" s="14"/>
      <c r="B154" s="15"/>
      <c r="C154" s="15"/>
      <c r="D154" s="15"/>
      <c r="E154" s="16"/>
      <c r="F154" s="16"/>
      <c r="G154" s="16"/>
      <c r="H154" s="16"/>
      <c r="I154" s="16"/>
      <c r="J154" s="16"/>
      <c r="K154" s="16"/>
      <c r="L154" s="16"/>
      <c r="M154" s="16"/>
      <c r="N154" s="16"/>
    </row>
    <row r="155" spans="1:14" s="17" customFormat="1" x14ac:dyDescent="0.2"/>
    <row r="156" spans="1:14" s="17" customFormat="1" ht="13.5" thickBot="1" x14ac:dyDescent="0.25"/>
    <row r="157" spans="1:14" s="17" customFormat="1" x14ac:dyDescent="0.2">
      <c r="A157" s="20"/>
      <c r="B157" s="21"/>
      <c r="C157" s="21"/>
      <c r="D157" s="21"/>
      <c r="E157" s="22"/>
      <c r="F157" s="22"/>
      <c r="G157" s="22"/>
      <c r="H157" s="22"/>
      <c r="I157" s="22"/>
      <c r="J157" s="22"/>
      <c r="K157" s="22"/>
      <c r="L157" s="22"/>
      <c r="M157" s="22"/>
      <c r="N157" s="23"/>
    </row>
    <row r="158" spans="1:14" s="17" customFormat="1" ht="15" x14ac:dyDescent="0.2">
      <c r="A158" s="24"/>
      <c r="B158" s="440" t="s">
        <v>253</v>
      </c>
      <c r="C158" s="441"/>
      <c r="D158" s="441"/>
      <c r="E158" s="441"/>
      <c r="F158" s="441"/>
      <c r="G158" s="441"/>
      <c r="H158" s="441"/>
      <c r="I158" s="441"/>
      <c r="J158" s="441"/>
      <c r="K158" s="441"/>
      <c r="L158" s="441"/>
      <c r="M158" s="442"/>
      <c r="N158" s="25" t="s">
        <v>1104</v>
      </c>
    </row>
    <row r="159" spans="1:14" s="17" customFormat="1" x14ac:dyDescent="0.2">
      <c r="A159" s="24"/>
      <c r="B159" s="26" t="s">
        <v>428</v>
      </c>
      <c r="C159" s="27" t="s">
        <v>254</v>
      </c>
      <c r="D159" s="27"/>
      <c r="E159" s="28"/>
      <c r="F159" s="28"/>
      <c r="G159" s="28"/>
      <c r="H159" s="28"/>
      <c r="I159" s="28"/>
      <c r="J159" s="28"/>
      <c r="K159" s="28"/>
      <c r="L159" s="28"/>
      <c r="M159" s="28"/>
      <c r="N159" s="29"/>
    </row>
    <row r="160" spans="1:14" s="17" customFormat="1" x14ac:dyDescent="0.2">
      <c r="A160" s="24"/>
      <c r="B160" s="26" t="s">
        <v>429</v>
      </c>
      <c r="C160" s="27" t="s">
        <v>914</v>
      </c>
      <c r="D160" s="27"/>
      <c r="E160" s="28"/>
      <c r="F160" s="28"/>
      <c r="G160" s="28"/>
      <c r="H160" s="28"/>
      <c r="I160" s="28"/>
      <c r="J160" s="28"/>
      <c r="K160" s="28"/>
      <c r="L160" s="28"/>
      <c r="M160" s="28"/>
      <c r="N160" s="29"/>
    </row>
    <row r="161" spans="1:256" s="17" customFormat="1" x14ac:dyDescent="0.2">
      <c r="A161" s="24"/>
      <c r="B161" s="26" t="s">
        <v>427</v>
      </c>
      <c r="C161" s="436" t="s">
        <v>1263</v>
      </c>
      <c r="D161" s="436"/>
      <c r="E161" s="436"/>
      <c r="F161" s="436"/>
      <c r="G161" s="436"/>
      <c r="H161" s="436"/>
      <c r="I161" s="436"/>
      <c r="J161" s="436"/>
      <c r="K161" s="436"/>
      <c r="L161" s="436"/>
      <c r="M161" s="436"/>
      <c r="N161" s="437"/>
    </row>
    <row r="162" spans="1:256" s="17" customFormat="1" x14ac:dyDescent="0.2">
      <c r="A162" s="24"/>
      <c r="B162" s="15"/>
      <c r="C162" s="436"/>
      <c r="D162" s="436"/>
      <c r="E162" s="436"/>
      <c r="F162" s="436"/>
      <c r="G162" s="436"/>
      <c r="H162" s="436"/>
      <c r="I162" s="436"/>
      <c r="J162" s="436"/>
      <c r="K162" s="436"/>
      <c r="L162" s="436"/>
      <c r="M162" s="436"/>
      <c r="N162" s="437"/>
    </row>
    <row r="163" spans="1:256" s="17" customFormat="1" x14ac:dyDescent="0.2">
      <c r="A163" s="24"/>
      <c r="B163" s="15"/>
      <c r="C163" s="436"/>
      <c r="D163" s="436"/>
      <c r="E163" s="436"/>
      <c r="F163" s="436"/>
      <c r="G163" s="436"/>
      <c r="H163" s="436"/>
      <c r="I163" s="436"/>
      <c r="J163" s="436"/>
      <c r="K163" s="436"/>
      <c r="L163" s="436"/>
      <c r="M163" s="436"/>
      <c r="N163" s="437"/>
    </row>
    <row r="164" spans="1:256" s="17" customFormat="1" x14ac:dyDescent="0.2">
      <c r="A164" s="24"/>
      <c r="B164" s="15"/>
      <c r="C164" s="438"/>
      <c r="D164" s="438"/>
      <c r="E164" s="438"/>
      <c r="F164" s="438"/>
      <c r="G164" s="438"/>
      <c r="H164" s="438"/>
      <c r="I164" s="438"/>
      <c r="J164" s="438"/>
      <c r="K164" s="438"/>
      <c r="L164" s="438"/>
      <c r="M164" s="438"/>
      <c r="N164" s="439"/>
    </row>
    <row r="165" spans="1:256" s="17" customFormat="1" x14ac:dyDescent="0.2">
      <c r="A165" s="24"/>
      <c r="B165" s="26" t="s">
        <v>426</v>
      </c>
      <c r="C165" s="27" t="s">
        <v>536</v>
      </c>
      <c r="D165" s="27"/>
      <c r="E165" s="28"/>
      <c r="F165" s="28"/>
      <c r="G165" s="28"/>
      <c r="H165" s="28"/>
      <c r="I165" s="28"/>
      <c r="J165" s="28"/>
      <c r="K165" s="28"/>
      <c r="L165" s="28"/>
      <c r="M165" s="28"/>
      <c r="N165" s="29"/>
    </row>
    <row r="166" spans="1:256" s="17" customFormat="1" x14ac:dyDescent="0.2">
      <c r="A166" s="24"/>
      <c r="B166" s="26" t="s">
        <v>430</v>
      </c>
      <c r="C166" s="27" t="s">
        <v>537</v>
      </c>
      <c r="D166" s="27"/>
      <c r="E166" s="28"/>
      <c r="F166" s="28"/>
      <c r="G166" s="28"/>
      <c r="H166" s="28"/>
      <c r="I166" s="28"/>
      <c r="J166" s="28"/>
      <c r="K166" s="28"/>
      <c r="L166" s="28"/>
      <c r="M166" s="28"/>
      <c r="N166" s="29"/>
    </row>
    <row r="167" spans="1:256" s="17" customFormat="1" x14ac:dyDescent="0.2">
      <c r="A167" s="24"/>
      <c r="B167" s="26"/>
      <c r="C167" s="27" t="s">
        <v>538</v>
      </c>
      <c r="D167" s="27"/>
      <c r="E167" s="28"/>
      <c r="F167" s="28"/>
      <c r="G167" s="28"/>
      <c r="H167" s="28"/>
      <c r="I167" s="28"/>
      <c r="J167" s="28"/>
      <c r="K167" s="28"/>
      <c r="L167" s="28"/>
      <c r="M167" s="28"/>
      <c r="N167" s="29"/>
    </row>
    <row r="168" spans="1:256" s="17" customFormat="1" ht="13.5" thickBot="1" x14ac:dyDescent="0.25">
      <c r="A168" s="30"/>
      <c r="B168" s="47"/>
      <c r="C168" s="31" t="s">
        <v>413</v>
      </c>
      <c r="D168" s="31"/>
      <c r="E168" s="32"/>
      <c r="F168" s="32"/>
      <c r="G168" s="32"/>
      <c r="H168" s="32"/>
      <c r="I168" s="32"/>
      <c r="J168" s="32"/>
      <c r="K168" s="32"/>
      <c r="L168" s="32"/>
      <c r="M168" s="32"/>
      <c r="N168" s="33"/>
    </row>
    <row r="169" spans="1:256" s="17" customFormat="1" x14ac:dyDescent="0.2">
      <c r="A169" s="20"/>
      <c r="B169" s="21" t="s">
        <v>263</v>
      </c>
      <c r="C169" s="21"/>
      <c r="D169" s="21"/>
      <c r="E169" s="22"/>
      <c r="F169" s="22"/>
      <c r="G169" s="22"/>
      <c r="H169" s="22"/>
      <c r="I169" s="22"/>
      <c r="J169" s="51" t="s">
        <v>1788</v>
      </c>
      <c r="K169" s="37" t="s">
        <v>1790</v>
      </c>
      <c r="L169" s="37" t="s">
        <v>1792</v>
      </c>
      <c r="M169" s="37" t="s">
        <v>618</v>
      </c>
      <c r="N169" s="37"/>
    </row>
    <row r="170" spans="1:256" s="17" customFormat="1" ht="13.5" thickBot="1" x14ac:dyDescent="0.25">
      <c r="A170" s="30"/>
      <c r="B170" s="27"/>
      <c r="C170" s="31"/>
      <c r="D170" s="31"/>
      <c r="E170" s="32"/>
      <c r="F170" s="32"/>
      <c r="G170" s="32"/>
      <c r="H170" s="32"/>
      <c r="I170" s="32"/>
      <c r="J170" s="49" t="s">
        <v>1789</v>
      </c>
      <c r="K170" s="40" t="s">
        <v>1791</v>
      </c>
      <c r="L170" s="40" t="s">
        <v>1793</v>
      </c>
      <c r="M170" s="40" t="s">
        <v>1794</v>
      </c>
      <c r="N170" s="40" t="s">
        <v>1795</v>
      </c>
    </row>
    <row r="171" spans="1:256" s="17" customFormat="1" x14ac:dyDescent="0.2">
      <c r="A171" s="20"/>
      <c r="B171" s="21" t="s">
        <v>67</v>
      </c>
      <c r="C171" s="21"/>
      <c r="D171" s="21"/>
      <c r="E171" s="22"/>
      <c r="F171" s="22" t="s">
        <v>1180</v>
      </c>
      <c r="G171" s="22" t="s">
        <v>1484</v>
      </c>
      <c r="H171" s="22" t="s">
        <v>702</v>
      </c>
      <c r="I171" s="22"/>
      <c r="J171" s="74">
        <f>158/ATHENS!O1*ATHENS!O2</f>
        <v>287.27272727272725</v>
      </c>
      <c r="K171" s="74">
        <f>198/ATHENS!O1*ATHENS!O2</f>
        <v>359.99999999999994</v>
      </c>
      <c r="L171" s="74">
        <f>238/ATHENS!O1*ATHENS!O2</f>
        <v>432.72727272727269</v>
      </c>
      <c r="M171" s="74">
        <f>282/ATHENS!O1*ATHENS!O2</f>
        <v>512.72727272727263</v>
      </c>
      <c r="N171" s="74">
        <f>322/ATHENS!O1*ATHENS!O2</f>
        <v>585.45454545454538</v>
      </c>
    </row>
    <row r="172" spans="1:256" s="17" customFormat="1" x14ac:dyDescent="0.2">
      <c r="A172" s="24"/>
      <c r="B172" s="435" t="s">
        <v>67</v>
      </c>
      <c r="C172" s="435"/>
      <c r="D172" s="435"/>
      <c r="E172" s="28"/>
      <c r="F172" s="28" t="s">
        <v>1181</v>
      </c>
      <c r="G172" s="28" t="s">
        <v>1484</v>
      </c>
      <c r="H172" s="28" t="s">
        <v>702</v>
      </c>
      <c r="I172" s="28"/>
      <c r="J172" s="75">
        <f>79/ATHENS!O1*ATHENS!O2</f>
        <v>143.63636363636363</v>
      </c>
      <c r="K172" s="75">
        <f>99/ATHENS!O1*ATHENS!O2</f>
        <v>179.99999999999997</v>
      </c>
      <c r="L172" s="75">
        <f>119/ATHENS!O1*ATHENS!O2</f>
        <v>216.36363636363635</v>
      </c>
      <c r="M172" s="75">
        <f>141/ATHENS!O1*ATHENS!O2</f>
        <v>256.36363636363632</v>
      </c>
      <c r="N172" s="75">
        <f>161/ATHENS!O1*ATHENS!O2</f>
        <v>292.72727272727269</v>
      </c>
    </row>
    <row r="173" spans="1:256" s="17" customFormat="1" ht="13.5" thickBot="1" x14ac:dyDescent="0.25">
      <c r="A173" s="30"/>
      <c r="B173" s="443"/>
      <c r="C173" s="443"/>
      <c r="D173" s="443"/>
      <c r="E173" s="32"/>
      <c r="F173" s="32"/>
      <c r="G173" s="32"/>
      <c r="H173" s="32"/>
      <c r="I173" s="32"/>
      <c r="J173" s="76"/>
      <c r="K173" s="76"/>
      <c r="L173" s="76"/>
      <c r="M173" s="76"/>
      <c r="N173" s="76"/>
    </row>
    <row r="174" spans="1:256" s="17" customFormat="1" x14ac:dyDescent="0.2">
      <c r="A174" s="52" t="s">
        <v>1423</v>
      </c>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c r="AY174" s="52"/>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c r="BX174" s="52"/>
      <c r="BY174" s="52"/>
      <c r="BZ174" s="52"/>
      <c r="CA174" s="52"/>
      <c r="CB174" s="52"/>
      <c r="CC174" s="52"/>
      <c r="CD174" s="52"/>
      <c r="CE174" s="52"/>
      <c r="CF174" s="52"/>
      <c r="CG174" s="52"/>
      <c r="CH174" s="52"/>
      <c r="CI174" s="52"/>
      <c r="CJ174" s="52"/>
      <c r="CK174" s="52"/>
      <c r="CL174" s="52"/>
      <c r="CM174" s="52"/>
      <c r="CN174" s="52"/>
      <c r="CO174" s="52"/>
      <c r="CP174" s="52"/>
      <c r="CQ174" s="52"/>
      <c r="CR174" s="52"/>
      <c r="CS174" s="52"/>
      <c r="CT174" s="52"/>
      <c r="CU174" s="52"/>
      <c r="CV174" s="52"/>
      <c r="CW174" s="52"/>
      <c r="CX174" s="52"/>
      <c r="CY174" s="52"/>
      <c r="CZ174" s="52"/>
      <c r="DA174" s="52"/>
      <c r="DB174" s="52"/>
      <c r="DC174" s="52"/>
      <c r="DD174" s="52"/>
      <c r="DE174" s="52"/>
      <c r="DF174" s="52"/>
      <c r="DG174" s="52"/>
      <c r="DH174" s="52"/>
      <c r="DI174" s="52"/>
      <c r="DJ174" s="52"/>
      <c r="DK174" s="52"/>
      <c r="DL174" s="52"/>
      <c r="DM174" s="52"/>
      <c r="DN174" s="52"/>
      <c r="DO174" s="52"/>
      <c r="DP174" s="52"/>
      <c r="DQ174" s="52"/>
      <c r="DR174" s="52"/>
      <c r="DS174" s="52"/>
      <c r="DT174" s="52"/>
      <c r="DU174" s="52"/>
      <c r="DV174" s="52"/>
      <c r="DW174" s="52"/>
      <c r="DX174" s="52"/>
      <c r="DY174" s="52"/>
      <c r="DZ174" s="52"/>
      <c r="EA174" s="52"/>
      <c r="EB174" s="52"/>
      <c r="EC174" s="52"/>
      <c r="ED174" s="52"/>
      <c r="EE174" s="52"/>
      <c r="EF174" s="52"/>
      <c r="EG174" s="52"/>
      <c r="EH174" s="52"/>
      <c r="EI174" s="52"/>
      <c r="EJ174" s="52"/>
      <c r="EK174" s="52"/>
      <c r="EL174" s="52"/>
      <c r="EM174" s="52"/>
      <c r="EN174" s="52"/>
      <c r="EO174" s="52"/>
      <c r="EP174" s="52"/>
      <c r="EQ174" s="52"/>
      <c r="ER174" s="52"/>
      <c r="ES174" s="52"/>
      <c r="ET174" s="52"/>
      <c r="EU174" s="52"/>
      <c r="EV174" s="52"/>
      <c r="EW174" s="52"/>
      <c r="EX174" s="52"/>
      <c r="EY174" s="52"/>
      <c r="EZ174" s="52"/>
      <c r="FA174" s="52"/>
      <c r="FB174" s="52"/>
      <c r="FC174" s="52"/>
      <c r="FD174" s="52"/>
      <c r="FE174" s="52"/>
      <c r="FF174" s="52"/>
      <c r="FG174" s="52"/>
      <c r="FH174" s="52"/>
      <c r="FI174" s="52"/>
      <c r="FJ174" s="52"/>
      <c r="FK174" s="52"/>
      <c r="FL174" s="52"/>
      <c r="FM174" s="52"/>
      <c r="FN174" s="52"/>
      <c r="FO174" s="52"/>
      <c r="FP174" s="52"/>
      <c r="FQ174" s="52"/>
      <c r="FR174" s="52"/>
      <c r="FS174" s="52"/>
      <c r="FT174" s="52"/>
      <c r="FU174" s="52"/>
      <c r="FV174" s="52"/>
      <c r="FW174" s="52"/>
      <c r="FX174" s="52"/>
      <c r="FY174" s="52"/>
      <c r="FZ174" s="52"/>
      <c r="GA174" s="52"/>
      <c r="GB174" s="52"/>
      <c r="GC174" s="52"/>
      <c r="GD174" s="52"/>
      <c r="GE174" s="52"/>
      <c r="GF174" s="52"/>
      <c r="GG174" s="52"/>
      <c r="GH174" s="52"/>
      <c r="GI174" s="52"/>
      <c r="GJ174" s="52"/>
      <c r="GK174" s="52"/>
      <c r="GL174" s="52"/>
      <c r="GM174" s="52"/>
      <c r="GN174" s="52"/>
      <c r="GO174" s="52"/>
      <c r="GP174" s="52"/>
      <c r="GQ174" s="52"/>
      <c r="GR174" s="52"/>
      <c r="GS174" s="52"/>
      <c r="GT174" s="52"/>
      <c r="GU174" s="52"/>
      <c r="GV174" s="52"/>
      <c r="GW174" s="52"/>
      <c r="GX174" s="52"/>
      <c r="GY174" s="52"/>
      <c r="GZ174" s="52"/>
      <c r="HA174" s="52"/>
      <c r="HB174" s="52"/>
      <c r="HC174" s="52"/>
      <c r="HD174" s="52"/>
      <c r="HE174" s="52"/>
      <c r="HF174" s="52"/>
      <c r="HG174" s="52"/>
      <c r="HH174" s="52"/>
      <c r="HI174" s="52"/>
      <c r="HJ174" s="52"/>
      <c r="HK174" s="52"/>
      <c r="HL174" s="52"/>
      <c r="HM174" s="52"/>
      <c r="HN174" s="52"/>
      <c r="HO174" s="52"/>
      <c r="HP174" s="52"/>
      <c r="HQ174" s="52"/>
      <c r="HR174" s="52"/>
      <c r="HS174" s="52"/>
      <c r="HT174" s="52"/>
      <c r="HU174" s="52"/>
      <c r="HV174" s="52"/>
      <c r="HW174" s="52"/>
      <c r="HX174" s="52"/>
      <c r="HY174" s="52"/>
      <c r="HZ174" s="52"/>
      <c r="IA174" s="52"/>
      <c r="IB174" s="52"/>
      <c r="IC174" s="52"/>
      <c r="ID174" s="52"/>
      <c r="IE174" s="52"/>
      <c r="IF174" s="52"/>
      <c r="IG174" s="52"/>
      <c r="IH174" s="52"/>
      <c r="II174" s="52"/>
      <c r="IJ174" s="52"/>
      <c r="IK174" s="52"/>
      <c r="IL174" s="52"/>
      <c r="IM174" s="52"/>
      <c r="IN174" s="52"/>
      <c r="IO174" s="52"/>
      <c r="IP174" s="52"/>
      <c r="IQ174" s="52"/>
      <c r="IR174" s="52"/>
      <c r="IS174" s="52"/>
      <c r="IT174" s="52"/>
      <c r="IU174" s="52"/>
      <c r="IV174" s="52"/>
    </row>
    <row r="175" spans="1:256" s="17" customFormat="1" ht="13.5" thickBot="1" x14ac:dyDescent="0.25">
      <c r="A175" s="14"/>
      <c r="B175" s="15"/>
      <c r="C175" s="15"/>
      <c r="D175" s="15"/>
      <c r="E175" s="16"/>
      <c r="F175" s="16"/>
      <c r="G175" s="16"/>
      <c r="H175" s="16"/>
      <c r="I175" s="16"/>
      <c r="J175" s="16"/>
      <c r="K175" s="16"/>
      <c r="L175" s="16"/>
      <c r="M175" s="16"/>
      <c r="N175" s="16"/>
    </row>
    <row r="176" spans="1:256" s="17" customFormat="1" x14ac:dyDescent="0.2">
      <c r="A176" s="20"/>
      <c r="B176" s="21"/>
      <c r="C176" s="21"/>
      <c r="D176" s="21"/>
      <c r="E176" s="22"/>
      <c r="F176" s="22"/>
      <c r="G176" s="22"/>
      <c r="H176" s="22"/>
      <c r="I176" s="22"/>
      <c r="J176" s="22"/>
      <c r="K176" s="22"/>
      <c r="L176" s="22"/>
      <c r="M176" s="22"/>
      <c r="N176" s="23"/>
    </row>
    <row r="177" spans="1:14" s="17" customFormat="1" ht="15" x14ac:dyDescent="0.2">
      <c r="A177" s="24"/>
      <c r="B177" s="440" t="s">
        <v>414</v>
      </c>
      <c r="C177" s="441"/>
      <c r="D177" s="441"/>
      <c r="E177" s="441"/>
      <c r="F177" s="441"/>
      <c r="G177" s="441"/>
      <c r="H177" s="441"/>
      <c r="I177" s="441"/>
      <c r="J177" s="441"/>
      <c r="K177" s="441"/>
      <c r="L177" s="441"/>
      <c r="M177" s="442"/>
      <c r="N177" s="25" t="s">
        <v>1104</v>
      </c>
    </row>
    <row r="178" spans="1:14" s="17" customFormat="1" x14ac:dyDescent="0.2">
      <c r="A178" s="24"/>
      <c r="B178" s="26" t="s">
        <v>428</v>
      </c>
      <c r="C178" s="27" t="s">
        <v>916</v>
      </c>
      <c r="D178" s="27"/>
      <c r="E178" s="28"/>
      <c r="F178" s="28"/>
      <c r="G178" s="28"/>
      <c r="H178" s="28"/>
      <c r="I178" s="28"/>
      <c r="J178" s="28"/>
      <c r="K178" s="28"/>
      <c r="L178" s="28"/>
      <c r="M178" s="28"/>
      <c r="N178" s="29"/>
    </row>
    <row r="179" spans="1:14" s="17" customFormat="1" x14ac:dyDescent="0.2">
      <c r="A179" s="24"/>
      <c r="B179" s="26" t="s">
        <v>429</v>
      </c>
      <c r="C179" s="27" t="s">
        <v>915</v>
      </c>
      <c r="D179" s="27"/>
      <c r="E179" s="28"/>
      <c r="F179" s="28"/>
      <c r="G179" s="28"/>
      <c r="H179" s="28"/>
      <c r="I179" s="28"/>
      <c r="J179" s="28"/>
      <c r="K179" s="28"/>
      <c r="L179" s="28"/>
      <c r="M179" s="28"/>
      <c r="N179" s="29"/>
    </row>
    <row r="180" spans="1:14" s="17" customFormat="1" x14ac:dyDescent="0.2">
      <c r="A180" s="24"/>
      <c r="B180" s="26" t="s">
        <v>427</v>
      </c>
      <c r="C180" s="436" t="s">
        <v>1264</v>
      </c>
      <c r="D180" s="436"/>
      <c r="E180" s="436"/>
      <c r="F180" s="436"/>
      <c r="G180" s="436"/>
      <c r="H180" s="436"/>
      <c r="I180" s="436"/>
      <c r="J180" s="436"/>
      <c r="K180" s="436"/>
      <c r="L180" s="436"/>
      <c r="M180" s="436"/>
      <c r="N180" s="437"/>
    </row>
    <row r="181" spans="1:14" s="17" customFormat="1" x14ac:dyDescent="0.2">
      <c r="A181" s="24"/>
      <c r="B181" s="26"/>
      <c r="C181" s="436"/>
      <c r="D181" s="436"/>
      <c r="E181" s="436"/>
      <c r="F181" s="436"/>
      <c r="G181" s="436"/>
      <c r="H181" s="436"/>
      <c r="I181" s="436"/>
      <c r="J181" s="436"/>
      <c r="K181" s="436"/>
      <c r="L181" s="436"/>
      <c r="M181" s="436"/>
      <c r="N181" s="437"/>
    </row>
    <row r="182" spans="1:14" s="17" customFormat="1" x14ac:dyDescent="0.2">
      <c r="A182" s="24"/>
      <c r="B182" s="26"/>
      <c r="C182" s="438"/>
      <c r="D182" s="438"/>
      <c r="E182" s="438"/>
      <c r="F182" s="438"/>
      <c r="G182" s="438"/>
      <c r="H182" s="438"/>
      <c r="I182" s="438"/>
      <c r="J182" s="438"/>
      <c r="K182" s="438"/>
      <c r="L182" s="438"/>
      <c r="M182" s="438"/>
      <c r="N182" s="439"/>
    </row>
    <row r="183" spans="1:14" s="17" customFormat="1" x14ac:dyDescent="0.2">
      <c r="A183" s="24"/>
      <c r="B183" s="26"/>
      <c r="C183" s="438"/>
      <c r="D183" s="438"/>
      <c r="E183" s="438"/>
      <c r="F183" s="438"/>
      <c r="G183" s="438"/>
      <c r="H183" s="438"/>
      <c r="I183" s="438"/>
      <c r="J183" s="438"/>
      <c r="K183" s="438"/>
      <c r="L183" s="438"/>
      <c r="M183" s="438"/>
      <c r="N183" s="439"/>
    </row>
    <row r="184" spans="1:14" s="17" customFormat="1" x14ac:dyDescent="0.2">
      <c r="A184" s="24"/>
      <c r="B184" s="26" t="s">
        <v>426</v>
      </c>
      <c r="C184" s="27" t="s">
        <v>536</v>
      </c>
      <c r="D184" s="27"/>
      <c r="E184" s="28"/>
      <c r="F184" s="28"/>
      <c r="G184" s="28"/>
      <c r="H184" s="28"/>
      <c r="I184" s="28"/>
      <c r="J184" s="28"/>
      <c r="K184" s="28"/>
      <c r="L184" s="28"/>
      <c r="M184" s="28"/>
      <c r="N184" s="29"/>
    </row>
    <row r="185" spans="1:14" s="17" customFormat="1" x14ac:dyDescent="0.2">
      <c r="A185" s="24"/>
      <c r="B185" s="26" t="s">
        <v>430</v>
      </c>
      <c r="C185" s="27" t="s">
        <v>607</v>
      </c>
      <c r="D185" s="27"/>
      <c r="E185" s="28"/>
      <c r="F185" s="28"/>
      <c r="G185" s="28"/>
      <c r="H185" s="28"/>
      <c r="I185" s="28"/>
      <c r="J185" s="28"/>
      <c r="K185" s="28"/>
      <c r="L185" s="28"/>
      <c r="M185" s="28"/>
      <c r="N185" s="29"/>
    </row>
    <row r="186" spans="1:14" s="17" customFormat="1" x14ac:dyDescent="0.2">
      <c r="A186" s="24"/>
      <c r="B186" s="26"/>
      <c r="C186" s="27" t="s">
        <v>392</v>
      </c>
      <c r="D186" s="27"/>
      <c r="E186" s="28"/>
      <c r="F186" s="28"/>
      <c r="G186" s="28"/>
      <c r="H186" s="28"/>
      <c r="I186" s="28"/>
      <c r="J186" s="28"/>
      <c r="K186" s="28"/>
      <c r="L186" s="28"/>
      <c r="M186" s="28"/>
      <c r="N186" s="29"/>
    </row>
    <row r="187" spans="1:14" s="17" customFormat="1" ht="13.5" thickBot="1" x14ac:dyDescent="0.25">
      <c r="A187" s="30"/>
      <c r="B187" s="47"/>
      <c r="C187" s="31" t="s">
        <v>393</v>
      </c>
      <c r="D187" s="31"/>
      <c r="E187" s="32"/>
      <c r="F187" s="32"/>
      <c r="G187" s="32"/>
      <c r="H187" s="32"/>
      <c r="I187" s="32"/>
      <c r="J187" s="32"/>
      <c r="K187" s="32"/>
      <c r="L187" s="32"/>
      <c r="M187" s="32"/>
      <c r="N187" s="33"/>
    </row>
    <row r="188" spans="1:14" s="17" customFormat="1" x14ac:dyDescent="0.2">
      <c r="A188" s="20"/>
      <c r="B188" s="21" t="s">
        <v>263</v>
      </c>
      <c r="C188" s="21"/>
      <c r="D188" s="21"/>
      <c r="E188" s="22"/>
      <c r="F188" s="22"/>
      <c r="G188" s="22"/>
      <c r="H188" s="22"/>
      <c r="I188" s="22"/>
      <c r="J188" s="51" t="s">
        <v>1788</v>
      </c>
      <c r="K188" s="37" t="s">
        <v>1790</v>
      </c>
      <c r="L188" s="37" t="s">
        <v>1792</v>
      </c>
      <c r="M188" s="37" t="s">
        <v>618</v>
      </c>
      <c r="N188" s="37"/>
    </row>
    <row r="189" spans="1:14" s="17" customFormat="1" ht="13.5" thickBot="1" x14ac:dyDescent="0.25">
      <c r="A189" s="30"/>
      <c r="B189" s="27"/>
      <c r="C189" s="31"/>
      <c r="D189" s="31"/>
      <c r="E189" s="32"/>
      <c r="F189" s="32"/>
      <c r="G189" s="32"/>
      <c r="H189" s="32"/>
      <c r="I189" s="32"/>
      <c r="J189" s="49" t="s">
        <v>1796</v>
      </c>
      <c r="K189" s="40" t="s">
        <v>1791</v>
      </c>
      <c r="L189" s="40" t="s">
        <v>1793</v>
      </c>
      <c r="M189" s="40" t="s">
        <v>1794</v>
      </c>
      <c r="N189" s="40" t="s">
        <v>1795</v>
      </c>
    </row>
    <row r="190" spans="1:14" s="17" customFormat="1" x14ac:dyDescent="0.2">
      <c r="A190" s="20"/>
      <c r="B190" s="434" t="s">
        <v>67</v>
      </c>
      <c r="C190" s="434"/>
      <c r="D190" s="434"/>
      <c r="E190" s="22"/>
      <c r="F190" s="22" t="s">
        <v>1180</v>
      </c>
      <c r="G190" s="22" t="s">
        <v>1484</v>
      </c>
      <c r="H190" s="22" t="s">
        <v>702</v>
      </c>
      <c r="I190" s="22"/>
      <c r="J190" s="74">
        <f>288/ATHENS!O1*ATHENS!O2</f>
        <v>523.63636363636363</v>
      </c>
      <c r="K190" s="74">
        <f>346/ATHENS!O1*ATHENS!O2</f>
        <v>629.09090909090901</v>
      </c>
      <c r="L190" s="74">
        <f>416/ATHENS!O1*ATHENS!O2</f>
        <v>756.36363636363626</v>
      </c>
      <c r="M190" s="74">
        <f>484/ATHENS!O1*ATHENS!O2</f>
        <v>879.99999999999989</v>
      </c>
      <c r="N190" s="74">
        <f>554/ATHENS!O1*ATHENS!O2</f>
        <v>1007.2727272727271</v>
      </c>
    </row>
    <row r="191" spans="1:14" s="17" customFormat="1" x14ac:dyDescent="0.2">
      <c r="A191" s="24"/>
      <c r="B191" s="435" t="s">
        <v>67</v>
      </c>
      <c r="C191" s="435"/>
      <c r="D191" s="435"/>
      <c r="E191" s="28"/>
      <c r="F191" s="28" t="s">
        <v>1181</v>
      </c>
      <c r="G191" s="28" t="s">
        <v>1484</v>
      </c>
      <c r="H191" s="28" t="s">
        <v>702</v>
      </c>
      <c r="I191" s="28"/>
      <c r="J191" s="75">
        <f>144/ATHENS!O1*ATHENS!O2</f>
        <v>261.81818181818181</v>
      </c>
      <c r="K191" s="75">
        <f>173/ATHENS!O1*ATHENS!O2</f>
        <v>314.5454545454545</v>
      </c>
      <c r="L191" s="75">
        <f>208/ATHENS!O1*ATHENS!O2</f>
        <v>378.18181818181813</v>
      </c>
      <c r="M191" s="75">
        <f>242/ATHENS!O1*ATHENS!O2</f>
        <v>439.99999999999994</v>
      </c>
      <c r="N191" s="75">
        <f>277/ATHENS!O1*ATHENS!O2</f>
        <v>503.63636363636357</v>
      </c>
    </row>
    <row r="192" spans="1:14" s="17" customFormat="1" ht="13.5" thickBot="1" x14ac:dyDescent="0.25">
      <c r="A192" s="30"/>
      <c r="B192" s="31" t="s">
        <v>902</v>
      </c>
      <c r="C192" s="31"/>
      <c r="D192" s="31"/>
      <c r="E192" s="32"/>
      <c r="F192" s="32"/>
      <c r="G192" s="32"/>
      <c r="H192" s="32"/>
      <c r="I192" s="32"/>
      <c r="J192" s="76">
        <f>25/ATHENS!O1*ATHENS!O2</f>
        <v>45.454545454545453</v>
      </c>
      <c r="K192" s="76">
        <f>25/ATHENS!O1*ATHENS!O2</f>
        <v>45.454545454545453</v>
      </c>
      <c r="L192" s="76">
        <f>25/ATHENS!O1*ATHENS!O2</f>
        <v>45.454545454545453</v>
      </c>
      <c r="M192" s="76">
        <f>25/ATHENS!O1*ATHENS!O2</f>
        <v>45.454545454545453</v>
      </c>
      <c r="N192" s="76">
        <f>25/ATHENS!O1*ATHENS!O2</f>
        <v>45.454545454545453</v>
      </c>
    </row>
    <row r="193" spans="1:15" s="17" customFormat="1" x14ac:dyDescent="0.2">
      <c r="A193" s="52" t="s">
        <v>1423</v>
      </c>
      <c r="B193" s="15"/>
      <c r="C193" s="15"/>
      <c r="D193" s="15"/>
      <c r="E193" s="16"/>
      <c r="F193" s="16"/>
      <c r="G193" s="16"/>
      <c r="H193" s="16"/>
      <c r="I193" s="16"/>
      <c r="J193" s="16"/>
      <c r="K193" s="16"/>
      <c r="L193" s="16"/>
      <c r="M193" s="16"/>
      <c r="N193" s="16"/>
    </row>
    <row r="194" spans="1:15" s="17" customFormat="1" x14ac:dyDescent="0.2">
      <c r="A194" s="14"/>
      <c r="B194" s="15"/>
      <c r="C194" s="15"/>
      <c r="D194" s="15"/>
      <c r="E194" s="16"/>
      <c r="F194" s="16"/>
      <c r="G194" s="16"/>
      <c r="H194" s="16"/>
      <c r="I194" s="16"/>
      <c r="J194" s="16"/>
      <c r="K194" s="16"/>
      <c r="L194" s="16"/>
      <c r="M194" s="16"/>
      <c r="N194" s="16"/>
    </row>
    <row r="195" spans="1:15" s="17" customFormat="1" ht="13.5" thickBot="1" x14ac:dyDescent="0.25">
      <c r="A195" s="14"/>
      <c r="B195" s="15"/>
      <c r="C195" s="15"/>
      <c r="D195" s="15"/>
      <c r="E195" s="16"/>
      <c r="F195" s="16"/>
      <c r="G195" s="16"/>
      <c r="H195" s="16"/>
      <c r="I195" s="16"/>
      <c r="J195" s="16"/>
      <c r="K195" s="16"/>
      <c r="L195" s="16"/>
      <c r="M195" s="16"/>
      <c r="N195" s="16"/>
      <c r="O195" s="60"/>
    </row>
    <row r="196" spans="1:15" s="17" customFormat="1" x14ac:dyDescent="0.2">
      <c r="A196" s="20"/>
      <c r="B196" s="21"/>
      <c r="C196" s="21"/>
      <c r="D196" s="21"/>
      <c r="E196" s="22"/>
      <c r="F196" s="22"/>
      <c r="G196" s="22"/>
      <c r="H196" s="22"/>
      <c r="I196" s="22"/>
      <c r="J196" s="22"/>
      <c r="K196" s="22"/>
      <c r="L196" s="22"/>
      <c r="M196" s="22"/>
      <c r="N196" s="23"/>
      <c r="O196" s="60"/>
    </row>
    <row r="197" spans="1:15" s="17" customFormat="1" ht="15" x14ac:dyDescent="0.2">
      <c r="A197" s="24"/>
      <c r="B197" s="440" t="s">
        <v>851</v>
      </c>
      <c r="C197" s="441"/>
      <c r="D197" s="441"/>
      <c r="E197" s="441"/>
      <c r="F197" s="441"/>
      <c r="G197" s="441"/>
      <c r="H197" s="441"/>
      <c r="I197" s="441"/>
      <c r="J197" s="441"/>
      <c r="K197" s="441"/>
      <c r="L197" s="441"/>
      <c r="M197" s="442"/>
      <c r="N197" s="25" t="s">
        <v>1104</v>
      </c>
      <c r="O197" s="60"/>
    </row>
    <row r="198" spans="1:15" s="17" customFormat="1" x14ac:dyDescent="0.2">
      <c r="A198" s="24"/>
      <c r="B198" s="26" t="s">
        <v>428</v>
      </c>
      <c r="C198" s="27" t="s">
        <v>852</v>
      </c>
      <c r="D198" s="27"/>
      <c r="E198" s="28"/>
      <c r="F198" s="28"/>
      <c r="G198" s="28"/>
      <c r="H198" s="28"/>
      <c r="I198" s="28"/>
      <c r="J198" s="28"/>
      <c r="K198" s="28"/>
      <c r="L198" s="28"/>
      <c r="M198" s="28"/>
      <c r="N198" s="29"/>
      <c r="O198" s="60"/>
    </row>
    <row r="199" spans="1:15" s="17" customFormat="1" x14ac:dyDescent="0.2">
      <c r="A199" s="24"/>
      <c r="B199" s="26" t="s">
        <v>429</v>
      </c>
      <c r="C199" s="27" t="s">
        <v>425</v>
      </c>
      <c r="D199" s="27"/>
      <c r="E199" s="28"/>
      <c r="F199" s="28"/>
      <c r="G199" s="28"/>
      <c r="H199" s="28"/>
      <c r="I199" s="28"/>
      <c r="J199" s="28"/>
      <c r="K199" s="28"/>
      <c r="L199" s="28"/>
      <c r="M199" s="28"/>
      <c r="N199" s="29"/>
      <c r="O199" s="60"/>
    </row>
    <row r="200" spans="1:15" s="17" customFormat="1" x14ac:dyDescent="0.2">
      <c r="A200" s="24"/>
      <c r="B200" s="26" t="s">
        <v>427</v>
      </c>
      <c r="C200" s="436" t="s">
        <v>583</v>
      </c>
      <c r="D200" s="436"/>
      <c r="E200" s="436"/>
      <c r="F200" s="436"/>
      <c r="G200" s="436"/>
      <c r="H200" s="436"/>
      <c r="I200" s="436"/>
      <c r="J200" s="436"/>
      <c r="K200" s="436"/>
      <c r="L200" s="436"/>
      <c r="M200" s="436"/>
      <c r="N200" s="437"/>
      <c r="O200" s="60"/>
    </row>
    <row r="201" spans="1:15" s="17" customFormat="1" x14ac:dyDescent="0.2">
      <c r="A201" s="24"/>
      <c r="B201" s="27"/>
      <c r="C201" s="436"/>
      <c r="D201" s="436"/>
      <c r="E201" s="436"/>
      <c r="F201" s="436"/>
      <c r="G201" s="436"/>
      <c r="H201" s="436"/>
      <c r="I201" s="436"/>
      <c r="J201" s="436"/>
      <c r="K201" s="436"/>
      <c r="L201" s="436"/>
      <c r="M201" s="436"/>
      <c r="N201" s="437"/>
      <c r="O201" s="60"/>
    </row>
    <row r="202" spans="1:15" s="17" customFormat="1" x14ac:dyDescent="0.2">
      <c r="A202" s="24"/>
      <c r="B202" s="27"/>
      <c r="C202" s="438"/>
      <c r="D202" s="438"/>
      <c r="E202" s="438"/>
      <c r="F202" s="438"/>
      <c r="G202" s="438"/>
      <c r="H202" s="438"/>
      <c r="I202" s="438"/>
      <c r="J202" s="438"/>
      <c r="K202" s="438"/>
      <c r="L202" s="438"/>
      <c r="M202" s="438"/>
      <c r="N202" s="439"/>
      <c r="O202" s="60"/>
    </row>
    <row r="203" spans="1:15" s="17" customFormat="1" x14ac:dyDescent="0.2">
      <c r="A203" s="24"/>
      <c r="B203" s="26" t="s">
        <v>426</v>
      </c>
      <c r="C203" s="61"/>
      <c r="D203" s="61"/>
      <c r="E203" s="61"/>
      <c r="F203" s="61"/>
      <c r="G203" s="61"/>
      <c r="H203" s="61"/>
      <c r="I203" s="61"/>
      <c r="J203" s="61"/>
      <c r="K203" s="61"/>
      <c r="L203" s="61"/>
      <c r="M203" s="61"/>
      <c r="N203" s="29"/>
      <c r="O203" s="60"/>
    </row>
    <row r="204" spans="1:15" s="17" customFormat="1" ht="13.5" thickBot="1" x14ac:dyDescent="0.25">
      <c r="A204" s="30"/>
      <c r="B204" s="26" t="s">
        <v>430</v>
      </c>
      <c r="C204" s="31"/>
      <c r="D204" s="31"/>
      <c r="E204" s="31"/>
      <c r="F204" s="31"/>
      <c r="G204" s="31"/>
      <c r="H204" s="31"/>
      <c r="I204" s="32"/>
      <c r="J204" s="32"/>
      <c r="K204" s="32"/>
      <c r="L204" s="32"/>
      <c r="M204" s="32"/>
      <c r="N204" s="33"/>
      <c r="O204" s="60"/>
    </row>
    <row r="205" spans="1:15" s="17" customFormat="1" x14ac:dyDescent="0.2">
      <c r="A205" s="24"/>
      <c r="B205" s="58" t="s">
        <v>263</v>
      </c>
      <c r="C205" s="27"/>
      <c r="D205" s="27"/>
      <c r="E205" s="27"/>
      <c r="F205" s="27"/>
      <c r="G205" s="27"/>
      <c r="H205" s="27"/>
      <c r="I205" s="28"/>
      <c r="J205" s="85" t="s">
        <v>907</v>
      </c>
      <c r="K205" s="48" t="s">
        <v>908</v>
      </c>
      <c r="L205" s="37"/>
      <c r="M205" s="37"/>
      <c r="N205" s="23"/>
      <c r="O205" s="60"/>
    </row>
    <row r="206" spans="1:15" s="17" customFormat="1" ht="13.5" thickBot="1" x14ac:dyDescent="0.25">
      <c r="A206" s="24"/>
      <c r="B206" s="31"/>
      <c r="C206" s="27"/>
      <c r="D206" s="27"/>
      <c r="E206" s="28"/>
      <c r="F206" s="28"/>
      <c r="G206" s="28"/>
      <c r="H206" s="28"/>
      <c r="I206" s="28"/>
      <c r="J206" s="86" t="s">
        <v>512</v>
      </c>
      <c r="K206" s="32" t="s">
        <v>481</v>
      </c>
      <c r="L206" s="40" t="s">
        <v>221</v>
      </c>
      <c r="M206" s="40"/>
      <c r="N206" s="33"/>
      <c r="O206" s="60"/>
    </row>
    <row r="207" spans="1:15" s="17" customFormat="1" x14ac:dyDescent="0.2">
      <c r="A207" s="20"/>
      <c r="B207" s="434" t="s">
        <v>67</v>
      </c>
      <c r="C207" s="434"/>
      <c r="D207" s="434"/>
      <c r="E207" s="22"/>
      <c r="F207" s="22" t="s">
        <v>1180</v>
      </c>
      <c r="G207" s="22" t="s">
        <v>68</v>
      </c>
      <c r="H207" s="22" t="s">
        <v>702</v>
      </c>
      <c r="I207" s="22"/>
      <c r="J207" s="100">
        <f>60/ATHENS!O1*ATHENS!O2</f>
        <v>109.09090909090908</v>
      </c>
      <c r="K207" s="101">
        <f>68/ATHENS!O1*ATHENS!O2</f>
        <v>123.63636363636363</v>
      </c>
      <c r="L207" s="100">
        <f>83/ATHENS!O1*ATHENS!O2</f>
        <v>150.90909090909091</v>
      </c>
      <c r="M207" s="42"/>
      <c r="N207" s="42"/>
      <c r="O207" s="60"/>
    </row>
    <row r="208" spans="1:15" s="17" customFormat="1" x14ac:dyDescent="0.2">
      <c r="A208" s="24"/>
      <c r="B208" s="435" t="s">
        <v>67</v>
      </c>
      <c r="C208" s="435"/>
      <c r="D208" s="435"/>
      <c r="E208" s="28"/>
      <c r="F208" s="28" t="s">
        <v>1181</v>
      </c>
      <c r="G208" s="28" t="s">
        <v>68</v>
      </c>
      <c r="H208" s="28" t="s">
        <v>702</v>
      </c>
      <c r="I208" s="28"/>
      <c r="J208" s="102">
        <f>37.5/ATHENS!O1*ATHENS!O2</f>
        <v>68.181818181818173</v>
      </c>
      <c r="K208" s="101">
        <f>45/ATHENS!O1*ATHENS!O2</f>
        <v>81.818181818181813</v>
      </c>
      <c r="L208" s="100">
        <f>50.5/ATHENS!O1*ATHENS!O2</f>
        <v>91.818181818181813</v>
      </c>
      <c r="M208" s="44"/>
      <c r="N208" s="44"/>
      <c r="O208" s="60"/>
    </row>
    <row r="209" spans="1:15" s="17" customFormat="1" ht="13.5" thickBot="1" x14ac:dyDescent="0.25">
      <c r="A209" s="30"/>
      <c r="B209" s="443" t="s">
        <v>67</v>
      </c>
      <c r="C209" s="443"/>
      <c r="D209" s="443"/>
      <c r="E209" s="32"/>
      <c r="F209" s="32" t="s">
        <v>1182</v>
      </c>
      <c r="G209" s="32" t="s">
        <v>68</v>
      </c>
      <c r="H209" s="32" t="s">
        <v>702</v>
      </c>
      <c r="I209" s="32"/>
      <c r="J209" s="103">
        <f>33.5/ATHENS!O1*ATHENS!O2</f>
        <v>60.909090909090907</v>
      </c>
      <c r="K209" s="104">
        <f>40.5/ATHENS!O1*ATHENS!O2</f>
        <v>73.636363636363626</v>
      </c>
      <c r="L209" s="105">
        <f>45.5/ATHENS!O1*ATHENS!O2</f>
        <v>82.72727272727272</v>
      </c>
      <c r="M209" s="46"/>
      <c r="N209" s="46"/>
      <c r="O209" s="60"/>
    </row>
    <row r="210" spans="1:15" s="17" customFormat="1" x14ac:dyDescent="0.2">
      <c r="A210" s="52"/>
      <c r="B210" s="27"/>
      <c r="C210" s="27"/>
      <c r="D210" s="27"/>
      <c r="E210" s="28"/>
      <c r="F210" s="28"/>
      <c r="G210" s="28"/>
      <c r="H210" s="28"/>
      <c r="I210" s="28"/>
      <c r="J210" s="340"/>
      <c r="K210" s="120"/>
      <c r="L210" s="120"/>
      <c r="M210" s="53"/>
      <c r="N210" s="53"/>
      <c r="O210" s="60"/>
    </row>
    <row r="211" spans="1:15" s="17" customFormat="1" x14ac:dyDescent="0.2">
      <c r="A211" s="52"/>
      <c r="B211" s="27"/>
      <c r="C211" s="27"/>
      <c r="D211" s="27"/>
      <c r="E211" s="28"/>
      <c r="F211" s="28"/>
      <c r="G211" s="28"/>
      <c r="H211" s="28"/>
      <c r="I211" s="28"/>
      <c r="J211" s="340"/>
      <c r="K211" s="120"/>
      <c r="L211" s="120"/>
      <c r="M211" s="53"/>
      <c r="N211" s="53"/>
      <c r="O211" s="60"/>
    </row>
    <row r="212" spans="1:15" s="17" customFormat="1" x14ac:dyDescent="0.2">
      <c r="A212" s="52"/>
      <c r="B212" s="27"/>
      <c r="C212" s="27"/>
      <c r="D212" s="27"/>
      <c r="E212" s="28"/>
      <c r="F212" s="28"/>
      <c r="G212" s="28"/>
      <c r="H212" s="28"/>
      <c r="I212" s="28"/>
      <c r="J212" s="340"/>
      <c r="K212" s="120"/>
      <c r="L212" s="120"/>
      <c r="M212" s="53"/>
      <c r="N212" s="53"/>
      <c r="O212" s="60"/>
    </row>
    <row r="213" spans="1:15" s="17" customFormat="1" x14ac:dyDescent="0.2">
      <c r="A213" s="52"/>
      <c r="B213" s="27"/>
      <c r="C213" s="27"/>
      <c r="D213" s="27"/>
      <c r="E213" s="28"/>
      <c r="F213" s="28"/>
      <c r="G213" s="28"/>
      <c r="H213" s="28"/>
      <c r="I213" s="28"/>
      <c r="J213" s="340"/>
      <c r="K213" s="120"/>
      <c r="L213" s="120"/>
      <c r="M213" s="53"/>
      <c r="N213" s="53"/>
      <c r="O213" s="60"/>
    </row>
    <row r="214" spans="1:15" s="17" customFormat="1" ht="13.5" thickBot="1" x14ac:dyDescent="0.25">
      <c r="A214" s="14"/>
      <c r="B214" s="15"/>
      <c r="C214" s="15"/>
      <c r="D214" s="15"/>
      <c r="E214" s="16"/>
      <c r="F214" s="16"/>
      <c r="G214" s="16"/>
      <c r="H214" s="16"/>
      <c r="I214" s="16"/>
      <c r="J214" s="16"/>
      <c r="K214" s="16"/>
      <c r="L214" s="16"/>
      <c r="M214" s="16"/>
      <c r="N214" s="16"/>
    </row>
    <row r="215" spans="1:15" s="17" customFormat="1" x14ac:dyDescent="0.2">
      <c r="A215" s="20"/>
      <c r="B215" s="21"/>
      <c r="C215" s="21"/>
      <c r="D215" s="21"/>
      <c r="E215" s="22"/>
      <c r="F215" s="22"/>
      <c r="G215" s="22"/>
      <c r="H215" s="22"/>
      <c r="I215" s="22"/>
      <c r="J215" s="22"/>
      <c r="K215" s="22"/>
      <c r="L215" s="22"/>
      <c r="M215" s="22"/>
      <c r="N215" s="23"/>
    </row>
    <row r="216" spans="1:15" s="17" customFormat="1" ht="15" x14ac:dyDescent="0.2">
      <c r="A216" s="24"/>
      <c r="B216" s="440" t="s">
        <v>438</v>
      </c>
      <c r="C216" s="441"/>
      <c r="D216" s="441"/>
      <c r="E216" s="441"/>
      <c r="F216" s="441"/>
      <c r="G216" s="441"/>
      <c r="H216" s="441"/>
      <c r="I216" s="441"/>
      <c r="J216" s="441"/>
      <c r="K216" s="441"/>
      <c r="L216" s="441"/>
      <c r="M216" s="442"/>
      <c r="N216" s="25" t="s">
        <v>1104</v>
      </c>
    </row>
    <row r="217" spans="1:15" s="17" customFormat="1" x14ac:dyDescent="0.2">
      <c r="A217" s="24"/>
      <c r="B217" s="26" t="s">
        <v>428</v>
      </c>
      <c r="C217" s="27" t="s">
        <v>439</v>
      </c>
      <c r="D217" s="27"/>
      <c r="E217" s="28"/>
      <c r="F217" s="28"/>
      <c r="G217" s="28"/>
      <c r="H217" s="28"/>
      <c r="I217" s="28"/>
      <c r="J217" s="28"/>
      <c r="K217" s="28"/>
      <c r="L217" s="28"/>
      <c r="M217" s="28"/>
      <c r="N217" s="29"/>
    </row>
    <row r="218" spans="1:15" s="17" customFormat="1" x14ac:dyDescent="0.2">
      <c r="A218" s="24"/>
      <c r="B218" s="26" t="s">
        <v>429</v>
      </c>
      <c r="C218" s="27" t="s">
        <v>144</v>
      </c>
      <c r="D218" s="27"/>
      <c r="E218" s="28"/>
      <c r="F218" s="28"/>
      <c r="G218" s="28"/>
      <c r="H218" s="28"/>
      <c r="I218" s="28"/>
      <c r="J218" s="28"/>
      <c r="K218" s="28"/>
      <c r="L218" s="28"/>
      <c r="M218" s="28"/>
      <c r="N218" s="29"/>
    </row>
    <row r="219" spans="1:15" s="17" customFormat="1" x14ac:dyDescent="0.2">
      <c r="A219" s="24"/>
      <c r="B219" s="26" t="s">
        <v>427</v>
      </c>
      <c r="C219" s="436" t="s">
        <v>584</v>
      </c>
      <c r="D219" s="436"/>
      <c r="E219" s="436"/>
      <c r="F219" s="436"/>
      <c r="G219" s="436"/>
      <c r="H219" s="436"/>
      <c r="I219" s="436"/>
      <c r="J219" s="436"/>
      <c r="K219" s="436"/>
      <c r="L219" s="436"/>
      <c r="M219" s="436"/>
      <c r="N219" s="437"/>
    </row>
    <row r="220" spans="1:15" s="17" customFormat="1" x14ac:dyDescent="0.2">
      <c r="A220" s="24"/>
      <c r="B220" s="27"/>
      <c r="C220" s="436"/>
      <c r="D220" s="436"/>
      <c r="E220" s="436"/>
      <c r="F220" s="436"/>
      <c r="G220" s="436"/>
      <c r="H220" s="436"/>
      <c r="I220" s="436"/>
      <c r="J220" s="436"/>
      <c r="K220" s="436"/>
      <c r="L220" s="436"/>
      <c r="M220" s="436"/>
      <c r="N220" s="437"/>
    </row>
    <row r="221" spans="1:15" s="17" customFormat="1" x14ac:dyDescent="0.2">
      <c r="A221" s="24"/>
      <c r="B221" s="26" t="s">
        <v>426</v>
      </c>
      <c r="C221" s="27"/>
      <c r="D221" s="27"/>
      <c r="E221" s="28"/>
      <c r="F221" s="28"/>
      <c r="G221" s="28"/>
      <c r="H221" s="28"/>
      <c r="I221" s="28"/>
      <c r="J221" s="28"/>
      <c r="K221" s="28"/>
      <c r="L221" s="28"/>
      <c r="M221" s="28"/>
      <c r="N221" s="29"/>
    </row>
    <row r="222" spans="1:15" s="17" customFormat="1" ht="13.5" thickBot="1" x14ac:dyDescent="0.25">
      <c r="A222" s="24"/>
      <c r="B222" s="26" t="s">
        <v>430</v>
      </c>
      <c r="C222" s="27"/>
      <c r="D222" s="27"/>
      <c r="E222" s="28"/>
      <c r="F222" s="28"/>
      <c r="G222" s="28"/>
      <c r="H222" s="28"/>
      <c r="I222" s="28"/>
      <c r="J222" s="28"/>
      <c r="K222" s="28"/>
      <c r="L222" s="28"/>
      <c r="M222" s="28"/>
      <c r="N222" s="29"/>
    </row>
    <row r="223" spans="1:15" s="17" customFormat="1" x14ac:dyDescent="0.2">
      <c r="A223" s="20"/>
      <c r="B223" s="21" t="s">
        <v>263</v>
      </c>
      <c r="C223" s="21"/>
      <c r="D223" s="21"/>
      <c r="E223" s="22"/>
      <c r="F223" s="22"/>
      <c r="G223" s="22"/>
      <c r="H223" s="22"/>
      <c r="I223" s="22"/>
      <c r="J223" s="37" t="s">
        <v>1411</v>
      </c>
      <c r="K223" s="37" t="s">
        <v>295</v>
      </c>
      <c r="L223" s="37" t="s">
        <v>1766</v>
      </c>
      <c r="M223" s="37"/>
      <c r="N223" s="23"/>
    </row>
    <row r="224" spans="1:15" s="17" customFormat="1" ht="13.5" thickBot="1" x14ac:dyDescent="0.25">
      <c r="A224" s="30"/>
      <c r="B224" s="27"/>
      <c r="C224" s="31"/>
      <c r="D224" s="31"/>
      <c r="E224" s="32"/>
      <c r="F224" s="32"/>
      <c r="G224" s="32"/>
      <c r="H224" s="32"/>
      <c r="I224" s="32"/>
      <c r="J224" s="87" t="s">
        <v>1765</v>
      </c>
      <c r="K224" s="40" t="s">
        <v>272</v>
      </c>
      <c r="L224" s="40" t="s">
        <v>1767</v>
      </c>
      <c r="M224" s="40" t="s">
        <v>1768</v>
      </c>
      <c r="N224" s="33"/>
    </row>
    <row r="225" spans="1:14" s="17" customFormat="1" x14ac:dyDescent="0.2">
      <c r="A225" s="20"/>
      <c r="B225" s="434" t="s">
        <v>67</v>
      </c>
      <c r="C225" s="434"/>
      <c r="D225" s="434"/>
      <c r="E225" s="22"/>
      <c r="F225" s="22" t="s">
        <v>1180</v>
      </c>
      <c r="G225" s="22" t="s">
        <v>1484</v>
      </c>
      <c r="H225" s="22" t="s">
        <v>702</v>
      </c>
      <c r="I225" s="22"/>
      <c r="J225" s="75">
        <f>84/ATHENS!O1*ATHENS!O2</f>
        <v>152.72727272727272</v>
      </c>
      <c r="K225" s="75">
        <f>107/ATHENS!O1*ATHENS!O2</f>
        <v>194.54545454545453</v>
      </c>
      <c r="L225" s="75">
        <f>130/ATHENS!O1*ATHENS!O2</f>
        <v>236.36363636363635</v>
      </c>
      <c r="M225" s="75">
        <f>155/ATHENS!O1*ATHENS!O2</f>
        <v>281.81818181818181</v>
      </c>
      <c r="N225" s="79"/>
    </row>
    <row r="226" spans="1:14" s="17" customFormat="1" x14ac:dyDescent="0.2">
      <c r="A226" s="24"/>
      <c r="B226" s="435" t="s">
        <v>67</v>
      </c>
      <c r="C226" s="435"/>
      <c r="D226" s="435"/>
      <c r="E226" s="28"/>
      <c r="F226" s="28" t="s">
        <v>1181</v>
      </c>
      <c r="G226" s="28" t="s">
        <v>1484</v>
      </c>
      <c r="H226" s="28" t="s">
        <v>702</v>
      </c>
      <c r="I226" s="28"/>
      <c r="J226" s="75">
        <f>51.5/ATHENS!O1*ATHENS!O2</f>
        <v>93.636363636363626</v>
      </c>
      <c r="K226" s="75">
        <f>67/ATHENS!O1*ATHENS!O2</f>
        <v>121.81818181818181</v>
      </c>
      <c r="L226" s="75">
        <f>80/ATHENS!O1*ATHENS!O2</f>
        <v>145.45454545454544</v>
      </c>
      <c r="M226" s="75">
        <f>96/ATHENS!O1*ATHENS!O2</f>
        <v>174.54545454545453</v>
      </c>
      <c r="N226" s="95"/>
    </row>
    <row r="227" spans="1:14" s="17" customFormat="1" ht="13.5" thickBot="1" x14ac:dyDescent="0.25">
      <c r="A227" s="30"/>
      <c r="B227" s="443" t="s">
        <v>67</v>
      </c>
      <c r="C227" s="443"/>
      <c r="D227" s="443"/>
      <c r="E227" s="32"/>
      <c r="F227" s="32" t="s">
        <v>1182</v>
      </c>
      <c r="G227" s="32" t="s">
        <v>1484</v>
      </c>
      <c r="H227" s="32" t="s">
        <v>702</v>
      </c>
      <c r="I227" s="32"/>
      <c r="J227" s="76">
        <f>46.5/ATHENS!O1*ATHENS!O2</f>
        <v>84.545454545454533</v>
      </c>
      <c r="K227" s="76">
        <f>60.5/ATHENS!O1*ATHENS!O2</f>
        <v>109.99999999999999</v>
      </c>
      <c r="L227" s="76">
        <f>72/ATHENS!O1*ATHENS!O2</f>
        <v>130.90909090909091</v>
      </c>
      <c r="M227" s="76">
        <f>86.5/ATHENS!O1*ATHENS!O2</f>
        <v>157.27272727272725</v>
      </c>
      <c r="N227" s="96"/>
    </row>
    <row r="228" spans="1:14" s="17" customFormat="1" ht="13.5" thickBot="1" x14ac:dyDescent="0.25">
      <c r="A228" s="14"/>
      <c r="B228" s="15"/>
      <c r="C228" s="15"/>
      <c r="D228" s="15"/>
      <c r="E228" s="16"/>
      <c r="F228" s="16"/>
      <c r="G228" s="16"/>
      <c r="H228" s="16"/>
      <c r="I228" s="16"/>
      <c r="J228" s="16"/>
      <c r="K228" s="16"/>
      <c r="L228" s="16"/>
      <c r="M228" s="16"/>
      <c r="N228" s="16"/>
    </row>
    <row r="229" spans="1:14" s="17" customFormat="1" x14ac:dyDescent="0.2">
      <c r="A229" s="20"/>
      <c r="B229" s="21"/>
      <c r="C229" s="21"/>
      <c r="D229" s="21"/>
      <c r="E229" s="22"/>
      <c r="F229" s="22"/>
      <c r="G229" s="22"/>
      <c r="H229" s="22"/>
      <c r="I229" s="22"/>
      <c r="J229" s="22"/>
      <c r="K229" s="22"/>
      <c r="L229" s="22"/>
      <c r="M229" s="22"/>
      <c r="N229" s="23"/>
    </row>
    <row r="230" spans="1:14" s="17" customFormat="1" ht="15" x14ac:dyDescent="0.2">
      <c r="A230" s="24"/>
      <c r="B230" s="440" t="s">
        <v>195</v>
      </c>
      <c r="C230" s="441"/>
      <c r="D230" s="441"/>
      <c r="E230" s="441"/>
      <c r="F230" s="441"/>
      <c r="G230" s="441"/>
      <c r="H230" s="441"/>
      <c r="I230" s="441"/>
      <c r="J230" s="441"/>
      <c r="K230" s="441"/>
      <c r="L230" s="441"/>
      <c r="M230" s="442"/>
      <c r="N230" s="25" t="s">
        <v>1104</v>
      </c>
    </row>
    <row r="231" spans="1:14" s="17" customFormat="1" x14ac:dyDescent="0.2">
      <c r="A231" s="24"/>
      <c r="B231" s="26" t="s">
        <v>428</v>
      </c>
      <c r="C231" s="27" t="s">
        <v>196</v>
      </c>
      <c r="D231" s="27"/>
      <c r="E231" s="28"/>
      <c r="F231" s="28"/>
      <c r="G231" s="28"/>
      <c r="H231" s="28"/>
      <c r="I231" s="28"/>
      <c r="J231" s="28"/>
      <c r="K231" s="28"/>
      <c r="L231" s="28"/>
      <c r="M231" s="28"/>
      <c r="N231" s="29"/>
    </row>
    <row r="232" spans="1:14" s="17" customFormat="1" x14ac:dyDescent="0.2">
      <c r="A232" s="24"/>
      <c r="B232" s="26" t="s">
        <v>429</v>
      </c>
      <c r="C232" s="27" t="s">
        <v>145</v>
      </c>
      <c r="D232" s="27"/>
      <c r="E232" s="28"/>
      <c r="F232" s="28"/>
      <c r="G232" s="28"/>
      <c r="H232" s="28"/>
      <c r="I232" s="28"/>
      <c r="J232" s="28"/>
      <c r="K232" s="28"/>
      <c r="L232" s="28"/>
      <c r="M232" s="28"/>
      <c r="N232" s="29"/>
    </row>
    <row r="233" spans="1:14" s="17" customFormat="1" x14ac:dyDescent="0.2">
      <c r="A233" s="24"/>
      <c r="B233" s="26" t="s">
        <v>427</v>
      </c>
      <c r="C233" s="436" t="s">
        <v>585</v>
      </c>
      <c r="D233" s="436"/>
      <c r="E233" s="436"/>
      <c r="F233" s="436"/>
      <c r="G233" s="436"/>
      <c r="H233" s="436"/>
      <c r="I233" s="436"/>
      <c r="J233" s="436"/>
      <c r="K233" s="436"/>
      <c r="L233" s="436"/>
      <c r="M233" s="436"/>
      <c r="N233" s="437"/>
    </row>
    <row r="234" spans="1:14" s="17" customFormat="1" x14ac:dyDescent="0.2">
      <c r="A234" s="24"/>
      <c r="B234" s="15"/>
      <c r="C234" s="436"/>
      <c r="D234" s="436"/>
      <c r="E234" s="436"/>
      <c r="F234" s="436"/>
      <c r="G234" s="436"/>
      <c r="H234" s="436"/>
      <c r="I234" s="436"/>
      <c r="J234" s="436"/>
      <c r="K234" s="436"/>
      <c r="L234" s="436"/>
      <c r="M234" s="436"/>
      <c r="N234" s="437"/>
    </row>
    <row r="235" spans="1:14" s="17" customFormat="1" x14ac:dyDescent="0.2">
      <c r="A235" s="24"/>
      <c r="B235" s="15"/>
      <c r="C235" s="438"/>
      <c r="D235" s="438"/>
      <c r="E235" s="438"/>
      <c r="F235" s="438"/>
      <c r="G235" s="438"/>
      <c r="H235" s="438"/>
      <c r="I235" s="438"/>
      <c r="J235" s="438"/>
      <c r="K235" s="438"/>
      <c r="L235" s="438"/>
      <c r="M235" s="438"/>
      <c r="N235" s="439"/>
    </row>
    <row r="236" spans="1:14" s="17" customFormat="1" x14ac:dyDescent="0.2">
      <c r="A236" s="24"/>
      <c r="B236" s="15"/>
      <c r="C236" s="438"/>
      <c r="D236" s="438"/>
      <c r="E236" s="438"/>
      <c r="F236" s="438"/>
      <c r="G236" s="438"/>
      <c r="H236" s="438"/>
      <c r="I236" s="438"/>
      <c r="J236" s="438"/>
      <c r="K236" s="438"/>
      <c r="L236" s="438"/>
      <c r="M236" s="438"/>
      <c r="N236" s="439"/>
    </row>
    <row r="237" spans="1:14" s="17" customFormat="1" x14ac:dyDescent="0.2">
      <c r="A237" s="24"/>
      <c r="B237" s="26" t="s">
        <v>426</v>
      </c>
      <c r="C237" s="27"/>
      <c r="D237" s="27"/>
      <c r="E237" s="28"/>
      <c r="F237" s="28"/>
      <c r="G237" s="28"/>
      <c r="H237" s="28"/>
      <c r="I237" s="28"/>
      <c r="J237" s="28"/>
      <c r="K237" s="28"/>
      <c r="L237" s="28"/>
      <c r="M237" s="28"/>
      <c r="N237" s="29"/>
    </row>
    <row r="238" spans="1:14" s="17" customFormat="1" ht="13.5" thickBot="1" x14ac:dyDescent="0.25">
      <c r="A238" s="24"/>
      <c r="B238" s="26" t="s">
        <v>430</v>
      </c>
      <c r="C238" s="27"/>
      <c r="D238" s="27"/>
      <c r="E238" s="28"/>
      <c r="F238" s="28"/>
      <c r="G238" s="28"/>
      <c r="H238" s="28"/>
      <c r="I238" s="28"/>
      <c r="J238" s="28"/>
      <c r="K238" s="28"/>
      <c r="L238" s="28"/>
      <c r="M238" s="28"/>
      <c r="N238" s="29"/>
    </row>
    <row r="239" spans="1:14" s="17" customFormat="1" x14ac:dyDescent="0.2">
      <c r="A239" s="20"/>
      <c r="B239" s="21" t="s">
        <v>263</v>
      </c>
      <c r="C239" s="21"/>
      <c r="D239" s="21"/>
      <c r="E239" s="22"/>
      <c r="F239" s="22"/>
      <c r="G239" s="22"/>
      <c r="H239" s="22"/>
      <c r="I239" s="22"/>
      <c r="J239" s="48" t="s">
        <v>1971</v>
      </c>
      <c r="K239" s="37" t="s">
        <v>83</v>
      </c>
      <c r="L239" s="37" t="s">
        <v>2149</v>
      </c>
      <c r="M239" s="37" t="s">
        <v>2150</v>
      </c>
      <c r="N239" s="37"/>
    </row>
    <row r="240" spans="1:14" s="17" customFormat="1" ht="13.5" thickBot="1" x14ac:dyDescent="0.25">
      <c r="A240" s="30"/>
      <c r="B240" s="27"/>
      <c r="C240" s="31"/>
      <c r="D240" s="31"/>
      <c r="E240" s="32"/>
      <c r="F240" s="32"/>
      <c r="G240" s="32"/>
      <c r="H240" s="32"/>
      <c r="I240" s="32"/>
      <c r="J240" s="49" t="s">
        <v>2147</v>
      </c>
      <c r="K240" s="40" t="s">
        <v>2148</v>
      </c>
      <c r="L240" s="40" t="s">
        <v>1570</v>
      </c>
      <c r="M240" s="40" t="s">
        <v>1406</v>
      </c>
      <c r="N240" s="40" t="s">
        <v>1571</v>
      </c>
    </row>
    <row r="241" spans="1:14" s="17" customFormat="1" x14ac:dyDescent="0.2">
      <c r="A241" s="20"/>
      <c r="B241" s="434" t="s">
        <v>67</v>
      </c>
      <c r="C241" s="434"/>
      <c r="D241" s="434"/>
      <c r="E241" s="22"/>
      <c r="F241" s="22" t="s">
        <v>1180</v>
      </c>
      <c r="G241" s="22" t="s">
        <v>1484</v>
      </c>
      <c r="H241" s="22" t="s">
        <v>702</v>
      </c>
      <c r="I241" s="22"/>
      <c r="J241" s="74">
        <f>71.5/ATHENS!O1*ATHENS!O2</f>
        <v>130</v>
      </c>
      <c r="K241" s="74">
        <f>106.6/ATHENS!O1*ATHENS!O2</f>
        <v>193.81818181818178</v>
      </c>
      <c r="L241" s="74">
        <f>128.5/ATHENS!O1*ATHENS!O2</f>
        <v>233.63636363636363</v>
      </c>
      <c r="M241" s="74">
        <f>155.5/ATHENS!O1*ATHENS!O2</f>
        <v>282.72727272727269</v>
      </c>
      <c r="N241" s="74">
        <f>176.96/ATHENS!O1*ATHENS!O2</f>
        <v>321.74545454545455</v>
      </c>
    </row>
    <row r="242" spans="1:14" s="17" customFormat="1" x14ac:dyDescent="0.2">
      <c r="A242" s="24"/>
      <c r="B242" s="435" t="s">
        <v>67</v>
      </c>
      <c r="C242" s="435"/>
      <c r="D242" s="435"/>
      <c r="E242" s="28"/>
      <c r="F242" s="28" t="s">
        <v>1181</v>
      </c>
      <c r="G242" s="28" t="s">
        <v>1484</v>
      </c>
      <c r="H242" s="28" t="s">
        <v>702</v>
      </c>
      <c r="I242" s="28"/>
      <c r="J242" s="75">
        <f>44.5/ATHENS!O1*ATHENS!O2</f>
        <v>80.909090909090907</v>
      </c>
      <c r="K242" s="75">
        <f>66.5/ATHENS!O1*ATHENS!O2</f>
        <v>120.90909090909089</v>
      </c>
      <c r="L242" s="75">
        <f>80.5/ATHENS!O1*ATHENS!O2</f>
        <v>146.36363636363635</v>
      </c>
      <c r="M242" s="75">
        <f>97.5/ATHENS!O1*ATHENS!O2</f>
        <v>177.27272727272725</v>
      </c>
      <c r="N242" s="75">
        <f>110.6/ATHENS!O1*ATHENS!O2</f>
        <v>201.09090909090907</v>
      </c>
    </row>
    <row r="243" spans="1:14" s="17" customFormat="1" ht="13.5" thickBot="1" x14ac:dyDescent="0.25">
      <c r="A243" s="30"/>
      <c r="B243" s="443" t="s">
        <v>67</v>
      </c>
      <c r="C243" s="443"/>
      <c r="D243" s="443"/>
      <c r="E243" s="32"/>
      <c r="F243" s="32" t="s">
        <v>1182</v>
      </c>
      <c r="G243" s="32" t="s">
        <v>1484</v>
      </c>
      <c r="H243" s="32" t="s">
        <v>702</v>
      </c>
      <c r="I243" s="32"/>
      <c r="J243" s="76">
        <f>37.5/ATHENS!O1*ATHENS!O2</f>
        <v>68.181818181818173</v>
      </c>
      <c r="K243" s="76">
        <f>55.8/ATHENS!O1*ATHENS!O2</f>
        <v>101.45454545454544</v>
      </c>
      <c r="L243" s="76">
        <f>67.5/ATHENS!O1*ATHENS!O2</f>
        <v>122.72727272727272</v>
      </c>
      <c r="M243" s="76">
        <f>81.5/ATHENS!O1*ATHENS!O2</f>
        <v>148.18181818181816</v>
      </c>
      <c r="N243" s="76">
        <f>92.5/ATHENS!O1*ATHENS!O2</f>
        <v>168.18181818181816</v>
      </c>
    </row>
    <row r="244" spans="1:14" s="17" customFormat="1" ht="13.5" thickBot="1" x14ac:dyDescent="0.25">
      <c r="A244" s="52"/>
      <c r="B244" s="27"/>
      <c r="C244" s="27"/>
      <c r="D244" s="27"/>
      <c r="E244" s="28"/>
      <c r="F244" s="28"/>
      <c r="G244" s="28"/>
      <c r="H244" s="28"/>
      <c r="I244" s="28"/>
      <c r="J244" s="229"/>
      <c r="K244" s="229"/>
      <c r="L244" s="229"/>
      <c r="M244" s="229"/>
      <c r="N244" s="229"/>
    </row>
    <row r="245" spans="1:14" s="17" customFormat="1" x14ac:dyDescent="0.2">
      <c r="A245" s="20"/>
      <c r="B245" s="21"/>
      <c r="C245" s="21"/>
      <c r="D245" s="21"/>
      <c r="E245" s="22"/>
      <c r="F245" s="22"/>
      <c r="G245" s="22"/>
      <c r="H245" s="22"/>
      <c r="I245" s="22"/>
      <c r="J245" s="22"/>
      <c r="K245" s="22"/>
      <c r="L245" s="22"/>
      <c r="M245" s="22"/>
      <c r="N245" s="23"/>
    </row>
    <row r="246" spans="1:14" s="17" customFormat="1" ht="15" x14ac:dyDescent="0.2">
      <c r="A246" s="24"/>
      <c r="B246" s="440" t="s">
        <v>159</v>
      </c>
      <c r="C246" s="441"/>
      <c r="D246" s="441"/>
      <c r="E246" s="441"/>
      <c r="F246" s="441"/>
      <c r="G246" s="441"/>
      <c r="H246" s="441"/>
      <c r="I246" s="441"/>
      <c r="J246" s="441"/>
      <c r="K246" s="441"/>
      <c r="L246" s="441"/>
      <c r="M246" s="442"/>
      <c r="N246" s="25" t="s">
        <v>1104</v>
      </c>
    </row>
    <row r="247" spans="1:14" s="17" customFormat="1" x14ac:dyDescent="0.2">
      <c r="A247" s="24"/>
      <c r="B247" s="26" t="s">
        <v>428</v>
      </c>
      <c r="C247" s="27" t="s">
        <v>161</v>
      </c>
      <c r="D247" s="27"/>
      <c r="E247" s="28"/>
      <c r="F247" s="28"/>
      <c r="G247" s="28"/>
      <c r="H247" s="28"/>
      <c r="I247" s="28"/>
      <c r="J247" s="28"/>
      <c r="K247" s="28"/>
      <c r="L247" s="28"/>
      <c r="M247" s="28"/>
      <c r="N247" s="29"/>
    </row>
    <row r="248" spans="1:14" s="17" customFormat="1" x14ac:dyDescent="0.2">
      <c r="A248" s="24"/>
      <c r="B248" s="26" t="s">
        <v>429</v>
      </c>
      <c r="C248" s="27" t="s">
        <v>1301</v>
      </c>
      <c r="D248" s="27"/>
      <c r="E248" s="28"/>
      <c r="F248" s="28"/>
      <c r="G248" s="28"/>
      <c r="H248" s="28"/>
      <c r="I248" s="28"/>
      <c r="J248" s="28"/>
      <c r="K248" s="28"/>
      <c r="L248" s="28"/>
      <c r="M248" s="28"/>
      <c r="N248" s="29"/>
    </row>
    <row r="249" spans="1:14" s="17" customFormat="1" x14ac:dyDescent="0.2">
      <c r="A249" s="24"/>
      <c r="B249" s="26" t="s">
        <v>427</v>
      </c>
      <c r="C249" s="436" t="s">
        <v>160</v>
      </c>
      <c r="D249" s="436"/>
      <c r="E249" s="436"/>
      <c r="F249" s="436"/>
      <c r="G249" s="436"/>
      <c r="H249" s="436"/>
      <c r="I249" s="436"/>
      <c r="J249" s="436"/>
      <c r="K249" s="436"/>
      <c r="L249" s="436"/>
      <c r="M249" s="436"/>
      <c r="N249" s="437"/>
    </row>
    <row r="250" spans="1:14" s="17" customFormat="1" x14ac:dyDescent="0.2">
      <c r="A250" s="24"/>
      <c r="B250" s="15"/>
      <c r="C250" s="436"/>
      <c r="D250" s="436"/>
      <c r="E250" s="436"/>
      <c r="F250" s="436"/>
      <c r="G250" s="436"/>
      <c r="H250" s="436"/>
      <c r="I250" s="436"/>
      <c r="J250" s="436"/>
      <c r="K250" s="436"/>
      <c r="L250" s="436"/>
      <c r="M250" s="436"/>
      <c r="N250" s="437"/>
    </row>
    <row r="251" spans="1:14" s="17" customFormat="1" x14ac:dyDescent="0.2">
      <c r="A251" s="24"/>
      <c r="B251" s="15"/>
      <c r="C251" s="438"/>
      <c r="D251" s="438"/>
      <c r="E251" s="438"/>
      <c r="F251" s="438"/>
      <c r="G251" s="438"/>
      <c r="H251" s="438"/>
      <c r="I251" s="438"/>
      <c r="J251" s="438"/>
      <c r="K251" s="438"/>
      <c r="L251" s="438"/>
      <c r="M251" s="438"/>
      <c r="N251" s="439"/>
    </row>
    <row r="252" spans="1:14" s="17" customFormat="1" x14ac:dyDescent="0.2">
      <c r="A252" s="24"/>
      <c r="B252" s="26" t="s">
        <v>426</v>
      </c>
      <c r="C252" s="27"/>
      <c r="D252" s="27"/>
      <c r="E252" s="28"/>
      <c r="F252" s="28"/>
      <c r="G252" s="28"/>
      <c r="H252" s="28"/>
      <c r="I252" s="28"/>
      <c r="J252" s="28"/>
      <c r="K252" s="28"/>
      <c r="L252" s="28"/>
      <c r="M252" s="28"/>
      <c r="N252" s="29"/>
    </row>
    <row r="253" spans="1:14" s="17" customFormat="1" ht="13.5" thickBot="1" x14ac:dyDescent="0.25">
      <c r="A253" s="24"/>
      <c r="B253" s="26" t="s">
        <v>430</v>
      </c>
      <c r="C253" s="27"/>
      <c r="D253" s="27"/>
      <c r="E253" s="28"/>
      <c r="F253" s="28"/>
      <c r="G253" s="28"/>
      <c r="H253" s="28"/>
      <c r="I253" s="28"/>
      <c r="J253" s="28"/>
      <c r="K253" s="28"/>
      <c r="L253" s="28"/>
      <c r="M253" s="28"/>
      <c r="N253" s="29"/>
    </row>
    <row r="254" spans="1:14" s="17" customFormat="1" x14ac:dyDescent="0.2">
      <c r="A254" s="20"/>
      <c r="B254" s="21" t="s">
        <v>263</v>
      </c>
      <c r="C254" s="21"/>
      <c r="D254" s="21"/>
      <c r="E254" s="22"/>
      <c r="F254" s="22"/>
      <c r="G254" s="22"/>
      <c r="H254" s="22"/>
      <c r="I254" s="22"/>
      <c r="J254" s="48" t="s">
        <v>2154</v>
      </c>
      <c r="K254" s="37" t="s">
        <v>2155</v>
      </c>
      <c r="L254" s="37" t="s">
        <v>2156</v>
      </c>
      <c r="M254" s="37"/>
      <c r="N254" s="37"/>
    </row>
    <row r="255" spans="1:14" s="17" customFormat="1" ht="13.5" thickBot="1" x14ac:dyDescent="0.25">
      <c r="A255" s="30"/>
      <c r="B255" s="27"/>
      <c r="C255" s="31"/>
      <c r="D255" s="31"/>
      <c r="E255" s="32"/>
      <c r="F255" s="32"/>
      <c r="G255" s="32"/>
      <c r="H255" s="32"/>
      <c r="I255" s="32"/>
      <c r="J255" s="49" t="s">
        <v>833</v>
      </c>
      <c r="K255" s="40" t="s">
        <v>833</v>
      </c>
      <c r="L255" s="40" t="s">
        <v>510</v>
      </c>
      <c r="M255" s="40" t="s">
        <v>1941</v>
      </c>
      <c r="N255" s="40"/>
    </row>
    <row r="256" spans="1:14" s="17" customFormat="1" x14ac:dyDescent="0.2">
      <c r="A256" s="20"/>
      <c r="B256" s="434" t="s">
        <v>67</v>
      </c>
      <c r="C256" s="434"/>
      <c r="D256" s="434"/>
      <c r="E256" s="22"/>
      <c r="F256" s="22" t="s">
        <v>1180</v>
      </c>
      <c r="G256" s="22" t="s">
        <v>68</v>
      </c>
      <c r="H256" s="22" t="s">
        <v>702</v>
      </c>
      <c r="I256" s="22"/>
      <c r="J256" s="74">
        <f>140.5/ATHENS!O1*ATHENS!O2</f>
        <v>255.45454545454544</v>
      </c>
      <c r="K256" s="74">
        <f>175.9/ATHENS!O1*ATHENS!O2</f>
        <v>319.81818181818181</v>
      </c>
      <c r="L256" s="74">
        <f>212.5/ATHENS!O1*ATHENS!O2</f>
        <v>386.36363636363632</v>
      </c>
      <c r="M256" s="74">
        <f>260.5/ATHENS!O1*ATHENS!O2</f>
        <v>473.63636363636363</v>
      </c>
      <c r="N256" s="42"/>
    </row>
    <row r="257" spans="1:14" s="17" customFormat="1" x14ac:dyDescent="0.2">
      <c r="A257" s="24"/>
      <c r="B257" s="435" t="s">
        <v>67</v>
      </c>
      <c r="C257" s="435"/>
      <c r="D257" s="435"/>
      <c r="E257" s="28"/>
      <c r="F257" s="28" t="s">
        <v>1181</v>
      </c>
      <c r="G257" s="28" t="s">
        <v>68</v>
      </c>
      <c r="H257" s="28" t="s">
        <v>702</v>
      </c>
      <c r="I257" s="28"/>
      <c r="J257" s="75">
        <f>70.5/ATHENS!O1*ATHENS!O2</f>
        <v>128.18181818181816</v>
      </c>
      <c r="K257" s="75">
        <f>87.95/ATHENS!O1*ATHENS!O2</f>
        <v>159.90909090909091</v>
      </c>
      <c r="L257" s="75">
        <f>106.5/ATHENS!O1*ATHENS!O2</f>
        <v>193.63636363636363</v>
      </c>
      <c r="M257" s="75">
        <f>130.5/ATHENS!O1*ATHENS!O2</f>
        <v>237.27272727272725</v>
      </c>
      <c r="N257" s="44"/>
    </row>
    <row r="258" spans="1:14" s="17" customFormat="1" ht="13.5" thickBot="1" x14ac:dyDescent="0.25">
      <c r="A258" s="30"/>
      <c r="B258" s="443" t="s">
        <v>67</v>
      </c>
      <c r="C258" s="443"/>
      <c r="D258" s="443"/>
      <c r="E258" s="32"/>
      <c r="F258" s="32" t="s">
        <v>1182</v>
      </c>
      <c r="G258" s="32" t="s">
        <v>68</v>
      </c>
      <c r="H258" s="32" t="s">
        <v>702</v>
      </c>
      <c r="I258" s="32"/>
      <c r="J258" s="76">
        <f>58.5/ATHENS!O1*ATHENS!O2</f>
        <v>106.36363636363636</v>
      </c>
      <c r="K258" s="76">
        <f>73.5/ATHENS!O1*ATHENS!O2</f>
        <v>133.63636363636363</v>
      </c>
      <c r="L258" s="76">
        <f>89.5/ATHENS!O1*ATHENS!O2</f>
        <v>162.72727272727272</v>
      </c>
      <c r="M258" s="76">
        <f>109/ATHENS!O1*ATHENS!O2</f>
        <v>198.18181818181816</v>
      </c>
      <c r="N258" s="46"/>
    </row>
    <row r="259" spans="1:14" s="17" customFormat="1" x14ac:dyDescent="0.2">
      <c r="A259" s="52"/>
      <c r="B259" s="27"/>
      <c r="C259" s="27"/>
      <c r="D259" s="27"/>
      <c r="E259" s="28"/>
      <c r="F259" s="28"/>
      <c r="G259" s="28"/>
      <c r="H259" s="28"/>
      <c r="I259" s="28"/>
      <c r="J259" s="229"/>
      <c r="K259" s="229"/>
      <c r="L259" s="229"/>
      <c r="M259" s="229"/>
      <c r="N259" s="229"/>
    </row>
    <row r="260" spans="1:14" s="17" customFormat="1" x14ac:dyDescent="0.2">
      <c r="A260" s="52"/>
      <c r="B260" s="27"/>
      <c r="C260" s="27"/>
      <c r="D260" s="27"/>
      <c r="E260" s="28"/>
      <c r="F260" s="28"/>
      <c r="G260" s="28"/>
      <c r="H260" s="28"/>
      <c r="I260" s="28"/>
      <c r="J260" s="229"/>
      <c r="K260" s="229"/>
      <c r="L260" s="229"/>
      <c r="M260" s="229"/>
      <c r="N260" s="229"/>
    </row>
    <row r="261" spans="1:14" s="17" customFormat="1" x14ac:dyDescent="0.2">
      <c r="A261" s="52"/>
      <c r="B261" s="27"/>
      <c r="C261" s="27"/>
      <c r="D261" s="27"/>
      <c r="E261" s="28"/>
      <c r="F261" s="28"/>
      <c r="G261" s="28"/>
      <c r="H261" s="28"/>
      <c r="I261" s="28"/>
      <c r="J261" s="229"/>
      <c r="K261" s="229"/>
      <c r="L261" s="229"/>
      <c r="M261" s="229"/>
      <c r="N261" s="229"/>
    </row>
    <row r="262" spans="1:14" s="17" customFormat="1" x14ac:dyDescent="0.2">
      <c r="A262" s="14"/>
      <c r="B262" s="15"/>
      <c r="C262" s="15"/>
      <c r="D262" s="15"/>
      <c r="E262" s="16"/>
      <c r="F262" s="16"/>
      <c r="G262" s="16"/>
      <c r="H262" s="16"/>
      <c r="I262" s="16"/>
      <c r="J262" s="16"/>
      <c r="K262" s="16"/>
      <c r="L262" s="16"/>
      <c r="M262" s="16"/>
      <c r="N262" s="16"/>
    </row>
    <row r="263" spans="1:14" s="17" customFormat="1" ht="13.5" thickBot="1" x14ac:dyDescent="0.25"/>
    <row r="264" spans="1:14" s="17" customFormat="1" x14ac:dyDescent="0.2">
      <c r="A264" s="20"/>
      <c r="B264" s="21"/>
      <c r="C264" s="21"/>
      <c r="D264" s="21"/>
      <c r="E264" s="22"/>
      <c r="F264" s="22"/>
      <c r="G264" s="22"/>
      <c r="H264" s="22"/>
      <c r="I264" s="22"/>
      <c r="J264" s="22"/>
      <c r="K264" s="22"/>
      <c r="L264" s="22"/>
      <c r="M264" s="22"/>
      <c r="N264" s="23"/>
    </row>
    <row r="265" spans="1:14" s="17" customFormat="1" ht="15" x14ac:dyDescent="0.2">
      <c r="A265" s="24"/>
      <c r="B265" s="440" t="s">
        <v>1508</v>
      </c>
      <c r="C265" s="441"/>
      <c r="D265" s="441"/>
      <c r="E265" s="441"/>
      <c r="F265" s="441"/>
      <c r="G265" s="441"/>
      <c r="H265" s="441"/>
      <c r="I265" s="441"/>
      <c r="J265" s="441"/>
      <c r="K265" s="441"/>
      <c r="L265" s="441"/>
      <c r="M265" s="442"/>
      <c r="N265" s="25" t="s">
        <v>1103</v>
      </c>
    </row>
    <row r="266" spans="1:14" s="17" customFormat="1" x14ac:dyDescent="0.2">
      <c r="A266" s="24"/>
      <c r="B266" s="26" t="s">
        <v>428</v>
      </c>
      <c r="C266" s="27" t="s">
        <v>1509</v>
      </c>
      <c r="D266" s="27"/>
      <c r="E266" s="28"/>
      <c r="F266" s="28"/>
      <c r="G266" s="28"/>
      <c r="H266" s="28"/>
      <c r="I266" s="28"/>
      <c r="J266" s="28"/>
      <c r="K266" s="28"/>
      <c r="L266" s="28"/>
      <c r="M266" s="28"/>
      <c r="N266" s="29"/>
    </row>
    <row r="267" spans="1:14" s="17" customFormat="1" x14ac:dyDescent="0.2">
      <c r="A267" s="24"/>
      <c r="B267" s="26" t="s">
        <v>429</v>
      </c>
      <c r="C267" s="27" t="s">
        <v>146</v>
      </c>
      <c r="D267" s="27"/>
      <c r="E267" s="28"/>
      <c r="F267" s="28"/>
      <c r="G267" s="28"/>
      <c r="H267" s="28"/>
      <c r="I267" s="28"/>
      <c r="J267" s="28"/>
      <c r="K267" s="28"/>
      <c r="L267" s="28"/>
      <c r="M267" s="28"/>
      <c r="N267" s="29"/>
    </row>
    <row r="268" spans="1:14" s="17" customFormat="1" x14ac:dyDescent="0.2">
      <c r="A268" s="24"/>
      <c r="B268" s="26" t="s">
        <v>427</v>
      </c>
      <c r="C268" s="436" t="s">
        <v>1510</v>
      </c>
      <c r="D268" s="436"/>
      <c r="E268" s="436"/>
      <c r="F268" s="436"/>
      <c r="G268" s="436"/>
      <c r="H268" s="436"/>
      <c r="I268" s="436"/>
      <c r="J268" s="436"/>
      <c r="K268" s="436"/>
      <c r="L268" s="436"/>
      <c r="M268" s="436"/>
      <c r="N268" s="437"/>
    </row>
    <row r="269" spans="1:14" s="17" customFormat="1" x14ac:dyDescent="0.2">
      <c r="A269" s="24"/>
      <c r="B269" s="27"/>
      <c r="C269" s="436"/>
      <c r="D269" s="436"/>
      <c r="E269" s="436"/>
      <c r="F269" s="436"/>
      <c r="G269" s="436"/>
      <c r="H269" s="436"/>
      <c r="I269" s="436"/>
      <c r="J269" s="436"/>
      <c r="K269" s="436"/>
      <c r="L269" s="436"/>
      <c r="M269" s="436"/>
      <c r="N269" s="437"/>
    </row>
    <row r="270" spans="1:14" s="17" customFormat="1" x14ac:dyDescent="0.2">
      <c r="A270" s="24"/>
      <c r="B270" s="27"/>
      <c r="C270" s="438"/>
      <c r="D270" s="438"/>
      <c r="E270" s="438"/>
      <c r="F270" s="438"/>
      <c r="G270" s="438"/>
      <c r="H270" s="438"/>
      <c r="I270" s="438"/>
      <c r="J270" s="438"/>
      <c r="K270" s="438"/>
      <c r="L270" s="438"/>
      <c r="M270" s="438"/>
      <c r="N270" s="439"/>
    </row>
    <row r="271" spans="1:14" s="17" customFormat="1" x14ac:dyDescent="0.2">
      <c r="A271" s="24"/>
      <c r="B271" s="26" t="s">
        <v>426</v>
      </c>
      <c r="C271" s="27"/>
      <c r="D271" s="27"/>
      <c r="E271" s="28"/>
      <c r="F271" s="28"/>
      <c r="G271" s="28"/>
      <c r="H271" s="28"/>
      <c r="I271" s="28"/>
      <c r="J271" s="28"/>
      <c r="K271" s="28"/>
      <c r="L271" s="28"/>
      <c r="M271" s="28"/>
      <c r="N271" s="29"/>
    </row>
    <row r="272" spans="1:14" s="17" customFormat="1" ht="13.5" thickBot="1" x14ac:dyDescent="0.25">
      <c r="A272" s="24"/>
      <c r="B272" s="26" t="s">
        <v>430</v>
      </c>
      <c r="C272" s="27"/>
      <c r="D272" s="27"/>
      <c r="E272" s="28"/>
      <c r="F272" s="28"/>
      <c r="G272" s="28"/>
      <c r="H272" s="28"/>
      <c r="I272" s="28"/>
      <c r="J272" s="28"/>
      <c r="K272" s="28"/>
      <c r="L272" s="28"/>
      <c r="M272" s="28"/>
      <c r="N272" s="29"/>
    </row>
    <row r="273" spans="1:14" s="17" customFormat="1" x14ac:dyDescent="0.2">
      <c r="A273" s="20"/>
      <c r="B273" s="21" t="s">
        <v>263</v>
      </c>
      <c r="C273" s="21"/>
      <c r="D273" s="21"/>
      <c r="E273" s="22"/>
      <c r="F273" s="22"/>
      <c r="G273" s="22"/>
      <c r="H273" s="22"/>
      <c r="I273" s="22"/>
      <c r="J273" s="37" t="s">
        <v>2157</v>
      </c>
      <c r="K273" s="37" t="s">
        <v>2159</v>
      </c>
      <c r="L273" s="37" t="s">
        <v>2160</v>
      </c>
      <c r="M273" s="37"/>
      <c r="N273" s="85"/>
    </row>
    <row r="274" spans="1:14" s="17" customFormat="1" ht="13.5" thickBot="1" x14ac:dyDescent="0.25">
      <c r="A274" s="30"/>
      <c r="B274" s="27"/>
      <c r="C274" s="31"/>
      <c r="D274" s="31"/>
      <c r="E274" s="32"/>
      <c r="F274" s="32"/>
      <c r="G274" s="32"/>
      <c r="H274" s="32"/>
      <c r="I274" s="32"/>
      <c r="J274" s="40" t="s">
        <v>2158</v>
      </c>
      <c r="K274" s="40" t="s">
        <v>2019</v>
      </c>
      <c r="L274" s="40" t="s">
        <v>2029</v>
      </c>
      <c r="M274" s="40" t="s">
        <v>2161</v>
      </c>
      <c r="N274" s="86"/>
    </row>
    <row r="275" spans="1:14" s="17" customFormat="1" x14ac:dyDescent="0.2">
      <c r="A275" s="20"/>
      <c r="B275" s="434" t="s">
        <v>67</v>
      </c>
      <c r="C275" s="434"/>
      <c r="D275" s="434"/>
      <c r="E275" s="22"/>
      <c r="F275" s="22" t="s">
        <v>1180</v>
      </c>
      <c r="G275" s="22" t="s">
        <v>1487</v>
      </c>
      <c r="H275" s="22" t="s">
        <v>702</v>
      </c>
      <c r="I275" s="22"/>
      <c r="J275" s="75">
        <f>87/ATHENS!O1*ATHENS!O2</f>
        <v>158.18181818181816</v>
      </c>
      <c r="K275" s="75">
        <f>114/ATHENS!O1*ATHENS!O2</f>
        <v>207.27272727272725</v>
      </c>
      <c r="L275" s="75">
        <f>143/ATHENS!O1*ATHENS!O2</f>
        <v>260</v>
      </c>
      <c r="M275" s="75">
        <f>162/ATHENS!O1*ATHENS!O2</f>
        <v>294.5454545454545</v>
      </c>
      <c r="N275" s="97"/>
    </row>
    <row r="276" spans="1:14" s="17" customFormat="1" ht="13.5" thickBot="1" x14ac:dyDescent="0.25">
      <c r="A276" s="30"/>
      <c r="B276" s="443" t="s">
        <v>67</v>
      </c>
      <c r="C276" s="443"/>
      <c r="D276" s="443"/>
      <c r="E276" s="32"/>
      <c r="F276" s="32" t="s">
        <v>1181</v>
      </c>
      <c r="G276" s="32" t="s">
        <v>1487</v>
      </c>
      <c r="H276" s="32" t="s">
        <v>702</v>
      </c>
      <c r="I276" s="32"/>
      <c r="J276" s="76">
        <f>56/ATHENS!O1*ATHENS!O2</f>
        <v>101.81818181818181</v>
      </c>
      <c r="K276" s="76">
        <f>73/ATHENS!O1*ATHENS!O2</f>
        <v>132.72727272727272</v>
      </c>
      <c r="L276" s="76">
        <f>91/ATHENS!O1*ATHENS!O2</f>
        <v>165.45454545454544</v>
      </c>
      <c r="M276" s="76">
        <f>103/ATHENS!O1*ATHENS!O2</f>
        <v>187.27272727272725</v>
      </c>
      <c r="N276" s="106"/>
    </row>
    <row r="277" spans="1:14" s="17" customFormat="1" ht="13.5" thickBot="1" x14ac:dyDescent="0.25">
      <c r="A277" s="52"/>
      <c r="B277" s="27"/>
      <c r="C277" s="27"/>
      <c r="D277" s="27"/>
      <c r="E277" s="28"/>
      <c r="F277" s="28"/>
      <c r="G277" s="28"/>
      <c r="H277" s="28"/>
      <c r="I277" s="28"/>
      <c r="J277" s="229"/>
      <c r="K277" s="229"/>
      <c r="L277" s="229"/>
      <c r="M277" s="229"/>
      <c r="N277" s="91"/>
    </row>
    <row r="278" spans="1:14" s="17" customFormat="1" x14ac:dyDescent="0.2">
      <c r="A278" s="20"/>
      <c r="B278" s="21"/>
      <c r="C278" s="21"/>
      <c r="D278" s="21"/>
      <c r="E278" s="22"/>
      <c r="F278" s="22"/>
      <c r="G278" s="22"/>
      <c r="H278" s="22"/>
      <c r="I278" s="22"/>
      <c r="J278" s="22"/>
      <c r="K278" s="22"/>
      <c r="L278" s="22"/>
      <c r="M278" s="22"/>
      <c r="N278" s="23"/>
    </row>
    <row r="279" spans="1:14" s="17" customFormat="1" ht="15" x14ac:dyDescent="0.2">
      <c r="A279" s="24"/>
      <c r="B279" s="440" t="s">
        <v>559</v>
      </c>
      <c r="C279" s="441"/>
      <c r="D279" s="441"/>
      <c r="E279" s="441"/>
      <c r="F279" s="441"/>
      <c r="G279" s="441"/>
      <c r="H279" s="441"/>
      <c r="I279" s="441"/>
      <c r="J279" s="441"/>
      <c r="K279" s="441"/>
      <c r="L279" s="441"/>
      <c r="M279" s="442"/>
      <c r="N279" s="25" t="s">
        <v>1103</v>
      </c>
    </row>
    <row r="280" spans="1:14" s="17" customFormat="1" x14ac:dyDescent="0.2">
      <c r="A280" s="24"/>
      <c r="B280" s="26" t="s">
        <v>428</v>
      </c>
      <c r="C280" s="27" t="s">
        <v>1142</v>
      </c>
      <c r="D280" s="27"/>
      <c r="E280" s="28"/>
      <c r="F280" s="28"/>
      <c r="G280" s="28"/>
      <c r="H280" s="28"/>
      <c r="I280" s="28"/>
      <c r="J280" s="28"/>
      <c r="K280" s="28"/>
      <c r="L280" s="28"/>
      <c r="M280" s="28"/>
      <c r="N280" s="29"/>
    </row>
    <row r="281" spans="1:14" s="17" customFormat="1" x14ac:dyDescent="0.2">
      <c r="A281" s="24"/>
      <c r="B281" s="26" t="s">
        <v>429</v>
      </c>
      <c r="C281" s="27" t="s">
        <v>424</v>
      </c>
      <c r="D281" s="27"/>
      <c r="E281" s="28"/>
      <c r="F281" s="28"/>
      <c r="G281" s="28"/>
      <c r="H281" s="28"/>
      <c r="I281" s="28"/>
      <c r="J281" s="28"/>
      <c r="K281" s="28"/>
      <c r="L281" s="28"/>
      <c r="M281" s="28"/>
      <c r="N281" s="29"/>
    </row>
    <row r="282" spans="1:14" s="17" customFormat="1" x14ac:dyDescent="0.2">
      <c r="A282" s="24"/>
      <c r="B282" s="26" t="s">
        <v>427</v>
      </c>
      <c r="C282" s="436" t="s">
        <v>586</v>
      </c>
      <c r="D282" s="436"/>
      <c r="E282" s="436"/>
      <c r="F282" s="436"/>
      <c r="G282" s="436"/>
      <c r="H282" s="436"/>
      <c r="I282" s="436"/>
      <c r="J282" s="436"/>
      <c r="K282" s="436"/>
      <c r="L282" s="436"/>
      <c r="M282" s="436"/>
      <c r="N282" s="437"/>
    </row>
    <row r="283" spans="1:14" s="17" customFormat="1" x14ac:dyDescent="0.2">
      <c r="A283" s="24"/>
      <c r="B283" s="27"/>
      <c r="C283" s="436"/>
      <c r="D283" s="436"/>
      <c r="E283" s="436"/>
      <c r="F283" s="436"/>
      <c r="G283" s="436"/>
      <c r="H283" s="436"/>
      <c r="I283" s="436"/>
      <c r="J283" s="436"/>
      <c r="K283" s="436"/>
      <c r="L283" s="436"/>
      <c r="M283" s="436"/>
      <c r="N283" s="437"/>
    </row>
    <row r="284" spans="1:14" s="17" customFormat="1" x14ac:dyDescent="0.2">
      <c r="A284" s="24"/>
      <c r="B284" s="27"/>
      <c r="C284" s="436"/>
      <c r="D284" s="436"/>
      <c r="E284" s="436"/>
      <c r="F284" s="436"/>
      <c r="G284" s="436"/>
      <c r="H284" s="436"/>
      <c r="I284" s="436"/>
      <c r="J284" s="436"/>
      <c r="K284" s="436"/>
      <c r="L284" s="436"/>
      <c r="M284" s="436"/>
      <c r="N284" s="437"/>
    </row>
    <row r="285" spans="1:14" s="17" customFormat="1" x14ac:dyDescent="0.2">
      <c r="A285" s="24"/>
      <c r="B285" s="27"/>
      <c r="C285" s="438"/>
      <c r="D285" s="438"/>
      <c r="E285" s="438"/>
      <c r="F285" s="438"/>
      <c r="G285" s="438"/>
      <c r="H285" s="438"/>
      <c r="I285" s="438"/>
      <c r="J285" s="438"/>
      <c r="K285" s="438"/>
      <c r="L285" s="438"/>
      <c r="M285" s="438"/>
      <c r="N285" s="439"/>
    </row>
    <row r="286" spans="1:14" s="17" customFormat="1" x14ac:dyDescent="0.2">
      <c r="A286" s="24"/>
      <c r="B286" s="27"/>
      <c r="C286" s="438"/>
      <c r="D286" s="438"/>
      <c r="E286" s="438"/>
      <c r="F286" s="438"/>
      <c r="G286" s="438"/>
      <c r="H286" s="438"/>
      <c r="I286" s="438"/>
      <c r="J286" s="438"/>
      <c r="K286" s="438"/>
      <c r="L286" s="438"/>
      <c r="M286" s="438"/>
      <c r="N286" s="439"/>
    </row>
    <row r="287" spans="1:14" s="17" customFormat="1" x14ac:dyDescent="0.2">
      <c r="A287" s="24"/>
      <c r="B287" s="26" t="s">
        <v>426</v>
      </c>
      <c r="C287" s="27" t="s">
        <v>384</v>
      </c>
      <c r="D287" s="27"/>
      <c r="E287" s="28"/>
      <c r="F287" s="28"/>
      <c r="G287" s="28"/>
      <c r="H287" s="28"/>
      <c r="I287" s="28"/>
      <c r="J287" s="28"/>
      <c r="K287" s="28"/>
      <c r="L287" s="28"/>
      <c r="M287" s="28"/>
      <c r="N287" s="29"/>
    </row>
    <row r="288" spans="1:14" s="17" customFormat="1" ht="13.5" thickBot="1" x14ac:dyDescent="0.25">
      <c r="A288" s="30"/>
      <c r="B288" s="26" t="s">
        <v>430</v>
      </c>
      <c r="C288" s="31"/>
      <c r="D288" s="31"/>
      <c r="E288" s="32"/>
      <c r="F288" s="32"/>
      <c r="G288" s="32"/>
      <c r="H288" s="32"/>
      <c r="I288" s="32"/>
      <c r="J288" s="32"/>
      <c r="K288" s="32"/>
      <c r="L288" s="32"/>
      <c r="M288" s="32"/>
      <c r="N288" s="33"/>
    </row>
    <row r="289" spans="1:14" s="17" customFormat="1" x14ac:dyDescent="0.2">
      <c r="A289" s="20"/>
      <c r="B289" s="21" t="s">
        <v>263</v>
      </c>
      <c r="C289" s="21"/>
      <c r="D289" s="21"/>
      <c r="E289" s="22"/>
      <c r="F289" s="22"/>
      <c r="G289" s="22"/>
      <c r="H289" s="22"/>
      <c r="I289" s="22"/>
      <c r="J289" s="48" t="s">
        <v>2135</v>
      </c>
      <c r="K289" s="37" t="s">
        <v>2133</v>
      </c>
      <c r="L289" s="37" t="s">
        <v>2134</v>
      </c>
      <c r="M289" s="37"/>
      <c r="N289" s="37"/>
    </row>
    <row r="290" spans="1:14" s="17" customFormat="1" ht="13.5" thickBot="1" x14ac:dyDescent="0.25">
      <c r="A290" s="30"/>
      <c r="B290" s="27"/>
      <c r="C290" s="31"/>
      <c r="D290" s="31"/>
      <c r="E290" s="32"/>
      <c r="F290" s="32"/>
      <c r="G290" s="32"/>
      <c r="H290" s="32"/>
      <c r="I290" s="32"/>
      <c r="J290" s="49" t="s">
        <v>2132</v>
      </c>
      <c r="K290" s="40" t="s">
        <v>509</v>
      </c>
      <c r="L290" s="40" t="s">
        <v>1576</v>
      </c>
      <c r="M290" s="40" t="s">
        <v>1577</v>
      </c>
      <c r="N290" s="40"/>
    </row>
    <row r="291" spans="1:14" s="17" customFormat="1" x14ac:dyDescent="0.2">
      <c r="A291" s="20"/>
      <c r="B291" s="434" t="s">
        <v>594</v>
      </c>
      <c r="C291" s="434"/>
      <c r="D291" s="434"/>
      <c r="E291" s="22"/>
      <c r="F291" s="22" t="s">
        <v>1504</v>
      </c>
      <c r="G291" s="22" t="s">
        <v>1487</v>
      </c>
      <c r="H291" s="22" t="s">
        <v>702</v>
      </c>
      <c r="I291" s="22"/>
      <c r="J291" s="74">
        <f>73.6/ATHENS!O1*ATHENS!O2</f>
        <v>133.81818181818178</v>
      </c>
      <c r="K291" s="74">
        <f>102.5/ATHENS!O1*ATHENS!O2</f>
        <v>186.36363636363635</v>
      </c>
      <c r="L291" s="74">
        <f>137.5/ATHENS!O1*ATHENS!O2</f>
        <v>249.99999999999997</v>
      </c>
      <c r="M291" s="74">
        <f>189.9/ATHENS!O1*ATHENS!O2</f>
        <v>345.27272727272725</v>
      </c>
      <c r="N291" s="42"/>
    </row>
    <row r="292" spans="1:14" s="17" customFormat="1" x14ac:dyDescent="0.2">
      <c r="A292" s="24"/>
      <c r="B292" s="435" t="s">
        <v>594</v>
      </c>
      <c r="C292" s="435"/>
      <c r="D292" s="435"/>
      <c r="E292" s="28"/>
      <c r="F292" s="28" t="s">
        <v>1505</v>
      </c>
      <c r="G292" s="28" t="s">
        <v>1487</v>
      </c>
      <c r="H292" s="28" t="s">
        <v>702</v>
      </c>
      <c r="I292" s="28"/>
      <c r="J292" s="75">
        <f>49.5/ATHENS!O1*ATHENS!O2</f>
        <v>89.999999999999986</v>
      </c>
      <c r="K292" s="75">
        <f>68.5/ATHENS!O1*ATHENS!O2</f>
        <v>124.54545454545453</v>
      </c>
      <c r="L292" s="75">
        <f>85.6/ATHENS!O1*ATHENS!O2</f>
        <v>155.63636363636363</v>
      </c>
      <c r="M292" s="75">
        <f>118.5/ATHENS!O1*ATHENS!O2</f>
        <v>215.45454545454544</v>
      </c>
      <c r="N292" s="44"/>
    </row>
    <row r="293" spans="1:14" s="17" customFormat="1" x14ac:dyDescent="0.2">
      <c r="A293" s="24"/>
      <c r="B293" s="435" t="s">
        <v>594</v>
      </c>
      <c r="C293" s="435"/>
      <c r="D293" s="435"/>
      <c r="E293" s="28"/>
      <c r="F293" s="28" t="s">
        <v>1506</v>
      </c>
      <c r="G293" s="28" t="s">
        <v>1487</v>
      </c>
      <c r="H293" s="28" t="s">
        <v>702</v>
      </c>
      <c r="I293" s="28"/>
      <c r="J293" s="75">
        <f>45/ATHENS!O1*ATHENS!O2</f>
        <v>81.818181818181813</v>
      </c>
      <c r="K293" s="75">
        <f>62.5/ATHENS!O1*ATHENS!O2</f>
        <v>113.63636363636363</v>
      </c>
      <c r="L293" s="75">
        <f>77.5/ATHENS!O1*ATHENS!O2</f>
        <v>140.90909090909091</v>
      </c>
      <c r="M293" s="75">
        <f>107.5/ATHENS!O1*ATHENS!O2</f>
        <v>195.45454545454544</v>
      </c>
      <c r="N293" s="44"/>
    </row>
    <row r="294" spans="1:14" s="17" customFormat="1" x14ac:dyDescent="0.2">
      <c r="A294" s="24"/>
      <c r="B294" s="435" t="s">
        <v>1493</v>
      </c>
      <c r="C294" s="435"/>
      <c r="D294" s="435"/>
      <c r="E294" s="28"/>
      <c r="F294" s="28" t="s">
        <v>1505</v>
      </c>
      <c r="G294" s="28" t="s">
        <v>1487</v>
      </c>
      <c r="H294" s="28" t="s">
        <v>702</v>
      </c>
      <c r="I294" s="28"/>
      <c r="J294" s="75">
        <f>51.5/ATHENS!O1*ATHENS!O2</f>
        <v>93.636363636363626</v>
      </c>
      <c r="K294" s="75">
        <f>71.5/ATHENS!O1*ATHENS!O2</f>
        <v>130</v>
      </c>
      <c r="L294" s="75">
        <f>89.9/ATHENS!O1*ATHENS!O2</f>
        <v>163.45454545454544</v>
      </c>
      <c r="M294" s="75">
        <f>124.5/ATHENS!O1*ATHENS!O2</f>
        <v>226.36363636363635</v>
      </c>
      <c r="N294" s="44"/>
    </row>
    <row r="295" spans="1:14" s="17" customFormat="1" ht="13.5" thickBot="1" x14ac:dyDescent="0.25">
      <c r="A295" s="30"/>
      <c r="B295" s="443" t="s">
        <v>1493</v>
      </c>
      <c r="C295" s="443"/>
      <c r="D295" s="443"/>
      <c r="E295" s="32"/>
      <c r="F295" s="32" t="s">
        <v>1506</v>
      </c>
      <c r="G295" s="32" t="s">
        <v>1487</v>
      </c>
      <c r="H295" s="32" t="s">
        <v>702</v>
      </c>
      <c r="I295" s="32"/>
      <c r="J295" s="76">
        <f>46.6/ATHENS!O1*ATHENS!O2</f>
        <v>84.72727272727272</v>
      </c>
      <c r="K295" s="76">
        <f>64.6/ATHENS!O1*ATHENS!O2</f>
        <v>117.45454545454544</v>
      </c>
      <c r="L295" s="76">
        <f>80.9/ATHENS!O1*ATHENS!O2</f>
        <v>147.09090909090909</v>
      </c>
      <c r="M295" s="76">
        <f>112.5/ATHENS!O1*ATHENS!O2</f>
        <v>204.54545454545453</v>
      </c>
      <c r="N295" s="46"/>
    </row>
    <row r="296" spans="1:14" s="17" customFormat="1" ht="13.5" thickBot="1" x14ac:dyDescent="0.25">
      <c r="A296" s="84"/>
      <c r="B296" s="52" t="s">
        <v>1422</v>
      </c>
      <c r="C296" s="55"/>
      <c r="D296" s="55"/>
      <c r="E296" s="64"/>
      <c r="F296" s="64"/>
      <c r="G296" s="64"/>
      <c r="H296" s="64"/>
      <c r="I296" s="64"/>
      <c r="J296" s="64"/>
      <c r="K296" s="64"/>
      <c r="L296" s="64"/>
      <c r="M296" s="64"/>
      <c r="N296" s="66"/>
    </row>
    <row r="297" spans="1:14" s="17" customFormat="1" x14ac:dyDescent="0.2">
      <c r="A297" s="52"/>
      <c r="B297" s="27"/>
      <c r="C297" s="27"/>
      <c r="D297" s="27"/>
      <c r="E297" s="28"/>
      <c r="F297" s="28"/>
      <c r="G297" s="28"/>
      <c r="H297" s="28"/>
      <c r="I297" s="28"/>
      <c r="J297" s="229"/>
      <c r="K297" s="229"/>
      <c r="L297" s="229"/>
      <c r="M297" s="229"/>
      <c r="N297" s="91"/>
    </row>
    <row r="298" spans="1:14" s="17" customFormat="1" x14ac:dyDescent="0.2">
      <c r="A298" s="52"/>
      <c r="B298" s="27"/>
      <c r="C298" s="27"/>
      <c r="D298" s="27"/>
      <c r="E298" s="28"/>
      <c r="F298" s="28"/>
      <c r="G298" s="28"/>
      <c r="H298" s="28"/>
      <c r="I298" s="28"/>
      <c r="J298" s="229"/>
      <c r="K298" s="229"/>
      <c r="L298" s="229"/>
      <c r="M298" s="229"/>
      <c r="N298" s="91"/>
    </row>
    <row r="299" spans="1:14" s="17" customFormat="1" x14ac:dyDescent="0.2">
      <c r="A299" s="52"/>
      <c r="B299" s="27"/>
      <c r="C299" s="27"/>
      <c r="D299" s="27"/>
      <c r="E299" s="28"/>
      <c r="F299" s="28"/>
      <c r="G299" s="28"/>
      <c r="H299" s="28"/>
      <c r="I299" s="28"/>
      <c r="J299" s="229"/>
      <c r="K299" s="229"/>
      <c r="L299" s="229"/>
      <c r="M299" s="229"/>
      <c r="N299" s="91"/>
    </row>
    <row r="300" spans="1:14" s="17" customFormat="1" x14ac:dyDescent="0.2">
      <c r="A300" s="52"/>
      <c r="B300" s="27"/>
      <c r="C300" s="27"/>
      <c r="D300" s="27"/>
      <c r="E300" s="28"/>
      <c r="F300" s="28"/>
      <c r="G300" s="28"/>
      <c r="H300" s="28"/>
      <c r="I300" s="28"/>
      <c r="J300" s="229"/>
      <c r="K300" s="229"/>
      <c r="L300" s="229"/>
      <c r="M300" s="229"/>
      <c r="N300" s="91"/>
    </row>
    <row r="301" spans="1:14" s="17" customFormat="1" x14ac:dyDescent="0.2">
      <c r="A301" s="52"/>
      <c r="B301" s="27"/>
      <c r="C301" s="27"/>
      <c r="D301" s="27"/>
      <c r="E301" s="28"/>
      <c r="F301" s="28"/>
      <c r="G301" s="28"/>
      <c r="H301" s="28"/>
      <c r="I301" s="28"/>
      <c r="J301" s="229"/>
      <c r="K301" s="229"/>
      <c r="L301" s="229"/>
      <c r="M301" s="229"/>
      <c r="N301" s="91"/>
    </row>
    <row r="302" spans="1:14" s="17" customFormat="1" x14ac:dyDescent="0.2">
      <c r="A302" s="52"/>
      <c r="B302" s="27"/>
      <c r="C302" s="27"/>
      <c r="D302" s="27"/>
      <c r="E302" s="28"/>
      <c r="F302" s="28"/>
      <c r="G302" s="28"/>
      <c r="H302" s="28"/>
      <c r="I302" s="28"/>
      <c r="J302" s="229"/>
      <c r="K302" s="229"/>
      <c r="L302" s="229"/>
      <c r="M302" s="229"/>
      <c r="N302" s="91"/>
    </row>
    <row r="303" spans="1:14" s="17" customFormat="1" x14ac:dyDescent="0.2">
      <c r="A303" s="52"/>
      <c r="B303" s="27"/>
      <c r="C303" s="27"/>
      <c r="D303" s="27"/>
      <c r="E303" s="28"/>
      <c r="F303" s="28"/>
      <c r="G303" s="28"/>
      <c r="H303" s="28"/>
      <c r="I303" s="28"/>
      <c r="J303" s="229"/>
      <c r="K303" s="229"/>
      <c r="L303" s="229"/>
      <c r="M303" s="229"/>
      <c r="N303" s="91"/>
    </row>
    <row r="304" spans="1:14" s="17" customFormat="1" x14ac:dyDescent="0.2">
      <c r="A304" s="52"/>
      <c r="B304" s="27"/>
      <c r="C304" s="27"/>
      <c r="D304" s="27"/>
      <c r="E304" s="28"/>
      <c r="F304" s="28"/>
      <c r="G304" s="28"/>
      <c r="H304" s="28"/>
      <c r="I304" s="28"/>
      <c r="J304" s="229"/>
      <c r="K304" s="229"/>
      <c r="L304" s="229"/>
      <c r="M304" s="229"/>
      <c r="N304" s="91"/>
    </row>
    <row r="305" spans="1:14" s="17" customFormat="1" x14ac:dyDescent="0.2">
      <c r="A305" s="52"/>
      <c r="B305" s="27"/>
      <c r="C305" s="27"/>
      <c r="D305" s="27"/>
      <c r="E305" s="28"/>
      <c r="F305" s="28"/>
      <c r="G305" s="28"/>
      <c r="H305" s="28"/>
      <c r="I305" s="28"/>
      <c r="J305" s="229"/>
      <c r="K305" s="229"/>
      <c r="L305" s="229"/>
      <c r="M305" s="229"/>
      <c r="N305" s="91"/>
    </row>
    <row r="306" spans="1:14" s="17" customFormat="1" x14ac:dyDescent="0.2">
      <c r="A306" s="52"/>
      <c r="B306" s="27"/>
      <c r="C306" s="27"/>
      <c r="D306" s="27"/>
      <c r="E306" s="28"/>
      <c r="F306" s="28"/>
      <c r="G306" s="28"/>
      <c r="H306" s="28"/>
      <c r="I306" s="28"/>
      <c r="J306" s="229"/>
      <c r="K306" s="229"/>
      <c r="L306" s="229"/>
      <c r="M306" s="229"/>
      <c r="N306" s="91"/>
    </row>
    <row r="307" spans="1:14" s="17" customFormat="1" x14ac:dyDescent="0.2">
      <c r="A307" s="52"/>
      <c r="B307" s="27"/>
      <c r="C307" s="27"/>
      <c r="D307" s="27"/>
      <c r="E307" s="28"/>
      <c r="F307" s="28"/>
      <c r="G307" s="28"/>
      <c r="H307" s="28"/>
      <c r="I307" s="28"/>
      <c r="J307" s="229"/>
      <c r="K307" s="229"/>
      <c r="L307" s="229"/>
      <c r="M307" s="229"/>
      <c r="N307" s="91"/>
    </row>
    <row r="308" spans="1:14" s="17" customFormat="1" x14ac:dyDescent="0.2">
      <c r="A308" s="52"/>
      <c r="B308" s="27"/>
      <c r="C308" s="27"/>
      <c r="D308" s="27"/>
      <c r="E308" s="28"/>
      <c r="F308" s="28"/>
      <c r="G308" s="28"/>
      <c r="H308" s="28"/>
      <c r="I308" s="28"/>
      <c r="J308" s="229"/>
      <c r="K308" s="229"/>
      <c r="L308" s="229"/>
      <c r="M308" s="229"/>
      <c r="N308" s="91"/>
    </row>
    <row r="309" spans="1:14" s="17" customFormat="1" x14ac:dyDescent="0.2">
      <c r="A309" s="52"/>
      <c r="B309" s="27"/>
      <c r="C309" s="27"/>
      <c r="D309" s="27"/>
      <c r="E309" s="28"/>
      <c r="F309" s="28"/>
      <c r="G309" s="28"/>
      <c r="H309" s="28"/>
      <c r="I309" s="28"/>
      <c r="J309" s="229"/>
      <c r="K309" s="229"/>
      <c r="L309" s="229"/>
      <c r="M309" s="229"/>
      <c r="N309" s="91"/>
    </row>
    <row r="310" spans="1:14" s="17" customFormat="1" x14ac:dyDescent="0.2">
      <c r="A310" s="14"/>
      <c r="B310" s="15"/>
      <c r="C310" s="15"/>
      <c r="D310" s="15"/>
      <c r="E310" s="16"/>
      <c r="F310" s="16"/>
      <c r="G310" s="16"/>
      <c r="H310" s="16"/>
      <c r="I310" s="16"/>
      <c r="J310" s="16"/>
      <c r="K310" s="16"/>
      <c r="L310" s="16"/>
      <c r="M310" s="16"/>
      <c r="N310" s="16"/>
    </row>
    <row r="311" spans="1:14" s="17" customFormat="1" x14ac:dyDescent="0.2"/>
    <row r="312" spans="1:14" s="17" customFormat="1" ht="13.5" thickBot="1" x14ac:dyDescent="0.25"/>
    <row r="313" spans="1:14" s="17" customFormat="1" x14ac:dyDescent="0.2">
      <c r="A313" s="20"/>
      <c r="B313" s="21"/>
      <c r="C313" s="21"/>
      <c r="D313" s="21"/>
      <c r="E313" s="22"/>
      <c r="F313" s="22"/>
      <c r="G313" s="22"/>
      <c r="H313" s="22"/>
      <c r="I313" s="22"/>
      <c r="J313" s="22"/>
      <c r="K313" s="22"/>
      <c r="L313" s="22"/>
      <c r="M313" s="22"/>
      <c r="N313" s="23"/>
    </row>
    <row r="314" spans="1:14" s="17" customFormat="1" x14ac:dyDescent="0.2">
      <c r="A314" s="24"/>
      <c r="B314" s="455" t="s">
        <v>1711</v>
      </c>
      <c r="C314" s="456"/>
      <c r="D314" s="456"/>
      <c r="E314" s="456"/>
      <c r="F314" s="456"/>
      <c r="G314" s="456"/>
      <c r="H314" s="456"/>
      <c r="I314" s="456"/>
      <c r="J314" s="456"/>
      <c r="K314" s="456"/>
      <c r="L314" s="456"/>
      <c r="M314" s="457"/>
      <c r="N314" s="25" t="s">
        <v>96</v>
      </c>
    </row>
    <row r="315" spans="1:14" s="17" customFormat="1" x14ac:dyDescent="0.2">
      <c r="A315" s="24"/>
      <c r="B315" s="26" t="s">
        <v>428</v>
      </c>
      <c r="C315" s="27" t="s">
        <v>1730</v>
      </c>
      <c r="D315" s="27"/>
      <c r="E315" s="28"/>
      <c r="F315" s="28"/>
      <c r="G315" s="28"/>
      <c r="H315" s="28"/>
      <c r="I315" s="28"/>
      <c r="J315" s="28"/>
      <c r="K315" s="28"/>
      <c r="L315" s="28"/>
      <c r="M315" s="28"/>
      <c r="N315" s="29"/>
    </row>
    <row r="316" spans="1:14" s="17" customFormat="1" x14ac:dyDescent="0.2">
      <c r="A316" s="24"/>
      <c r="B316" s="26" t="s">
        <v>429</v>
      </c>
      <c r="C316" s="27" t="s">
        <v>1673</v>
      </c>
      <c r="D316" s="27"/>
      <c r="E316" s="28"/>
      <c r="F316" s="28"/>
      <c r="G316" s="28"/>
      <c r="H316" s="28"/>
      <c r="I316" s="28"/>
      <c r="J316" s="28"/>
      <c r="K316" s="28"/>
      <c r="L316" s="28"/>
      <c r="M316" s="28"/>
      <c r="N316" s="29"/>
    </row>
    <row r="317" spans="1:14" s="17" customFormat="1" x14ac:dyDescent="0.2">
      <c r="A317" s="24"/>
      <c r="B317" s="26" t="s">
        <v>427</v>
      </c>
      <c r="C317" s="436" t="s">
        <v>1731</v>
      </c>
      <c r="D317" s="436"/>
      <c r="E317" s="436"/>
      <c r="F317" s="436"/>
      <c r="G317" s="436"/>
      <c r="H317" s="436"/>
      <c r="I317" s="436"/>
      <c r="J317" s="436"/>
      <c r="K317" s="436"/>
      <c r="L317" s="436"/>
      <c r="M317" s="436"/>
      <c r="N317" s="437"/>
    </row>
    <row r="318" spans="1:14" s="17" customFormat="1" x14ac:dyDescent="0.2">
      <c r="A318" s="24"/>
      <c r="B318" s="27"/>
      <c r="C318" s="436"/>
      <c r="D318" s="436"/>
      <c r="E318" s="436"/>
      <c r="F318" s="436"/>
      <c r="G318" s="436"/>
      <c r="H318" s="436"/>
      <c r="I318" s="436"/>
      <c r="J318" s="436"/>
      <c r="K318" s="436"/>
      <c r="L318" s="436"/>
      <c r="M318" s="436"/>
      <c r="N318" s="437"/>
    </row>
    <row r="319" spans="1:14" s="17" customFormat="1" x14ac:dyDescent="0.2">
      <c r="A319" s="24"/>
      <c r="B319" s="26" t="s">
        <v>426</v>
      </c>
      <c r="C319" s="27" t="s">
        <v>1730</v>
      </c>
      <c r="D319" s="27"/>
      <c r="E319" s="28"/>
      <c r="F319" s="28"/>
      <c r="G319" s="28"/>
      <c r="H319" s="28"/>
      <c r="I319" s="28"/>
      <c r="J319" s="28"/>
      <c r="K319" s="28"/>
      <c r="L319" s="28"/>
      <c r="M319" s="28"/>
      <c r="N319" s="29"/>
    </row>
    <row r="320" spans="1:14" s="17" customFormat="1" ht="13.5" thickBot="1" x14ac:dyDescent="0.25">
      <c r="A320" s="30"/>
      <c r="B320" s="26" t="s">
        <v>430</v>
      </c>
      <c r="C320" s="31"/>
      <c r="D320" s="31"/>
      <c r="E320" s="32"/>
      <c r="F320" s="32"/>
      <c r="G320" s="32"/>
      <c r="H320" s="32"/>
      <c r="I320" s="32"/>
      <c r="J320" s="32"/>
      <c r="K320" s="32"/>
      <c r="L320" s="32"/>
      <c r="M320" s="32"/>
      <c r="N320" s="33"/>
    </row>
    <row r="321" spans="1:14" s="17" customFormat="1" x14ac:dyDescent="0.2">
      <c r="A321" s="24"/>
      <c r="B321" s="21" t="s">
        <v>263</v>
      </c>
      <c r="C321" s="27"/>
      <c r="D321" s="27"/>
      <c r="E321" s="28"/>
      <c r="F321" s="28"/>
      <c r="G321" s="28"/>
      <c r="H321" s="28"/>
      <c r="I321" s="28"/>
      <c r="J321" s="67" t="s">
        <v>1897</v>
      </c>
      <c r="K321" s="63" t="s">
        <v>1898</v>
      </c>
      <c r="L321" s="63"/>
      <c r="M321" s="63"/>
      <c r="N321" s="63"/>
    </row>
    <row r="322" spans="1:14" s="17" customFormat="1" ht="13.5" thickBot="1" x14ac:dyDescent="0.25">
      <c r="A322" s="30"/>
      <c r="B322" s="31"/>
      <c r="C322" s="31"/>
      <c r="D322" s="31"/>
      <c r="E322" s="32"/>
      <c r="F322" s="32"/>
      <c r="G322" s="32"/>
      <c r="H322" s="32"/>
      <c r="I322" s="32"/>
      <c r="J322" s="49" t="s">
        <v>348</v>
      </c>
      <c r="K322" s="40" t="s">
        <v>349</v>
      </c>
      <c r="L322" s="40" t="s">
        <v>1899</v>
      </c>
      <c r="M322" s="40"/>
      <c r="N322" s="40"/>
    </row>
    <row r="323" spans="1:14" s="17" customFormat="1" x14ac:dyDescent="0.2">
      <c r="A323" s="20"/>
      <c r="B323" s="434" t="s">
        <v>67</v>
      </c>
      <c r="C323" s="434"/>
      <c r="D323" s="434"/>
      <c r="E323" s="22"/>
      <c r="F323" s="22" t="s">
        <v>1180</v>
      </c>
      <c r="G323" s="22" t="s">
        <v>68</v>
      </c>
      <c r="H323" s="22" t="s">
        <v>702</v>
      </c>
      <c r="I323" s="28"/>
      <c r="J323" s="75">
        <f>77.5/ATHENS!O1*ATHENS!O2</f>
        <v>140.90909090909091</v>
      </c>
      <c r="K323" s="75">
        <f>101/ATHENS!O1*ATHENS!O2</f>
        <v>183.63636363636363</v>
      </c>
      <c r="L323" s="44">
        <f>120/ATHENS!O1*ATHENS!O2</f>
        <v>218.18181818181816</v>
      </c>
      <c r="M323" s="42"/>
      <c r="N323" s="42"/>
    </row>
    <row r="324" spans="1:14" s="17" customFormat="1" x14ac:dyDescent="0.2">
      <c r="A324" s="24"/>
      <c r="B324" s="435" t="s">
        <v>67</v>
      </c>
      <c r="C324" s="435"/>
      <c r="D324" s="435"/>
      <c r="E324" s="28"/>
      <c r="F324" s="28" t="s">
        <v>1181</v>
      </c>
      <c r="G324" s="28" t="s">
        <v>68</v>
      </c>
      <c r="H324" s="28" t="s">
        <v>702</v>
      </c>
      <c r="I324" s="28"/>
      <c r="J324" s="75">
        <f>45.5/ATHENS!O1*ATHENS!O2</f>
        <v>82.72727272727272</v>
      </c>
      <c r="K324" s="75">
        <f>59.5/ATHENS!O1*ATHENS!O2</f>
        <v>108.18181818181817</v>
      </c>
      <c r="L324" s="44">
        <f>71/ATHENS!O1*ATHENS!O2</f>
        <v>129.09090909090909</v>
      </c>
      <c r="M324" s="44"/>
      <c r="N324" s="44"/>
    </row>
    <row r="325" spans="1:14" s="17" customFormat="1" ht="13.5" thickBot="1" x14ac:dyDescent="0.25">
      <c r="A325" s="30"/>
      <c r="B325" s="68" t="s">
        <v>67</v>
      </c>
      <c r="C325" s="27"/>
      <c r="D325" s="27"/>
      <c r="E325" s="28"/>
      <c r="F325" s="28" t="s">
        <v>1182</v>
      </c>
      <c r="G325" s="28" t="s">
        <v>68</v>
      </c>
      <c r="H325" s="28" t="s">
        <v>702</v>
      </c>
      <c r="I325" s="32"/>
      <c r="J325" s="76">
        <f>41.5/ATHENS!O1*ATHENS!O2</f>
        <v>75.454545454545453</v>
      </c>
      <c r="K325" s="76">
        <f>54/ATHENS!O1*ATHENS!O2</f>
        <v>98.181818181818173</v>
      </c>
      <c r="L325" s="46">
        <f>64/ATHENS!O1*ATHENS!O2</f>
        <v>116.36363636363636</v>
      </c>
      <c r="M325" s="46"/>
      <c r="N325" s="46"/>
    </row>
    <row r="326" spans="1:14" s="17" customFormat="1" ht="13.5" thickBot="1" x14ac:dyDescent="0.25">
      <c r="A326" s="52"/>
      <c r="B326" s="52"/>
      <c r="C326" s="27"/>
      <c r="D326" s="27"/>
      <c r="E326" s="28"/>
      <c r="F326" s="28"/>
      <c r="G326" s="28"/>
      <c r="H326" s="28"/>
      <c r="I326" s="28"/>
      <c r="J326" s="28"/>
      <c r="K326" s="28"/>
      <c r="L326" s="28"/>
      <c r="M326" s="28"/>
      <c r="N326" s="28"/>
    </row>
    <row r="327" spans="1:14" s="17" customFormat="1" x14ac:dyDescent="0.2">
      <c r="A327" s="20"/>
      <c r="B327" s="21"/>
      <c r="C327" s="21"/>
      <c r="D327" s="21"/>
      <c r="E327" s="22"/>
      <c r="F327" s="22"/>
      <c r="G327" s="22"/>
      <c r="H327" s="22"/>
      <c r="I327" s="22"/>
      <c r="J327" s="22"/>
      <c r="K327" s="22"/>
      <c r="L327" s="22"/>
      <c r="M327" s="22"/>
      <c r="N327" s="23"/>
    </row>
    <row r="328" spans="1:14" s="17" customFormat="1" ht="15" x14ac:dyDescent="0.2">
      <c r="A328" s="24"/>
      <c r="B328" s="440" t="s">
        <v>709</v>
      </c>
      <c r="C328" s="441"/>
      <c r="D328" s="441"/>
      <c r="E328" s="441"/>
      <c r="F328" s="441"/>
      <c r="G328" s="441"/>
      <c r="H328" s="441"/>
      <c r="I328" s="441"/>
      <c r="J328" s="441"/>
      <c r="K328" s="441"/>
      <c r="L328" s="441"/>
      <c r="M328" s="442"/>
      <c r="N328" s="25" t="s">
        <v>1103</v>
      </c>
    </row>
    <row r="329" spans="1:14" s="17" customFormat="1" x14ac:dyDescent="0.2">
      <c r="A329" s="24"/>
      <c r="B329" s="26" t="s">
        <v>428</v>
      </c>
      <c r="C329" s="27" t="s">
        <v>1142</v>
      </c>
      <c r="D329" s="27"/>
      <c r="E329" s="28"/>
      <c r="F329" s="28"/>
      <c r="G329" s="28"/>
      <c r="H329" s="28"/>
      <c r="I329" s="28"/>
      <c r="J329" s="28"/>
      <c r="K329" s="28"/>
      <c r="L329" s="28"/>
      <c r="M329" s="28"/>
      <c r="N329" s="29"/>
    </row>
    <row r="330" spans="1:14" s="17" customFormat="1" x14ac:dyDescent="0.2">
      <c r="A330" s="24"/>
      <c r="B330" s="26" t="s">
        <v>429</v>
      </c>
      <c r="C330" s="27" t="s">
        <v>147</v>
      </c>
      <c r="D330" s="27"/>
      <c r="E330" s="28"/>
      <c r="F330" s="28"/>
      <c r="G330" s="28"/>
      <c r="H330" s="28"/>
      <c r="I330" s="28"/>
      <c r="J330" s="28"/>
      <c r="K330" s="28"/>
      <c r="L330" s="28"/>
      <c r="M330" s="28"/>
      <c r="N330" s="29"/>
    </row>
    <row r="331" spans="1:14" s="17" customFormat="1" x14ac:dyDescent="0.2">
      <c r="A331" s="24"/>
      <c r="B331" s="26" t="s">
        <v>427</v>
      </c>
      <c r="C331" s="436" t="s">
        <v>1273</v>
      </c>
      <c r="D331" s="436"/>
      <c r="E331" s="436"/>
      <c r="F331" s="436"/>
      <c r="G331" s="436"/>
      <c r="H331" s="436"/>
      <c r="I331" s="436"/>
      <c r="J331" s="436"/>
      <c r="K331" s="436"/>
      <c r="L331" s="436"/>
      <c r="M331" s="436"/>
      <c r="N331" s="437"/>
    </row>
    <row r="332" spans="1:14" s="17" customFormat="1" x14ac:dyDescent="0.2">
      <c r="A332" s="24"/>
      <c r="B332" s="15"/>
      <c r="C332" s="436"/>
      <c r="D332" s="436"/>
      <c r="E332" s="436"/>
      <c r="F332" s="436"/>
      <c r="G332" s="436"/>
      <c r="H332" s="436"/>
      <c r="I332" s="436"/>
      <c r="J332" s="436"/>
      <c r="K332" s="436"/>
      <c r="L332" s="436"/>
      <c r="M332" s="436"/>
      <c r="N332" s="437"/>
    </row>
    <row r="333" spans="1:14" s="17" customFormat="1" x14ac:dyDescent="0.2">
      <c r="A333" s="24"/>
      <c r="B333" s="15"/>
      <c r="C333" s="436"/>
      <c r="D333" s="436"/>
      <c r="E333" s="436"/>
      <c r="F333" s="436"/>
      <c r="G333" s="436"/>
      <c r="H333" s="436"/>
      <c r="I333" s="436"/>
      <c r="J333" s="436"/>
      <c r="K333" s="436"/>
      <c r="L333" s="436"/>
      <c r="M333" s="436"/>
      <c r="N333" s="437"/>
    </row>
    <row r="334" spans="1:14" s="17" customFormat="1" x14ac:dyDescent="0.2">
      <c r="A334" s="24"/>
      <c r="B334" s="15"/>
      <c r="C334" s="438"/>
      <c r="D334" s="438"/>
      <c r="E334" s="438"/>
      <c r="F334" s="438"/>
      <c r="G334" s="438"/>
      <c r="H334" s="438"/>
      <c r="I334" s="438"/>
      <c r="J334" s="438"/>
      <c r="K334" s="438"/>
      <c r="L334" s="438"/>
      <c r="M334" s="438"/>
      <c r="N334" s="439"/>
    </row>
    <row r="335" spans="1:14" s="17" customFormat="1" x14ac:dyDescent="0.2">
      <c r="A335" s="24"/>
      <c r="B335" s="26" t="s">
        <v>426</v>
      </c>
      <c r="C335" s="27"/>
      <c r="D335" s="27"/>
      <c r="E335" s="28"/>
      <c r="F335" s="28"/>
      <c r="G335" s="28"/>
      <c r="H335" s="28"/>
      <c r="I335" s="28"/>
      <c r="J335" s="28"/>
      <c r="K335" s="28"/>
      <c r="L335" s="28"/>
      <c r="M335" s="28"/>
      <c r="N335" s="29"/>
    </row>
    <row r="336" spans="1:14" s="17" customFormat="1" ht="13.5" thickBot="1" x14ac:dyDescent="0.25">
      <c r="A336" s="30"/>
      <c r="B336" s="26" t="s">
        <v>430</v>
      </c>
      <c r="C336" s="31"/>
      <c r="D336" s="31"/>
      <c r="E336" s="32"/>
      <c r="F336" s="32"/>
      <c r="G336" s="32"/>
      <c r="H336" s="32"/>
      <c r="I336" s="32"/>
      <c r="J336" s="32"/>
      <c r="K336" s="32"/>
      <c r="L336" s="32"/>
      <c r="M336" s="32"/>
      <c r="N336" s="33"/>
    </row>
    <row r="337" spans="1:14" s="17" customFormat="1" x14ac:dyDescent="0.2">
      <c r="A337" s="20"/>
      <c r="B337" s="21" t="s">
        <v>263</v>
      </c>
      <c r="C337" s="21"/>
      <c r="D337" s="21"/>
      <c r="E337" s="22"/>
      <c r="F337" s="22"/>
      <c r="G337" s="22"/>
      <c r="H337" s="22"/>
      <c r="I337" s="22"/>
      <c r="J337" s="48" t="s">
        <v>1573</v>
      </c>
      <c r="K337" s="48" t="s">
        <v>173</v>
      </c>
      <c r="L337" s="37" t="s">
        <v>175</v>
      </c>
      <c r="M337" s="37"/>
      <c r="N337" s="37"/>
    </row>
    <row r="338" spans="1:14" s="17" customFormat="1" ht="13.5" thickBot="1" x14ac:dyDescent="0.25">
      <c r="A338" s="30"/>
      <c r="B338" s="31"/>
      <c r="C338" s="31"/>
      <c r="D338" s="31"/>
      <c r="E338" s="32"/>
      <c r="F338" s="32"/>
      <c r="G338" s="32"/>
      <c r="H338" s="32"/>
      <c r="I338" s="32"/>
      <c r="J338" s="65" t="s">
        <v>597</v>
      </c>
      <c r="K338" s="40" t="s">
        <v>1552</v>
      </c>
      <c r="L338" s="40" t="s">
        <v>2162</v>
      </c>
      <c r="M338" s="40" t="s">
        <v>2104</v>
      </c>
      <c r="N338" s="40"/>
    </row>
    <row r="339" spans="1:14" s="17" customFormat="1" x14ac:dyDescent="0.2">
      <c r="A339" s="20"/>
      <c r="B339" s="434" t="s">
        <v>67</v>
      </c>
      <c r="C339" s="434"/>
      <c r="D339" s="434"/>
      <c r="E339" s="22"/>
      <c r="F339" s="22" t="s">
        <v>1180</v>
      </c>
      <c r="G339" s="22" t="s">
        <v>1487</v>
      </c>
      <c r="H339" s="22" t="s">
        <v>702</v>
      </c>
      <c r="I339" s="22"/>
      <c r="J339" s="74">
        <f>65/ATHENS!O1*ATHENS!O2</f>
        <v>118.18181818181817</v>
      </c>
      <c r="K339" s="74">
        <f>90/ATHENS!O1*ATHENS!O2</f>
        <v>163.63636363636363</v>
      </c>
      <c r="L339" s="74">
        <f>115/ATHENS!O1*ATHENS!O2</f>
        <v>209.09090909090907</v>
      </c>
      <c r="M339" s="74">
        <f>140/ATHENS!O1*ATHENS!O2</f>
        <v>254.54545454545453</v>
      </c>
      <c r="N339" s="42"/>
    </row>
    <row r="340" spans="1:14" s="17" customFormat="1" x14ac:dyDescent="0.2">
      <c r="A340" s="24"/>
      <c r="B340" s="435" t="s">
        <v>67</v>
      </c>
      <c r="C340" s="435"/>
      <c r="D340" s="435"/>
      <c r="E340" s="28"/>
      <c r="F340" s="28" t="s">
        <v>1181</v>
      </c>
      <c r="G340" s="28" t="s">
        <v>1487</v>
      </c>
      <c r="H340" s="28" t="s">
        <v>702</v>
      </c>
      <c r="I340" s="28"/>
      <c r="J340" s="75">
        <f>43/ATHENS!O1*ATHENS!O2</f>
        <v>78.181818181818173</v>
      </c>
      <c r="K340" s="75">
        <f>59.5/ATHENS!O1*ATHENS!O2</f>
        <v>108.18181818181817</v>
      </c>
      <c r="L340" s="75">
        <f>74/ATHENS!O1*ATHENS!O2</f>
        <v>134.54545454545453</v>
      </c>
      <c r="M340" s="75">
        <f>90/ATHENS!O1*ATHENS!O2</f>
        <v>163.63636363636363</v>
      </c>
      <c r="N340" s="44"/>
    </row>
    <row r="341" spans="1:14" s="17" customFormat="1" x14ac:dyDescent="0.2">
      <c r="A341" s="24"/>
      <c r="B341" s="435" t="s">
        <v>67</v>
      </c>
      <c r="C341" s="435"/>
      <c r="D341" s="435"/>
      <c r="E341" s="28"/>
      <c r="F341" s="28" t="s">
        <v>1182</v>
      </c>
      <c r="G341" s="28" t="s">
        <v>1487</v>
      </c>
      <c r="H341" s="28" t="s">
        <v>702</v>
      </c>
      <c r="I341" s="28"/>
      <c r="J341" s="75">
        <f>38.7/ATHENS!O1*ATHENS!O2</f>
        <v>70.36363636363636</v>
      </c>
      <c r="K341" s="75">
        <f>53.5/ATHENS!O1*ATHENS!O2</f>
        <v>97.272727272727266</v>
      </c>
      <c r="L341" s="75">
        <f>66.6/ATHENS!O1*ATHENS!O2</f>
        <v>121.09090909090907</v>
      </c>
      <c r="M341" s="75">
        <f>81/ATHENS!O1*ATHENS!O2</f>
        <v>147.27272727272725</v>
      </c>
      <c r="N341" s="44"/>
    </row>
    <row r="342" spans="1:14" s="17" customFormat="1" ht="13.5" thickBot="1" x14ac:dyDescent="0.25">
      <c r="A342" s="30"/>
      <c r="B342" s="443"/>
      <c r="C342" s="443"/>
      <c r="D342" s="443"/>
      <c r="E342" s="32"/>
      <c r="F342" s="32"/>
      <c r="G342" s="32"/>
      <c r="H342" s="32"/>
      <c r="I342" s="32"/>
      <c r="J342" s="76"/>
      <c r="K342" s="76"/>
      <c r="L342" s="76"/>
      <c r="M342" s="76"/>
      <c r="N342" s="46"/>
    </row>
    <row r="343" spans="1:14" s="17" customFormat="1" ht="13.5" thickBot="1" x14ac:dyDescent="0.25">
      <c r="A343" s="14"/>
      <c r="B343" s="15"/>
      <c r="C343" s="15"/>
      <c r="D343" s="15"/>
      <c r="E343" s="16"/>
      <c r="F343" s="16"/>
      <c r="G343" s="16"/>
      <c r="H343" s="16"/>
      <c r="I343" s="16"/>
      <c r="J343" s="16"/>
      <c r="K343" s="16"/>
      <c r="L343" s="16"/>
      <c r="M343" s="16"/>
      <c r="N343" s="16"/>
    </row>
    <row r="344" spans="1:14" s="17" customFormat="1" x14ac:dyDescent="0.2">
      <c r="A344" s="20"/>
      <c r="B344" s="21"/>
      <c r="C344" s="21"/>
      <c r="D344" s="21"/>
      <c r="E344" s="22"/>
      <c r="F344" s="22"/>
      <c r="G344" s="22"/>
      <c r="H344" s="22"/>
      <c r="I344" s="22"/>
      <c r="J344" s="22"/>
      <c r="K344" s="22"/>
      <c r="L344" s="22"/>
      <c r="M344" s="22"/>
      <c r="N344" s="23"/>
    </row>
    <row r="345" spans="1:14" s="17" customFormat="1" ht="15" x14ac:dyDescent="0.2">
      <c r="A345" s="24"/>
      <c r="B345" s="440" t="s">
        <v>1336</v>
      </c>
      <c r="C345" s="441"/>
      <c r="D345" s="441"/>
      <c r="E345" s="441"/>
      <c r="F345" s="441"/>
      <c r="G345" s="441"/>
      <c r="H345" s="441"/>
      <c r="I345" s="441"/>
      <c r="J345" s="441"/>
      <c r="K345" s="441"/>
      <c r="L345" s="441"/>
      <c r="M345" s="442"/>
      <c r="N345" s="25" t="s">
        <v>1103</v>
      </c>
    </row>
    <row r="346" spans="1:14" s="17" customFormat="1" x14ac:dyDescent="0.2">
      <c r="A346" s="24"/>
      <c r="B346" s="26" t="s">
        <v>428</v>
      </c>
      <c r="C346" s="27" t="s">
        <v>158</v>
      </c>
      <c r="D346" s="27"/>
      <c r="E346" s="28"/>
      <c r="F346" s="28"/>
      <c r="G346" s="28"/>
      <c r="H346" s="28"/>
      <c r="I346" s="28"/>
      <c r="J346" s="28"/>
      <c r="K346" s="28"/>
      <c r="L346" s="28"/>
      <c r="M346" s="28"/>
      <c r="N346" s="29"/>
    </row>
    <row r="347" spans="1:14" s="17" customFormat="1" x14ac:dyDescent="0.2">
      <c r="A347" s="24"/>
      <c r="B347" s="26" t="s">
        <v>429</v>
      </c>
      <c r="C347" s="27" t="s">
        <v>148</v>
      </c>
      <c r="D347" s="27"/>
      <c r="E347" s="28"/>
      <c r="F347" s="28"/>
      <c r="G347" s="28"/>
      <c r="H347" s="28"/>
      <c r="I347" s="28"/>
      <c r="J347" s="28"/>
      <c r="K347" s="28"/>
      <c r="L347" s="28"/>
      <c r="M347" s="28"/>
      <c r="N347" s="29"/>
    </row>
    <row r="348" spans="1:14" s="17" customFormat="1" x14ac:dyDescent="0.2">
      <c r="A348" s="24"/>
      <c r="B348" s="26" t="s">
        <v>427</v>
      </c>
      <c r="C348" s="436" t="s">
        <v>157</v>
      </c>
      <c r="D348" s="436"/>
      <c r="E348" s="436"/>
      <c r="F348" s="436"/>
      <c r="G348" s="436"/>
      <c r="H348" s="436"/>
      <c r="I348" s="436"/>
      <c r="J348" s="436"/>
      <c r="K348" s="436"/>
      <c r="L348" s="436"/>
      <c r="M348" s="436"/>
      <c r="N348" s="437"/>
    </row>
    <row r="349" spans="1:14" s="17" customFormat="1" x14ac:dyDescent="0.2">
      <c r="A349" s="24"/>
      <c r="B349" s="27"/>
      <c r="C349" s="436"/>
      <c r="D349" s="436"/>
      <c r="E349" s="436"/>
      <c r="F349" s="436"/>
      <c r="G349" s="436"/>
      <c r="H349" s="436"/>
      <c r="I349" s="436"/>
      <c r="J349" s="436"/>
      <c r="K349" s="436"/>
      <c r="L349" s="436"/>
      <c r="M349" s="436"/>
      <c r="N349" s="437"/>
    </row>
    <row r="350" spans="1:14" s="17" customFormat="1" x14ac:dyDescent="0.2">
      <c r="A350" s="24"/>
      <c r="B350" s="27"/>
      <c r="C350" s="438"/>
      <c r="D350" s="438"/>
      <c r="E350" s="438"/>
      <c r="F350" s="438"/>
      <c r="G350" s="438"/>
      <c r="H350" s="438"/>
      <c r="I350" s="438"/>
      <c r="J350" s="438"/>
      <c r="K350" s="438"/>
      <c r="L350" s="438"/>
      <c r="M350" s="438"/>
      <c r="N350" s="439"/>
    </row>
    <row r="351" spans="1:14" s="17" customFormat="1" x14ac:dyDescent="0.2">
      <c r="A351" s="24"/>
      <c r="B351" s="26" t="s">
        <v>426</v>
      </c>
      <c r="C351" s="27"/>
      <c r="D351" s="27"/>
      <c r="E351" s="28"/>
      <c r="F351" s="28"/>
      <c r="G351" s="28"/>
      <c r="H351" s="28"/>
      <c r="I351" s="28"/>
      <c r="J351" s="28"/>
      <c r="K351" s="28"/>
      <c r="L351" s="28"/>
      <c r="M351" s="28"/>
      <c r="N351" s="29"/>
    </row>
    <row r="352" spans="1:14" s="17" customFormat="1" ht="13.5" thickBot="1" x14ac:dyDescent="0.25">
      <c r="A352" s="30"/>
      <c r="B352" s="26" t="s">
        <v>430</v>
      </c>
      <c r="C352" s="31"/>
      <c r="D352" s="31"/>
      <c r="E352" s="32"/>
      <c r="F352" s="32"/>
      <c r="G352" s="32"/>
      <c r="H352" s="32"/>
      <c r="I352" s="32"/>
      <c r="J352" s="32"/>
      <c r="K352" s="32"/>
      <c r="L352" s="32"/>
      <c r="M352" s="32"/>
      <c r="N352" s="33"/>
    </row>
    <row r="353" spans="1:14" s="17" customFormat="1" ht="13.5" thickBot="1" x14ac:dyDescent="0.25">
      <c r="A353" s="30"/>
      <c r="B353" s="26"/>
      <c r="C353" s="31"/>
      <c r="D353" s="31"/>
      <c r="E353" s="32"/>
      <c r="F353" s="32"/>
      <c r="G353" s="32"/>
      <c r="H353" s="32"/>
      <c r="I353" s="32"/>
      <c r="J353" s="28"/>
      <c r="K353" s="32" t="s">
        <v>908</v>
      </c>
      <c r="L353" s="32"/>
      <c r="M353" s="32"/>
      <c r="N353" s="33"/>
    </row>
    <row r="354" spans="1:14" s="17" customFormat="1" ht="13.5" thickBot="1" x14ac:dyDescent="0.25">
      <c r="A354" s="30"/>
      <c r="B354" s="21" t="s">
        <v>263</v>
      </c>
      <c r="C354" s="31"/>
      <c r="D354" s="31"/>
      <c r="E354" s="32"/>
      <c r="F354" s="32"/>
      <c r="G354" s="32"/>
      <c r="H354" s="32"/>
      <c r="I354" s="32"/>
      <c r="J354" s="17" t="s">
        <v>907</v>
      </c>
      <c r="K354" s="65" t="s">
        <v>1904</v>
      </c>
      <c r="L354" s="40" t="s">
        <v>1905</v>
      </c>
      <c r="M354" s="40"/>
      <c r="N354" s="40"/>
    </row>
    <row r="355" spans="1:14" s="17" customFormat="1" x14ac:dyDescent="0.2">
      <c r="A355" s="20"/>
      <c r="B355" s="434" t="s">
        <v>67</v>
      </c>
      <c r="C355" s="434"/>
      <c r="D355" s="434"/>
      <c r="E355" s="22"/>
      <c r="F355" s="22" t="s">
        <v>1180</v>
      </c>
      <c r="G355" s="22" t="s">
        <v>68</v>
      </c>
      <c r="H355" s="22" t="s">
        <v>702</v>
      </c>
      <c r="I355" s="22"/>
      <c r="J355" s="74">
        <f>52/ATHENS!O1*ATHENS!O2</f>
        <v>94.545454545454533</v>
      </c>
      <c r="K355" s="44">
        <f>62/ATHENS!O1*ATHENS!O2</f>
        <v>112.72727272727272</v>
      </c>
      <c r="L355" s="44">
        <f>67/ATHENS!O1*ATHENS!O2</f>
        <v>121.81818181818181</v>
      </c>
      <c r="M355" s="44"/>
      <c r="N355" s="42"/>
    </row>
    <row r="356" spans="1:14" s="17" customFormat="1" x14ac:dyDescent="0.2">
      <c r="A356" s="24"/>
      <c r="B356" s="435" t="s">
        <v>67</v>
      </c>
      <c r="C356" s="435"/>
      <c r="D356" s="435"/>
      <c r="E356" s="28"/>
      <c r="F356" s="28" t="s">
        <v>1181</v>
      </c>
      <c r="G356" s="28" t="s">
        <v>68</v>
      </c>
      <c r="H356" s="28" t="s">
        <v>702</v>
      </c>
      <c r="I356" s="28"/>
      <c r="J356" s="75">
        <f>31/ATHENS!O1*ATHENS!O2</f>
        <v>56.36363636363636</v>
      </c>
      <c r="K356" s="44">
        <f>37/ATHENS!O1*ATHENS!O2</f>
        <v>67.272727272727266</v>
      </c>
      <c r="L356" s="44">
        <f>42/ATHENS!O1*ATHENS!O2</f>
        <v>76.36363636363636</v>
      </c>
      <c r="M356" s="44"/>
      <c r="N356" s="44"/>
    </row>
    <row r="357" spans="1:14" s="17" customFormat="1" x14ac:dyDescent="0.2">
      <c r="A357" s="24"/>
      <c r="B357" s="27" t="s">
        <v>67</v>
      </c>
      <c r="C357" s="27"/>
      <c r="D357" s="27"/>
      <c r="E357" s="28"/>
      <c r="F357" s="28" t="s">
        <v>1182</v>
      </c>
      <c r="G357" s="28" t="s">
        <v>68</v>
      </c>
      <c r="H357" s="28" t="s">
        <v>702</v>
      </c>
      <c r="I357" s="28"/>
      <c r="J357" s="75">
        <f>24/ATHENS!O1*ATHENS!O2</f>
        <v>43.636363636363633</v>
      </c>
      <c r="K357" s="44">
        <f>28/ATHENS!O1*ATHENS!O2</f>
        <v>50.909090909090907</v>
      </c>
      <c r="L357" s="44">
        <f>31/ATHENS!O1*ATHENS!O2</f>
        <v>56.36363636363636</v>
      </c>
      <c r="M357" s="44"/>
      <c r="N357" s="44"/>
    </row>
    <row r="358" spans="1:14" s="17" customFormat="1" ht="13.5" thickBot="1" x14ac:dyDescent="0.25">
      <c r="A358" s="30"/>
      <c r="B358" s="443" t="s">
        <v>902</v>
      </c>
      <c r="C358" s="443"/>
      <c r="D358" s="443"/>
      <c r="E358" s="32"/>
      <c r="F358" s="32"/>
      <c r="G358" s="32"/>
      <c r="H358" s="32" t="s">
        <v>702</v>
      </c>
      <c r="I358" s="32"/>
      <c r="J358" s="76">
        <f>14/ATHENS!O1*ATHENS!O2</f>
        <v>25.454545454545453</v>
      </c>
      <c r="K358" s="46">
        <f>14/ATHENS!O1*ATHENS!O2</f>
        <v>25.454545454545453</v>
      </c>
      <c r="L358" s="46">
        <f>14/ATHENS!O1*ATHENS!O2</f>
        <v>25.454545454545453</v>
      </c>
      <c r="M358" s="46"/>
      <c r="N358" s="46"/>
    </row>
    <row r="359" spans="1:14" s="17" customFormat="1" x14ac:dyDescent="0.2">
      <c r="A359" s="14"/>
      <c r="B359" s="15"/>
      <c r="C359" s="15"/>
      <c r="D359" s="15"/>
      <c r="E359" s="16"/>
      <c r="F359" s="16"/>
      <c r="G359" s="16"/>
      <c r="H359" s="16"/>
      <c r="I359" s="16"/>
      <c r="J359" s="16"/>
      <c r="K359" s="16"/>
      <c r="L359" s="16"/>
      <c r="M359" s="16"/>
      <c r="N359" s="16"/>
    </row>
    <row r="360" spans="1:14" s="17" customFormat="1" x14ac:dyDescent="0.2">
      <c r="A360" s="14"/>
      <c r="B360" s="15"/>
      <c r="C360" s="15"/>
      <c r="D360" s="15"/>
      <c r="E360" s="16"/>
      <c r="F360" s="16"/>
      <c r="G360" s="16"/>
      <c r="H360" s="16"/>
      <c r="I360" s="16"/>
      <c r="J360" s="16"/>
      <c r="K360" s="16"/>
      <c r="L360" s="16"/>
      <c r="M360" s="16"/>
      <c r="N360" s="16"/>
    </row>
    <row r="361" spans="1:14" s="17" customFormat="1" x14ac:dyDescent="0.2">
      <c r="A361" s="14"/>
      <c r="B361" s="15"/>
      <c r="C361" s="15"/>
      <c r="D361" s="15"/>
      <c r="E361" s="16"/>
      <c r="F361" s="16"/>
      <c r="G361" s="16"/>
      <c r="H361" s="16"/>
      <c r="I361" s="16"/>
      <c r="J361" s="16"/>
      <c r="K361" s="16"/>
      <c r="L361" s="16"/>
      <c r="M361" s="16"/>
      <c r="N361" s="16"/>
    </row>
    <row r="362" spans="1:14" s="17" customFormat="1" x14ac:dyDescent="0.2">
      <c r="A362" s="14"/>
      <c r="B362" s="15"/>
      <c r="C362" s="15"/>
      <c r="D362" s="15"/>
      <c r="E362" s="16"/>
      <c r="F362" s="16"/>
      <c r="G362" s="16"/>
      <c r="H362" s="16"/>
      <c r="I362" s="16"/>
      <c r="J362" s="16"/>
      <c r="K362" s="16"/>
      <c r="L362" s="16"/>
      <c r="M362" s="16"/>
      <c r="N362" s="16"/>
    </row>
    <row r="363" spans="1:14" s="17" customFormat="1" x14ac:dyDescent="0.2">
      <c r="A363" s="14"/>
      <c r="B363" s="15"/>
      <c r="C363" s="15"/>
      <c r="D363" s="15"/>
      <c r="E363" s="16"/>
      <c r="F363" s="16"/>
      <c r="G363" s="16"/>
      <c r="H363" s="16"/>
      <c r="I363" s="16"/>
      <c r="J363" s="16"/>
      <c r="K363" s="16"/>
      <c r="L363" s="16"/>
      <c r="M363" s="16"/>
      <c r="N363" s="16"/>
    </row>
    <row r="364" spans="1:14" s="17" customFormat="1" x14ac:dyDescent="0.2">
      <c r="A364" s="14"/>
      <c r="B364" s="15"/>
      <c r="C364" s="15"/>
      <c r="D364" s="15"/>
      <c r="E364" s="16"/>
      <c r="F364" s="16"/>
      <c r="G364" s="16"/>
      <c r="H364" s="16"/>
      <c r="I364" s="16"/>
      <c r="J364" s="16"/>
      <c r="K364" s="16"/>
      <c r="L364" s="16"/>
      <c r="M364" s="16"/>
      <c r="N364" s="16"/>
    </row>
    <row r="365" spans="1:14" s="17" customFormat="1" x14ac:dyDescent="0.2">
      <c r="A365" s="14"/>
      <c r="B365" s="15"/>
      <c r="C365" s="15"/>
      <c r="D365" s="15"/>
      <c r="E365" s="16"/>
      <c r="F365" s="16"/>
      <c r="G365" s="16"/>
      <c r="H365" s="16"/>
      <c r="I365" s="16"/>
      <c r="J365" s="16"/>
      <c r="K365" s="16"/>
      <c r="L365" s="16"/>
      <c r="M365" s="16"/>
      <c r="N365" s="16"/>
    </row>
    <row r="366" spans="1:14" s="17" customFormat="1" x14ac:dyDescent="0.2">
      <c r="A366" s="14"/>
      <c r="B366" s="15"/>
      <c r="C366" s="15"/>
      <c r="D366" s="15"/>
      <c r="E366" s="16"/>
      <c r="F366" s="16"/>
      <c r="G366" s="16"/>
      <c r="H366" s="16"/>
      <c r="I366" s="16"/>
      <c r="J366" s="16"/>
      <c r="K366" s="16"/>
      <c r="L366" s="16"/>
      <c r="M366" s="16"/>
      <c r="N366" s="16"/>
    </row>
    <row r="367" spans="1:14" s="17" customFormat="1" x14ac:dyDescent="0.2">
      <c r="A367" s="14"/>
      <c r="B367" s="15"/>
      <c r="C367" s="15"/>
      <c r="D367" s="15"/>
      <c r="E367" s="16"/>
      <c r="F367" s="16"/>
      <c r="G367" s="16"/>
      <c r="H367" s="16"/>
      <c r="I367" s="16"/>
      <c r="J367" s="16"/>
      <c r="K367" s="16"/>
      <c r="L367" s="16"/>
      <c r="M367" s="16"/>
      <c r="N367" s="16"/>
    </row>
    <row r="368" spans="1:14" s="17" customFormat="1" x14ac:dyDescent="0.2">
      <c r="A368" s="14"/>
      <c r="B368" s="15"/>
      <c r="C368" s="15"/>
      <c r="D368" s="15"/>
      <c r="E368" s="16"/>
      <c r="F368" s="16"/>
      <c r="G368" s="16"/>
      <c r="H368" s="16"/>
      <c r="I368" s="16"/>
      <c r="J368" s="16"/>
      <c r="K368" s="16"/>
      <c r="L368" s="16"/>
      <c r="M368" s="16"/>
      <c r="N368" s="16"/>
    </row>
    <row r="369" spans="1:14" s="17" customFormat="1" x14ac:dyDescent="0.2">
      <c r="A369" s="14"/>
      <c r="B369" s="15"/>
      <c r="C369" s="15"/>
      <c r="D369" s="15"/>
      <c r="E369" s="16"/>
      <c r="F369" s="16"/>
      <c r="G369" s="16"/>
      <c r="H369" s="16"/>
      <c r="I369" s="16"/>
      <c r="J369" s="16"/>
      <c r="K369" s="16"/>
      <c r="L369" s="16"/>
      <c r="M369" s="16"/>
      <c r="N369" s="16"/>
    </row>
    <row r="370" spans="1:14" s="17" customFormat="1" ht="13.5" thickBot="1" x14ac:dyDescent="0.25">
      <c r="A370" s="14"/>
      <c r="B370" s="15"/>
      <c r="C370" s="15"/>
      <c r="D370" s="15"/>
      <c r="E370" s="16"/>
      <c r="F370" s="16"/>
      <c r="G370" s="16"/>
      <c r="H370" s="16"/>
      <c r="I370" s="16"/>
      <c r="J370" s="16"/>
      <c r="K370" s="16"/>
      <c r="L370" s="16"/>
      <c r="M370" s="16"/>
      <c r="N370" s="16"/>
    </row>
    <row r="371" spans="1:14" s="17" customFormat="1" x14ac:dyDescent="0.2">
      <c r="A371" s="20"/>
      <c r="B371" s="21"/>
      <c r="C371" s="21"/>
      <c r="D371" s="21"/>
      <c r="E371" s="22"/>
      <c r="F371" s="22"/>
      <c r="G371" s="22"/>
      <c r="H371" s="22"/>
      <c r="I371" s="22"/>
      <c r="J371" s="22"/>
      <c r="K371" s="22"/>
      <c r="L371" s="22"/>
      <c r="M371" s="22"/>
      <c r="N371" s="23"/>
    </row>
    <row r="372" spans="1:14" s="17" customFormat="1" ht="15" x14ac:dyDescent="0.2">
      <c r="A372" s="24"/>
      <c r="B372" s="440" t="s">
        <v>1099</v>
      </c>
      <c r="C372" s="441"/>
      <c r="D372" s="441"/>
      <c r="E372" s="441"/>
      <c r="F372" s="441"/>
      <c r="G372" s="441"/>
      <c r="H372" s="441"/>
      <c r="I372" s="441"/>
      <c r="J372" s="441"/>
      <c r="K372" s="441"/>
      <c r="L372" s="441"/>
      <c r="M372" s="442"/>
      <c r="N372" s="25" t="s">
        <v>1103</v>
      </c>
    </row>
    <row r="373" spans="1:14" s="17" customFormat="1" x14ac:dyDescent="0.2">
      <c r="A373" s="24"/>
      <c r="B373" s="26" t="s">
        <v>428</v>
      </c>
      <c r="C373" s="27" t="s">
        <v>1142</v>
      </c>
      <c r="D373" s="27"/>
      <c r="E373" s="28"/>
      <c r="F373" s="28"/>
      <c r="G373" s="28"/>
      <c r="H373" s="28"/>
      <c r="I373" s="28"/>
      <c r="J373" s="28"/>
      <c r="K373" s="28"/>
      <c r="L373" s="28"/>
      <c r="M373" s="28"/>
      <c r="N373" s="29"/>
    </row>
    <row r="374" spans="1:14" s="17" customFormat="1" x14ac:dyDescent="0.2">
      <c r="A374" s="24"/>
      <c r="B374" s="26" t="s">
        <v>429</v>
      </c>
      <c r="C374" s="27" t="s">
        <v>1857</v>
      </c>
      <c r="D374" s="27"/>
      <c r="E374" s="28"/>
      <c r="F374" s="28"/>
      <c r="G374" s="28"/>
      <c r="H374" s="28"/>
      <c r="I374" s="28"/>
      <c r="J374" s="28"/>
      <c r="K374" s="28"/>
      <c r="L374" s="28"/>
      <c r="M374" s="28"/>
      <c r="N374" s="29"/>
    </row>
    <row r="375" spans="1:14" s="17" customFormat="1" x14ac:dyDescent="0.2">
      <c r="A375" s="24"/>
      <c r="B375" s="26" t="s">
        <v>427</v>
      </c>
      <c r="C375" s="436" t="s">
        <v>1274</v>
      </c>
      <c r="D375" s="436"/>
      <c r="E375" s="436"/>
      <c r="F375" s="436"/>
      <c r="G375" s="436"/>
      <c r="H375" s="436"/>
      <c r="I375" s="436"/>
      <c r="J375" s="436"/>
      <c r="K375" s="436"/>
      <c r="L375" s="436"/>
      <c r="M375" s="436"/>
      <c r="N375" s="437"/>
    </row>
    <row r="376" spans="1:14" s="17" customFormat="1" x14ac:dyDescent="0.2">
      <c r="A376" s="24"/>
      <c r="B376" s="15"/>
      <c r="C376" s="436"/>
      <c r="D376" s="436"/>
      <c r="E376" s="436"/>
      <c r="F376" s="436"/>
      <c r="G376" s="436"/>
      <c r="H376" s="436"/>
      <c r="I376" s="436"/>
      <c r="J376" s="436"/>
      <c r="K376" s="436"/>
      <c r="L376" s="436"/>
      <c r="M376" s="436"/>
      <c r="N376" s="437"/>
    </row>
    <row r="377" spans="1:14" s="17" customFormat="1" x14ac:dyDescent="0.2">
      <c r="A377" s="24"/>
      <c r="B377" s="15"/>
      <c r="C377" s="438"/>
      <c r="D377" s="438"/>
      <c r="E377" s="438"/>
      <c r="F377" s="438"/>
      <c r="G377" s="438"/>
      <c r="H377" s="438"/>
      <c r="I377" s="438"/>
      <c r="J377" s="438"/>
      <c r="K377" s="438"/>
      <c r="L377" s="438"/>
      <c r="M377" s="438"/>
      <c r="N377" s="439"/>
    </row>
    <row r="378" spans="1:14" s="17" customFormat="1" x14ac:dyDescent="0.2">
      <c r="A378" s="24"/>
      <c r="B378" s="26" t="s">
        <v>426</v>
      </c>
      <c r="C378" s="27" t="s">
        <v>539</v>
      </c>
      <c r="D378" s="27"/>
      <c r="E378" s="28"/>
      <c r="F378" s="28"/>
      <c r="G378" s="28"/>
      <c r="H378" s="27"/>
      <c r="I378" s="28"/>
      <c r="J378" s="28"/>
      <c r="K378" s="28"/>
      <c r="L378" s="28"/>
      <c r="M378" s="28"/>
      <c r="N378" s="29"/>
    </row>
    <row r="379" spans="1:14" s="17" customFormat="1" ht="13.5" thickBot="1" x14ac:dyDescent="0.25">
      <c r="A379" s="30"/>
      <c r="B379" s="26" t="s">
        <v>430</v>
      </c>
      <c r="C379" s="31"/>
      <c r="D379" s="31"/>
      <c r="E379" s="32"/>
      <c r="F379" s="32"/>
      <c r="G379" s="32"/>
      <c r="H379" s="32"/>
      <c r="I379" s="32"/>
      <c r="J379" s="32"/>
      <c r="K379" s="32"/>
      <c r="L379" s="32"/>
      <c r="M379" s="32"/>
      <c r="N379" s="33"/>
    </row>
    <row r="380" spans="1:14" s="17" customFormat="1" x14ac:dyDescent="0.2">
      <c r="A380" s="20"/>
      <c r="B380" s="21" t="s">
        <v>263</v>
      </c>
      <c r="C380" s="21"/>
      <c r="D380" s="21"/>
      <c r="E380" s="22"/>
      <c r="F380" s="22"/>
      <c r="G380" s="22"/>
      <c r="H380" s="22"/>
      <c r="I380" s="22"/>
      <c r="J380" s="37" t="s">
        <v>1810</v>
      </c>
      <c r="K380" s="37" t="s">
        <v>1811</v>
      </c>
      <c r="L380" s="37" t="s">
        <v>519</v>
      </c>
      <c r="M380" s="37"/>
      <c r="N380" s="37"/>
    </row>
    <row r="381" spans="1:14" s="17" customFormat="1" ht="13.5" thickBot="1" x14ac:dyDescent="0.25">
      <c r="A381" s="24"/>
      <c r="B381" s="27"/>
      <c r="C381" s="27"/>
      <c r="D381" s="27"/>
      <c r="E381" s="28"/>
      <c r="F381" s="28"/>
      <c r="G381" s="28"/>
      <c r="H381" s="28"/>
      <c r="I381" s="28"/>
      <c r="J381" s="87" t="s">
        <v>278</v>
      </c>
      <c r="K381" s="40" t="s">
        <v>1812</v>
      </c>
      <c r="L381" s="40" t="s">
        <v>1813</v>
      </c>
      <c r="M381" s="40" t="s">
        <v>186</v>
      </c>
      <c r="N381" s="40"/>
    </row>
    <row r="382" spans="1:14" s="17" customFormat="1" x14ac:dyDescent="0.2">
      <c r="A382" s="20"/>
      <c r="B382" s="434" t="s">
        <v>67</v>
      </c>
      <c r="C382" s="434"/>
      <c r="D382" s="434"/>
      <c r="E382" s="22"/>
      <c r="F382" s="22" t="s">
        <v>1180</v>
      </c>
      <c r="G382" s="22" t="s">
        <v>1484</v>
      </c>
      <c r="H382" s="22" t="s">
        <v>702</v>
      </c>
      <c r="I382" s="22"/>
      <c r="J382" s="75">
        <f>40/ATHENS!O1*ATHENS!O2</f>
        <v>72.72727272727272</v>
      </c>
      <c r="K382" s="75">
        <f>60/ATHENS!O1*ATHENS!O2</f>
        <v>109.09090909090908</v>
      </c>
      <c r="L382" s="75">
        <f>70/ATHENS!O1*ATHENS!O2</f>
        <v>127.27272727272727</v>
      </c>
      <c r="M382" s="75">
        <f>90/ATHENS!O1*ATHENS!O2</f>
        <v>163.63636363636363</v>
      </c>
      <c r="N382" s="42"/>
    </row>
    <row r="383" spans="1:14" s="17" customFormat="1" x14ac:dyDescent="0.2">
      <c r="A383" s="24"/>
      <c r="B383" s="435" t="s">
        <v>67</v>
      </c>
      <c r="C383" s="435"/>
      <c r="D383" s="435"/>
      <c r="E383" s="28"/>
      <c r="F383" s="28" t="s">
        <v>1181</v>
      </c>
      <c r="G383" s="28" t="s">
        <v>1484</v>
      </c>
      <c r="H383" s="28" t="s">
        <v>702</v>
      </c>
      <c r="I383" s="28"/>
      <c r="J383" s="75">
        <f>26/ATHENS!O1*ATHENS!O2</f>
        <v>47.272727272727266</v>
      </c>
      <c r="K383" s="75">
        <f>39.5/ATHENS!O1*ATHENS!O2</f>
        <v>71.818181818181813</v>
      </c>
      <c r="L383" s="75">
        <f>44.5/ATHENS!O1*ATHENS!O2</f>
        <v>80.909090909090907</v>
      </c>
      <c r="M383" s="75">
        <f>56.5/ATHENS!O1*ATHENS!O2</f>
        <v>102.72727272727272</v>
      </c>
      <c r="N383" s="44"/>
    </row>
    <row r="384" spans="1:14" s="17" customFormat="1" ht="13.5" thickBot="1" x14ac:dyDescent="0.25">
      <c r="A384" s="30"/>
      <c r="B384" s="443" t="s">
        <v>67</v>
      </c>
      <c r="C384" s="443"/>
      <c r="D384" s="443"/>
      <c r="E384" s="32"/>
      <c r="F384" s="32" t="s">
        <v>1182</v>
      </c>
      <c r="G384" s="32" t="s">
        <v>1484</v>
      </c>
      <c r="H384" s="32" t="s">
        <v>702</v>
      </c>
      <c r="I384" s="32"/>
      <c r="J384" s="76">
        <f>23.5/ATHENS!O1*ATHENS!O2</f>
        <v>42.727272727272727</v>
      </c>
      <c r="K384" s="76">
        <f>36/ATHENS!O1*ATHENS!O2</f>
        <v>65.454545454545453</v>
      </c>
      <c r="L384" s="76">
        <f>40/ATHENS!O1*ATHENS!O2</f>
        <v>72.72727272727272</v>
      </c>
      <c r="M384" s="76">
        <f>51/ATHENS!O1*ATHENS!O2</f>
        <v>92.72727272727272</v>
      </c>
      <c r="N384" s="46"/>
    </row>
    <row r="385" spans="1:15" s="17" customFormat="1" ht="13.5" thickBot="1" x14ac:dyDescent="0.25">
      <c r="A385" s="14"/>
      <c r="B385" s="15"/>
      <c r="C385" s="15"/>
      <c r="D385" s="15"/>
      <c r="E385" s="16"/>
      <c r="F385" s="16"/>
      <c r="G385" s="16"/>
      <c r="H385" s="16"/>
      <c r="I385" s="16"/>
      <c r="J385" s="16"/>
      <c r="K385" s="16"/>
      <c r="L385" s="16"/>
      <c r="M385" s="16"/>
      <c r="N385" s="16"/>
      <c r="O385" s="68"/>
    </row>
    <row r="386" spans="1:15" s="17" customFormat="1" x14ac:dyDescent="0.2">
      <c r="A386" s="20"/>
      <c r="B386" s="21"/>
      <c r="C386" s="21"/>
      <c r="D386" s="21"/>
      <c r="E386" s="22"/>
      <c r="F386" s="22"/>
      <c r="G386" s="22"/>
      <c r="H386" s="22"/>
      <c r="I386" s="22"/>
      <c r="J386" s="22"/>
      <c r="K386" s="22"/>
      <c r="L386" s="22"/>
      <c r="M386" s="22"/>
      <c r="N386" s="23"/>
      <c r="O386" s="68"/>
    </row>
    <row r="387" spans="1:15" s="17" customFormat="1" ht="15" x14ac:dyDescent="0.2">
      <c r="A387" s="24"/>
      <c r="B387" s="440" t="s">
        <v>911</v>
      </c>
      <c r="C387" s="441"/>
      <c r="D387" s="441"/>
      <c r="E387" s="441"/>
      <c r="F387" s="441"/>
      <c r="G387" s="441"/>
      <c r="H387" s="441"/>
      <c r="I387" s="441"/>
      <c r="J387" s="441"/>
      <c r="K387" s="441"/>
      <c r="L387" s="441"/>
      <c r="M387" s="442"/>
      <c r="N387" s="25" t="s">
        <v>96</v>
      </c>
      <c r="O387" s="68"/>
    </row>
    <row r="388" spans="1:15" s="17" customFormat="1" x14ac:dyDescent="0.2">
      <c r="A388" s="24"/>
      <c r="B388" s="26" t="s">
        <v>428</v>
      </c>
      <c r="C388" s="27" t="s">
        <v>792</v>
      </c>
      <c r="D388" s="27"/>
      <c r="E388" s="28"/>
      <c r="F388" s="28"/>
      <c r="G388" s="28"/>
      <c r="H388" s="28"/>
      <c r="I388" s="28"/>
      <c r="J388" s="28"/>
      <c r="K388" s="28"/>
      <c r="L388" s="28"/>
      <c r="M388" s="28"/>
      <c r="N388" s="29"/>
      <c r="O388" s="68"/>
    </row>
    <row r="389" spans="1:15" s="17" customFormat="1" x14ac:dyDescent="0.2">
      <c r="A389" s="24"/>
      <c r="B389" s="26" t="s">
        <v>429</v>
      </c>
      <c r="C389" s="27" t="s">
        <v>793</v>
      </c>
      <c r="D389" s="27"/>
      <c r="E389" s="28"/>
      <c r="F389" s="28"/>
      <c r="G389" s="28"/>
      <c r="H389" s="28"/>
      <c r="I389" s="28"/>
      <c r="J389" s="28"/>
      <c r="K389" s="28"/>
      <c r="L389" s="28"/>
      <c r="M389" s="28"/>
      <c r="N389" s="29"/>
      <c r="O389" s="68"/>
    </row>
    <row r="390" spans="1:15" s="17" customFormat="1" x14ac:dyDescent="0.2">
      <c r="A390" s="24"/>
      <c r="B390" s="26" t="s">
        <v>427</v>
      </c>
      <c r="C390" s="436" t="s">
        <v>912</v>
      </c>
      <c r="D390" s="436"/>
      <c r="E390" s="436"/>
      <c r="F390" s="436"/>
      <c r="G390" s="436"/>
      <c r="H390" s="436"/>
      <c r="I390" s="436"/>
      <c r="J390" s="436"/>
      <c r="K390" s="436"/>
      <c r="L390" s="436"/>
      <c r="M390" s="436"/>
      <c r="N390" s="437"/>
      <c r="O390" s="68"/>
    </row>
    <row r="391" spans="1:15" s="17" customFormat="1" x14ac:dyDescent="0.2">
      <c r="A391" s="24"/>
      <c r="B391" s="26"/>
      <c r="C391" s="436"/>
      <c r="D391" s="436"/>
      <c r="E391" s="436"/>
      <c r="F391" s="436"/>
      <c r="G391" s="436"/>
      <c r="H391" s="436"/>
      <c r="I391" s="436"/>
      <c r="J391" s="436"/>
      <c r="K391" s="436"/>
      <c r="L391" s="436"/>
      <c r="M391" s="436"/>
      <c r="N391" s="437"/>
      <c r="O391" s="68"/>
    </row>
    <row r="392" spans="1:15" s="17" customFormat="1" x14ac:dyDescent="0.2">
      <c r="A392" s="24"/>
      <c r="B392" s="26" t="s">
        <v>426</v>
      </c>
      <c r="C392" s="27"/>
      <c r="D392" s="27"/>
      <c r="E392" s="28"/>
      <c r="F392" s="28"/>
      <c r="G392" s="28"/>
      <c r="H392" s="28"/>
      <c r="I392" s="28"/>
      <c r="J392" s="28"/>
      <c r="K392" s="28"/>
      <c r="L392" s="28"/>
      <c r="M392" s="28"/>
      <c r="N392" s="29"/>
      <c r="O392" s="68"/>
    </row>
    <row r="393" spans="1:15" s="17" customFormat="1" ht="13.5" thickBot="1" x14ac:dyDescent="0.25">
      <c r="A393" s="24"/>
      <c r="B393" s="26" t="s">
        <v>430</v>
      </c>
      <c r="C393" s="27"/>
      <c r="D393" s="27"/>
      <c r="E393" s="28"/>
      <c r="F393" s="28"/>
      <c r="G393" s="28"/>
      <c r="H393" s="28"/>
      <c r="I393" s="28"/>
      <c r="J393" s="28"/>
      <c r="K393" s="28"/>
      <c r="L393" s="28"/>
      <c r="M393" s="28"/>
      <c r="N393" s="29"/>
      <c r="O393" s="68"/>
    </row>
    <row r="394" spans="1:15" s="17" customFormat="1" x14ac:dyDescent="0.2">
      <c r="A394" s="20"/>
      <c r="B394" s="21" t="s">
        <v>263</v>
      </c>
      <c r="C394" s="21"/>
      <c r="D394" s="21"/>
      <c r="E394" s="22"/>
      <c r="F394" s="22"/>
      <c r="G394" s="22"/>
      <c r="H394" s="22"/>
      <c r="I394" s="22"/>
      <c r="J394" s="48" t="s">
        <v>1573</v>
      </c>
      <c r="K394" s="37" t="s">
        <v>1811</v>
      </c>
      <c r="L394" s="37" t="s">
        <v>519</v>
      </c>
      <c r="M394" s="37"/>
      <c r="N394" s="37"/>
      <c r="O394" s="68"/>
    </row>
    <row r="395" spans="1:15" s="17" customFormat="1" ht="13.5" thickBot="1" x14ac:dyDescent="0.25">
      <c r="A395" s="30"/>
      <c r="B395" s="31"/>
      <c r="C395" s="31"/>
      <c r="D395" s="31"/>
      <c r="E395" s="32"/>
      <c r="F395" s="32"/>
      <c r="G395" s="32"/>
      <c r="H395" s="32"/>
      <c r="I395" s="32"/>
      <c r="J395" s="49" t="s">
        <v>481</v>
      </c>
      <c r="K395" s="40" t="s">
        <v>341</v>
      </c>
      <c r="L395" s="40" t="s">
        <v>821</v>
      </c>
      <c r="M395" s="40" t="s">
        <v>186</v>
      </c>
      <c r="N395" s="40"/>
      <c r="O395" s="68"/>
    </row>
    <row r="396" spans="1:15" s="17" customFormat="1" x14ac:dyDescent="0.2">
      <c r="A396" s="20"/>
      <c r="B396" s="434" t="s">
        <v>67</v>
      </c>
      <c r="C396" s="434"/>
      <c r="D396" s="434"/>
      <c r="E396" s="22"/>
      <c r="F396" s="22" t="s">
        <v>1180</v>
      </c>
      <c r="G396" s="22" t="s">
        <v>1487</v>
      </c>
      <c r="H396" s="22" t="s">
        <v>702</v>
      </c>
      <c r="I396" s="22"/>
      <c r="J396" s="74">
        <f>48/ATHENS!O1*ATHENS!O2</f>
        <v>87.272727272727266</v>
      </c>
      <c r="K396" s="74">
        <f>61/ATHENS!O1*ATHENS!O2</f>
        <v>110.90909090909091</v>
      </c>
      <c r="L396" s="74">
        <f>71/ATHENS!O1*ATHENS!O2</f>
        <v>129.09090909090909</v>
      </c>
      <c r="M396" s="74">
        <f>91/ATHENS!O1*ATHENS!O2</f>
        <v>165.45454545454544</v>
      </c>
      <c r="N396" s="42"/>
      <c r="O396" s="68"/>
    </row>
    <row r="397" spans="1:15" s="17" customFormat="1" x14ac:dyDescent="0.2">
      <c r="A397" s="24"/>
      <c r="B397" s="435" t="s">
        <v>67</v>
      </c>
      <c r="C397" s="435"/>
      <c r="D397" s="435"/>
      <c r="E397" s="28"/>
      <c r="F397" s="28" t="s">
        <v>1181</v>
      </c>
      <c r="G397" s="28" t="s">
        <v>1487</v>
      </c>
      <c r="H397" s="28" t="s">
        <v>702</v>
      </c>
      <c r="I397" s="28"/>
      <c r="J397" s="75">
        <f>35/ATHENS!O1*ATHENS!O2</f>
        <v>63.636363636363633</v>
      </c>
      <c r="K397" s="75">
        <f>44/ATHENS!O1*ATHENS!O2</f>
        <v>80</v>
      </c>
      <c r="L397" s="75">
        <f>50/ATHENS!O1*ATHENS!O2</f>
        <v>90.909090909090907</v>
      </c>
      <c r="M397" s="75">
        <f>64/ATHENS!O1*ATHENS!O2</f>
        <v>116.36363636363636</v>
      </c>
      <c r="N397" s="44"/>
      <c r="O397" s="68"/>
    </row>
    <row r="398" spans="1:15" s="17" customFormat="1" ht="13.5" thickBot="1" x14ac:dyDescent="0.25">
      <c r="A398" s="30"/>
      <c r="B398" s="443" t="s">
        <v>67</v>
      </c>
      <c r="C398" s="443"/>
      <c r="D398" s="443"/>
      <c r="E398" s="32"/>
      <c r="F398" s="32" t="s">
        <v>1182</v>
      </c>
      <c r="G398" s="32" t="s">
        <v>1487</v>
      </c>
      <c r="H398" s="32" t="s">
        <v>702</v>
      </c>
      <c r="I398" s="32"/>
      <c r="J398" s="76">
        <f>31.5/ATHENS!O1*ATHENS!O2</f>
        <v>57.272727272727266</v>
      </c>
      <c r="K398" s="76">
        <f>39.6/ATHENS!O1*ATHENS!O2</f>
        <v>72</v>
      </c>
      <c r="L398" s="76">
        <f>44.5/ATHENS!O1*ATHENS!O2</f>
        <v>80.909090909090907</v>
      </c>
      <c r="M398" s="76">
        <f>56.5/ATHENS!O1*ATHENS!O2</f>
        <v>102.72727272727272</v>
      </c>
      <c r="N398" s="46"/>
      <c r="O398" s="68"/>
    </row>
    <row r="399" spans="1:15" s="17" customFormat="1" ht="13.5" thickBot="1" x14ac:dyDescent="0.25">
      <c r="A399" s="52"/>
      <c r="B399" s="27"/>
      <c r="C399" s="27"/>
      <c r="D399" s="27"/>
      <c r="E399" s="28"/>
      <c r="F399" s="28"/>
      <c r="G399" s="28"/>
      <c r="H399" s="28"/>
      <c r="I399" s="28"/>
      <c r="J399" s="229"/>
      <c r="K399" s="229"/>
      <c r="L399" s="229"/>
      <c r="M399" s="229"/>
      <c r="N399" s="53"/>
      <c r="O399" s="68"/>
    </row>
    <row r="400" spans="1:15" s="17" customFormat="1" x14ac:dyDescent="0.2">
      <c r="A400" s="20"/>
      <c r="B400" s="21"/>
      <c r="C400" s="21"/>
      <c r="D400" s="21"/>
      <c r="E400" s="22"/>
      <c r="F400" s="22"/>
      <c r="G400" s="22"/>
      <c r="H400" s="22"/>
      <c r="I400" s="22"/>
      <c r="J400" s="22"/>
      <c r="K400" s="22"/>
      <c r="L400" s="22"/>
      <c r="M400" s="22"/>
      <c r="N400" s="23"/>
      <c r="O400" s="68"/>
    </row>
    <row r="401" spans="1:15" s="17" customFormat="1" ht="15" x14ac:dyDescent="0.2">
      <c r="A401" s="24"/>
      <c r="B401" s="440" t="s">
        <v>201</v>
      </c>
      <c r="C401" s="441"/>
      <c r="D401" s="441"/>
      <c r="E401" s="441"/>
      <c r="F401" s="441"/>
      <c r="G401" s="441"/>
      <c r="H401" s="441"/>
      <c r="I401" s="441"/>
      <c r="J401" s="441"/>
      <c r="K401" s="441"/>
      <c r="L401" s="441"/>
      <c r="M401" s="442"/>
      <c r="N401" s="25" t="s">
        <v>1103</v>
      </c>
      <c r="O401" s="68"/>
    </row>
    <row r="402" spans="1:15" s="17" customFormat="1" x14ac:dyDescent="0.2">
      <c r="A402" s="24"/>
      <c r="B402" s="26" t="s">
        <v>428</v>
      </c>
      <c r="C402" s="27" t="s">
        <v>202</v>
      </c>
      <c r="D402" s="27"/>
      <c r="E402" s="28"/>
      <c r="F402" s="28"/>
      <c r="G402" s="28"/>
      <c r="H402" s="28"/>
      <c r="I402" s="28"/>
      <c r="J402" s="28"/>
      <c r="K402" s="28"/>
      <c r="L402" s="28"/>
      <c r="M402" s="28"/>
      <c r="N402" s="29"/>
      <c r="O402" s="68"/>
    </row>
    <row r="403" spans="1:15" s="17" customFormat="1" x14ac:dyDescent="0.2">
      <c r="A403" s="24"/>
      <c r="B403" s="26" t="s">
        <v>429</v>
      </c>
      <c r="C403" s="27" t="s">
        <v>794</v>
      </c>
      <c r="D403" s="27"/>
      <c r="E403" s="28"/>
      <c r="F403" s="28"/>
      <c r="G403" s="28"/>
      <c r="H403" s="28"/>
      <c r="I403" s="28"/>
      <c r="J403" s="28"/>
      <c r="K403" s="28"/>
      <c r="L403" s="28"/>
      <c r="M403" s="28"/>
      <c r="N403" s="29"/>
      <c r="O403" s="68"/>
    </row>
    <row r="404" spans="1:15" s="17" customFormat="1" x14ac:dyDescent="0.2">
      <c r="A404" s="24"/>
      <c r="B404" s="26" t="s">
        <v>427</v>
      </c>
      <c r="C404" s="436" t="s">
        <v>1275</v>
      </c>
      <c r="D404" s="436"/>
      <c r="E404" s="436"/>
      <c r="F404" s="436"/>
      <c r="G404" s="436"/>
      <c r="H404" s="436"/>
      <c r="I404" s="436"/>
      <c r="J404" s="436"/>
      <c r="K404" s="436"/>
      <c r="L404" s="436"/>
      <c r="M404" s="436"/>
      <c r="N404" s="437"/>
      <c r="O404" s="68"/>
    </row>
    <row r="405" spans="1:15" s="17" customFormat="1" x14ac:dyDescent="0.2">
      <c r="A405" s="24"/>
      <c r="B405" s="15"/>
      <c r="C405" s="436"/>
      <c r="D405" s="436"/>
      <c r="E405" s="436"/>
      <c r="F405" s="436"/>
      <c r="G405" s="436"/>
      <c r="H405" s="436"/>
      <c r="I405" s="436"/>
      <c r="J405" s="436"/>
      <c r="K405" s="436"/>
      <c r="L405" s="436"/>
      <c r="M405" s="436"/>
      <c r="N405" s="437"/>
      <c r="O405" s="68"/>
    </row>
    <row r="406" spans="1:15" s="17" customFormat="1" x14ac:dyDescent="0.2">
      <c r="A406" s="24"/>
      <c r="B406" s="15"/>
      <c r="C406" s="438"/>
      <c r="D406" s="438"/>
      <c r="E406" s="438"/>
      <c r="F406" s="438"/>
      <c r="G406" s="438"/>
      <c r="H406" s="438"/>
      <c r="I406" s="438"/>
      <c r="J406" s="438"/>
      <c r="K406" s="438"/>
      <c r="L406" s="438"/>
      <c r="M406" s="438"/>
      <c r="N406" s="439"/>
      <c r="O406" s="68"/>
    </row>
    <row r="407" spans="1:15" s="17" customFormat="1" x14ac:dyDescent="0.2">
      <c r="A407" s="24"/>
      <c r="B407" s="26" t="s">
        <v>426</v>
      </c>
      <c r="C407" s="27" t="s">
        <v>539</v>
      </c>
      <c r="D407" s="27"/>
      <c r="E407" s="28"/>
      <c r="F407" s="28"/>
      <c r="G407" s="28"/>
      <c r="H407" s="27"/>
      <c r="I407" s="28"/>
      <c r="J407" s="28"/>
      <c r="K407" s="28"/>
      <c r="L407" s="28"/>
      <c r="M407" s="28"/>
      <c r="N407" s="29"/>
      <c r="O407" s="68"/>
    </row>
    <row r="408" spans="1:15" s="17" customFormat="1" ht="13.5" thickBot="1" x14ac:dyDescent="0.25">
      <c r="A408" s="30"/>
      <c r="B408" s="26" t="s">
        <v>430</v>
      </c>
      <c r="C408" s="31"/>
      <c r="D408" s="31"/>
      <c r="E408" s="32"/>
      <c r="F408" s="32"/>
      <c r="G408" s="32"/>
      <c r="H408" s="32"/>
      <c r="I408" s="32"/>
      <c r="J408" s="32"/>
      <c r="K408" s="32"/>
      <c r="L408" s="32"/>
      <c r="M408" s="32"/>
      <c r="N408" s="33"/>
      <c r="O408" s="68"/>
    </row>
    <row r="409" spans="1:15" s="17" customFormat="1" x14ac:dyDescent="0.2">
      <c r="A409" s="20"/>
      <c r="B409" s="21" t="s">
        <v>263</v>
      </c>
      <c r="C409" s="21"/>
      <c r="D409" s="21"/>
      <c r="E409" s="22"/>
      <c r="F409" s="22"/>
      <c r="G409" s="22"/>
      <c r="H409" s="22"/>
      <c r="I409" s="22"/>
      <c r="J409" s="37" t="s">
        <v>2138</v>
      </c>
      <c r="K409" s="37" t="s">
        <v>2140</v>
      </c>
      <c r="L409" s="37" t="s">
        <v>2141</v>
      </c>
      <c r="M409" s="37"/>
      <c r="N409" s="37"/>
      <c r="O409" s="68"/>
    </row>
    <row r="410" spans="1:15" s="17" customFormat="1" ht="13.5" thickBot="1" x14ac:dyDescent="0.25">
      <c r="A410" s="24"/>
      <c r="B410" s="27"/>
      <c r="C410" s="27"/>
      <c r="D410" s="27"/>
      <c r="E410" s="28"/>
      <c r="F410" s="28"/>
      <c r="G410" s="28"/>
      <c r="H410" s="28"/>
      <c r="I410" s="28"/>
      <c r="J410" s="40" t="s">
        <v>2139</v>
      </c>
      <c r="K410" s="40" t="s">
        <v>1575</v>
      </c>
      <c r="L410" s="40" t="s">
        <v>510</v>
      </c>
      <c r="M410" s="40" t="s">
        <v>2142</v>
      </c>
      <c r="N410" s="40" t="s">
        <v>2143</v>
      </c>
      <c r="O410" s="68"/>
    </row>
    <row r="411" spans="1:15" s="17" customFormat="1" x14ac:dyDescent="0.2">
      <c r="A411" s="20"/>
      <c r="B411" s="434" t="s">
        <v>67</v>
      </c>
      <c r="C411" s="434"/>
      <c r="D411" s="434"/>
      <c r="E411" s="22"/>
      <c r="F411" s="22" t="s">
        <v>1180</v>
      </c>
      <c r="G411" s="22" t="s">
        <v>1484</v>
      </c>
      <c r="H411" s="22" t="s">
        <v>702</v>
      </c>
      <c r="I411" s="22"/>
      <c r="J411" s="75">
        <f>84/ATHENS!O1*ATHENS!O2</f>
        <v>152.72727272727272</v>
      </c>
      <c r="K411" s="75">
        <f>114.5/ATHENS!O1*ATHENS!O2</f>
        <v>208.18181818181816</v>
      </c>
      <c r="L411" s="75">
        <f>143.5/ATHENS!O1*ATHENS!O2</f>
        <v>260.90909090909088</v>
      </c>
      <c r="M411" s="75">
        <f>199.6/ATHENS!O1*ATHENS!O2</f>
        <v>362.90909090909088</v>
      </c>
      <c r="N411" s="42">
        <f>220/ATHENS!O1*ATHENS!O2</f>
        <v>399.99999999999994</v>
      </c>
      <c r="O411" s="68"/>
    </row>
    <row r="412" spans="1:15" s="17" customFormat="1" x14ac:dyDescent="0.2">
      <c r="A412" s="24"/>
      <c r="B412" s="435" t="s">
        <v>67</v>
      </c>
      <c r="C412" s="435"/>
      <c r="D412" s="435"/>
      <c r="E412" s="28"/>
      <c r="F412" s="28" t="s">
        <v>1181</v>
      </c>
      <c r="G412" s="28" t="s">
        <v>1484</v>
      </c>
      <c r="H412" s="28" t="s">
        <v>702</v>
      </c>
      <c r="I412" s="28"/>
      <c r="J412" s="75">
        <f>42/ATHENS!O1*ATHENS!O2</f>
        <v>76.36363636363636</v>
      </c>
      <c r="K412" s="75">
        <f>57.5/ATHENS!O1*ATHENS!O2</f>
        <v>104.54545454545453</v>
      </c>
      <c r="L412" s="75">
        <f>71.5/ATHENS!O1*ATHENS!O2</f>
        <v>130</v>
      </c>
      <c r="M412" s="75">
        <f>99.8/ATHENS!O1*ATHENS!O2</f>
        <v>181.45454545454544</v>
      </c>
      <c r="N412" s="44">
        <f>110/ATHENS!O1*ATHENS!O2</f>
        <v>199.99999999999997</v>
      </c>
      <c r="O412" s="68"/>
    </row>
    <row r="413" spans="1:15" s="17" customFormat="1" ht="13.5" thickBot="1" x14ac:dyDescent="0.25">
      <c r="A413" s="30"/>
      <c r="B413" s="443" t="s">
        <v>1446</v>
      </c>
      <c r="C413" s="443"/>
      <c r="D413" s="443"/>
      <c r="E413" s="32"/>
      <c r="F413" s="32"/>
      <c r="G413" s="32"/>
      <c r="H413" s="32"/>
      <c r="I413" s="32"/>
      <c r="J413" s="76">
        <f>22/ATHENS!O1*ATHENS!O2</f>
        <v>40</v>
      </c>
      <c r="K413" s="76">
        <f>22/ATHENS!O1*ATHENS!O2</f>
        <v>40</v>
      </c>
      <c r="L413" s="76">
        <f>22/ATHENS!O1*ATHENS!O2</f>
        <v>40</v>
      </c>
      <c r="M413" s="76">
        <f>22/ATHENS!O1*ATHENS!O2</f>
        <v>40</v>
      </c>
      <c r="N413" s="46">
        <f>22/ATHENS!O1*ATHENS!O2</f>
        <v>40</v>
      </c>
      <c r="O413" s="68"/>
    </row>
    <row r="414" spans="1:15" s="17" customFormat="1" x14ac:dyDescent="0.2">
      <c r="A414" s="52"/>
      <c r="B414" s="27"/>
      <c r="C414" s="27"/>
      <c r="D414" s="27"/>
      <c r="E414" s="28"/>
      <c r="F414" s="28"/>
      <c r="G414" s="28"/>
      <c r="H414" s="28"/>
      <c r="I414" s="28"/>
      <c r="J414" s="229"/>
      <c r="K414" s="229"/>
      <c r="L414" s="229"/>
      <c r="M414" s="229"/>
      <c r="N414" s="53"/>
      <c r="O414" s="68"/>
    </row>
    <row r="415" spans="1:15" s="17" customFormat="1" x14ac:dyDescent="0.2">
      <c r="A415" s="52"/>
      <c r="B415" s="27"/>
      <c r="C415" s="27"/>
      <c r="D415" s="27"/>
      <c r="E415" s="28"/>
      <c r="F415" s="28"/>
      <c r="G415" s="28"/>
      <c r="H415" s="28"/>
      <c r="I415" s="28"/>
      <c r="J415" s="229"/>
      <c r="K415" s="229"/>
      <c r="L415" s="229"/>
      <c r="M415" s="229"/>
      <c r="N415" s="53"/>
      <c r="O415" s="68"/>
    </row>
    <row r="416" spans="1:15" s="17" customFormat="1" x14ac:dyDescent="0.2">
      <c r="A416" s="52"/>
      <c r="B416" s="27"/>
      <c r="C416" s="27"/>
      <c r="D416" s="27"/>
      <c r="E416" s="28"/>
      <c r="F416" s="28"/>
      <c r="G416" s="28"/>
      <c r="H416" s="28"/>
      <c r="I416" s="28"/>
      <c r="J416" s="229"/>
      <c r="K416" s="229"/>
      <c r="L416" s="229"/>
      <c r="M416" s="229"/>
      <c r="N416" s="53"/>
      <c r="O416" s="68"/>
    </row>
    <row r="417" spans="1:15" s="17" customFormat="1" x14ac:dyDescent="0.2">
      <c r="A417" s="52"/>
      <c r="B417" s="27"/>
      <c r="C417" s="27"/>
      <c r="D417" s="27"/>
      <c r="E417" s="28"/>
      <c r="F417" s="28"/>
      <c r="G417" s="28"/>
      <c r="H417" s="28"/>
      <c r="I417" s="28"/>
      <c r="J417" s="229"/>
      <c r="K417" s="229"/>
      <c r="L417" s="229"/>
      <c r="M417" s="229"/>
      <c r="N417" s="53"/>
      <c r="O417" s="68"/>
    </row>
    <row r="418" spans="1:15" s="17" customFormat="1" x14ac:dyDescent="0.2">
      <c r="A418" s="52"/>
      <c r="B418" s="27"/>
      <c r="C418" s="27"/>
      <c r="D418" s="27"/>
      <c r="E418" s="28"/>
      <c r="F418" s="28"/>
      <c r="G418" s="28"/>
      <c r="H418" s="28"/>
      <c r="I418" s="28"/>
      <c r="J418" s="229"/>
      <c r="K418" s="229"/>
      <c r="L418" s="229"/>
      <c r="M418" s="229"/>
      <c r="N418" s="53"/>
      <c r="O418" s="68"/>
    </row>
    <row r="419" spans="1:15" s="17" customFormat="1" x14ac:dyDescent="0.2">
      <c r="A419" s="52"/>
      <c r="B419" s="27"/>
      <c r="C419" s="27"/>
      <c r="D419" s="27"/>
      <c r="E419" s="28"/>
      <c r="F419" s="28"/>
      <c r="G419" s="28"/>
      <c r="H419" s="28"/>
      <c r="I419" s="28"/>
      <c r="J419" s="229"/>
      <c r="K419" s="229"/>
      <c r="L419" s="229"/>
      <c r="M419" s="229"/>
      <c r="N419" s="53"/>
      <c r="O419" s="68"/>
    </row>
    <row r="420" spans="1:15" s="17" customFormat="1" x14ac:dyDescent="0.2">
      <c r="A420" s="52"/>
      <c r="B420" s="27"/>
      <c r="C420" s="27"/>
      <c r="D420" s="27"/>
      <c r="E420" s="28"/>
      <c r="F420" s="28"/>
      <c r="G420" s="28"/>
      <c r="H420" s="28"/>
      <c r="I420" s="28"/>
      <c r="J420" s="229"/>
      <c r="K420" s="229"/>
      <c r="L420" s="229"/>
      <c r="M420" s="229"/>
      <c r="N420" s="53"/>
      <c r="O420" s="68"/>
    </row>
    <row r="421" spans="1:15" s="17" customFormat="1" x14ac:dyDescent="0.2">
      <c r="A421" s="52"/>
      <c r="B421" s="27"/>
      <c r="C421" s="27"/>
      <c r="D421" s="27"/>
      <c r="E421" s="28"/>
      <c r="F421" s="28"/>
      <c r="G421" s="28"/>
      <c r="H421" s="28"/>
      <c r="I421" s="28"/>
      <c r="J421" s="229"/>
      <c r="K421" s="229"/>
      <c r="L421" s="229"/>
      <c r="M421" s="229"/>
      <c r="N421" s="53"/>
      <c r="O421" s="68"/>
    </row>
    <row r="422" spans="1:15" s="17" customFormat="1" x14ac:dyDescent="0.2">
      <c r="A422" s="14"/>
      <c r="B422" s="15"/>
      <c r="C422" s="15"/>
      <c r="D422" s="15"/>
      <c r="E422" s="16"/>
      <c r="F422" s="16"/>
      <c r="G422" s="16"/>
      <c r="H422" s="16"/>
      <c r="I422" s="16"/>
      <c r="J422" s="16"/>
      <c r="K422" s="16"/>
      <c r="L422" s="16"/>
      <c r="M422" s="16"/>
      <c r="N422" s="16"/>
    </row>
    <row r="423" spans="1:15" s="17" customFormat="1" x14ac:dyDescent="0.2"/>
    <row r="424" spans="1:15" s="17" customFormat="1" x14ac:dyDescent="0.2"/>
    <row r="425" spans="1:15" s="17" customFormat="1" x14ac:dyDescent="0.2"/>
    <row r="426" spans="1:15" s="17" customFormat="1" x14ac:dyDescent="0.2"/>
    <row r="427" spans="1:15" s="17" customFormat="1" ht="13.5" thickBot="1" x14ac:dyDescent="0.25">
      <c r="A427" s="14"/>
      <c r="B427" s="15"/>
      <c r="C427" s="15"/>
      <c r="D427" s="15"/>
      <c r="E427" s="16"/>
      <c r="F427" s="16"/>
      <c r="G427" s="16"/>
      <c r="H427" s="16"/>
      <c r="I427" s="16"/>
      <c r="J427" s="16"/>
      <c r="K427" s="16"/>
      <c r="L427" s="16"/>
      <c r="M427" s="16"/>
      <c r="N427" s="16"/>
    </row>
    <row r="428" spans="1:15" s="17" customFormat="1" x14ac:dyDescent="0.2">
      <c r="A428" s="20"/>
      <c r="B428" s="21"/>
      <c r="C428" s="21"/>
      <c r="D428" s="21"/>
      <c r="E428" s="22"/>
      <c r="F428" s="22"/>
      <c r="G428" s="22"/>
      <c r="H428" s="22"/>
      <c r="I428" s="22"/>
      <c r="J428" s="22"/>
      <c r="K428" s="22"/>
      <c r="L428" s="22"/>
      <c r="M428" s="22"/>
      <c r="N428" s="23"/>
    </row>
    <row r="429" spans="1:15" s="17" customFormat="1" ht="15" x14ac:dyDescent="0.2">
      <c r="A429" s="24"/>
      <c r="B429" s="440" t="s">
        <v>564</v>
      </c>
      <c r="C429" s="441"/>
      <c r="D429" s="441"/>
      <c r="E429" s="441"/>
      <c r="F429" s="441"/>
      <c r="G429" s="441"/>
      <c r="H429" s="441"/>
      <c r="I429" s="441"/>
      <c r="J429" s="441"/>
      <c r="K429" s="441"/>
      <c r="L429" s="441"/>
      <c r="M429" s="442"/>
      <c r="N429" s="25" t="s">
        <v>1103</v>
      </c>
    </row>
    <row r="430" spans="1:15" s="17" customFormat="1" x14ac:dyDescent="0.2">
      <c r="A430" s="24"/>
      <c r="B430" s="26" t="s">
        <v>428</v>
      </c>
      <c r="C430" s="27" t="s">
        <v>449</v>
      </c>
      <c r="D430" s="27"/>
      <c r="E430" s="28"/>
      <c r="F430" s="28"/>
      <c r="G430" s="28"/>
      <c r="H430" s="28"/>
      <c r="I430" s="28"/>
      <c r="J430" s="28"/>
      <c r="K430" s="28"/>
      <c r="L430" s="28"/>
      <c r="M430" s="28"/>
      <c r="N430" s="29"/>
    </row>
    <row r="431" spans="1:15" s="17" customFormat="1" x14ac:dyDescent="0.2">
      <c r="A431" s="24"/>
      <c r="B431" s="26" t="s">
        <v>429</v>
      </c>
      <c r="C431" s="27" t="s">
        <v>795</v>
      </c>
      <c r="D431" s="27"/>
      <c r="E431" s="28"/>
      <c r="F431" s="28"/>
      <c r="G431" s="28"/>
      <c r="H431" s="28"/>
      <c r="I431" s="28"/>
      <c r="J431" s="28"/>
      <c r="K431" s="28"/>
      <c r="L431" s="28"/>
      <c r="M431" s="28"/>
      <c r="N431" s="29"/>
    </row>
    <row r="432" spans="1:15" s="17" customFormat="1" x14ac:dyDescent="0.2">
      <c r="A432" s="24"/>
      <c r="B432" s="26" t="s">
        <v>427</v>
      </c>
      <c r="C432" s="444" t="s">
        <v>1277</v>
      </c>
      <c r="D432" s="444"/>
      <c r="E432" s="444"/>
      <c r="F432" s="444"/>
      <c r="G432" s="444"/>
      <c r="H432" s="444"/>
      <c r="I432" s="444"/>
      <c r="J432" s="444"/>
      <c r="K432" s="444"/>
      <c r="L432" s="444"/>
      <c r="M432" s="444"/>
      <c r="N432" s="445"/>
    </row>
    <row r="433" spans="1:14" s="17" customFormat="1" x14ac:dyDescent="0.2">
      <c r="A433" s="24"/>
      <c r="B433" s="27"/>
      <c r="C433" s="444"/>
      <c r="D433" s="444"/>
      <c r="E433" s="444"/>
      <c r="F433" s="444"/>
      <c r="G433" s="444"/>
      <c r="H433" s="444"/>
      <c r="I433" s="444"/>
      <c r="J433" s="444"/>
      <c r="K433" s="444"/>
      <c r="L433" s="444"/>
      <c r="M433" s="444"/>
      <c r="N433" s="445"/>
    </row>
    <row r="434" spans="1:14" s="17" customFormat="1" x14ac:dyDescent="0.2">
      <c r="A434" s="24"/>
      <c r="B434" s="27"/>
      <c r="C434" s="446"/>
      <c r="D434" s="446"/>
      <c r="E434" s="446"/>
      <c r="F434" s="446"/>
      <c r="G434" s="446"/>
      <c r="H434" s="446"/>
      <c r="I434" s="446"/>
      <c r="J434" s="446"/>
      <c r="K434" s="446"/>
      <c r="L434" s="446"/>
      <c r="M434" s="446"/>
      <c r="N434" s="447"/>
    </row>
    <row r="435" spans="1:14" s="17" customFormat="1" x14ac:dyDescent="0.2">
      <c r="A435" s="24"/>
      <c r="B435" s="27"/>
      <c r="C435" s="446"/>
      <c r="D435" s="446"/>
      <c r="E435" s="446"/>
      <c r="F435" s="446"/>
      <c r="G435" s="446"/>
      <c r="H435" s="446"/>
      <c r="I435" s="446"/>
      <c r="J435" s="446"/>
      <c r="K435" s="446"/>
      <c r="L435" s="446"/>
      <c r="M435" s="446"/>
      <c r="N435" s="447"/>
    </row>
    <row r="436" spans="1:14" s="17" customFormat="1" x14ac:dyDescent="0.2">
      <c r="A436" s="24"/>
      <c r="B436" s="26" t="s">
        <v>426</v>
      </c>
      <c r="C436" s="27"/>
      <c r="D436" s="27"/>
      <c r="E436" s="28"/>
      <c r="F436" s="28"/>
      <c r="G436" s="28"/>
      <c r="H436" s="28"/>
      <c r="I436" s="28"/>
      <c r="J436" s="28"/>
      <c r="K436" s="28"/>
      <c r="L436" s="28"/>
      <c r="M436" s="28"/>
      <c r="N436" s="29"/>
    </row>
    <row r="437" spans="1:14" s="17" customFormat="1" ht="13.5" thickBot="1" x14ac:dyDescent="0.25">
      <c r="A437" s="30"/>
      <c r="B437" s="47" t="s">
        <v>430</v>
      </c>
      <c r="C437" s="31"/>
      <c r="D437" s="31"/>
      <c r="E437" s="32"/>
      <c r="F437" s="32"/>
      <c r="G437" s="32"/>
      <c r="H437" s="32"/>
      <c r="I437" s="32"/>
      <c r="J437" s="32"/>
      <c r="K437" s="32"/>
      <c r="L437" s="32"/>
      <c r="M437" s="32"/>
      <c r="N437" s="33"/>
    </row>
    <row r="438" spans="1:14" s="17" customFormat="1" x14ac:dyDescent="0.2">
      <c r="A438" s="20"/>
      <c r="B438" s="21" t="s">
        <v>263</v>
      </c>
      <c r="C438" s="21"/>
      <c r="D438" s="21"/>
      <c r="E438" s="22"/>
      <c r="F438" s="22"/>
      <c r="G438" s="22"/>
      <c r="H438" s="22"/>
      <c r="I438" s="22"/>
      <c r="J438" s="37" t="s">
        <v>339</v>
      </c>
      <c r="K438" s="37" t="s">
        <v>2145</v>
      </c>
      <c r="L438" s="37"/>
      <c r="M438" s="37"/>
      <c r="N438" s="37"/>
    </row>
    <row r="439" spans="1:14" s="17" customFormat="1" ht="13.5" thickBot="1" x14ac:dyDescent="0.25">
      <c r="A439" s="30"/>
      <c r="B439" s="31"/>
      <c r="C439" s="31"/>
      <c r="D439" s="31"/>
      <c r="E439" s="32"/>
      <c r="F439" s="32"/>
      <c r="G439" s="32"/>
      <c r="H439" s="32"/>
      <c r="I439" s="32"/>
      <c r="J439" s="40" t="s">
        <v>348</v>
      </c>
      <c r="K439" s="40" t="s">
        <v>2146</v>
      </c>
      <c r="L439" s="40" t="s">
        <v>1405</v>
      </c>
      <c r="M439" s="40" t="s">
        <v>1426</v>
      </c>
      <c r="N439" s="40"/>
    </row>
    <row r="440" spans="1:14" s="17" customFormat="1" x14ac:dyDescent="0.2">
      <c r="A440" s="20"/>
      <c r="B440" s="434" t="s">
        <v>67</v>
      </c>
      <c r="C440" s="434"/>
      <c r="D440" s="434"/>
      <c r="E440" s="22"/>
      <c r="F440" s="22" t="s">
        <v>1180</v>
      </c>
      <c r="G440" s="22" t="s">
        <v>1484</v>
      </c>
      <c r="H440" s="22" t="s">
        <v>702</v>
      </c>
      <c r="I440" s="22"/>
      <c r="J440" s="42">
        <f>72/ATHENS!O1*ATHENS!O2</f>
        <v>130.90909090909091</v>
      </c>
      <c r="K440" s="42">
        <f>95/ATHENS!O1*ATHENS!O2</f>
        <v>172.72727272727272</v>
      </c>
      <c r="L440" s="42">
        <f>146/ATHENS!O1*ATHENS!O2</f>
        <v>265.45454545454544</v>
      </c>
      <c r="M440" s="42">
        <f>116/ATHENS!O1*ATHENS!O2</f>
        <v>210.90909090909088</v>
      </c>
      <c r="N440" s="42"/>
    </row>
    <row r="441" spans="1:14" s="17" customFormat="1" x14ac:dyDescent="0.2">
      <c r="A441" s="24"/>
      <c r="B441" s="435" t="s">
        <v>67</v>
      </c>
      <c r="C441" s="435"/>
      <c r="D441" s="435"/>
      <c r="E441" s="28"/>
      <c r="F441" s="28" t="s">
        <v>1181</v>
      </c>
      <c r="G441" s="28" t="s">
        <v>1484</v>
      </c>
      <c r="H441" s="28" t="s">
        <v>702</v>
      </c>
      <c r="I441" s="28"/>
      <c r="J441" s="75">
        <f>39.5/ATHENS!O1*ATHENS!O2</f>
        <v>71.818181818181813</v>
      </c>
      <c r="K441" s="75">
        <f>51.5/ATHENS!O1*ATHENS!O2</f>
        <v>93.636363636363626</v>
      </c>
      <c r="L441" s="75">
        <f>158.8/ATHENS!O1*ATHENS!O2</f>
        <v>288.72727272727275</v>
      </c>
      <c r="M441" s="75">
        <f>63.5/ATHENS!O1*ATHENS!O2</f>
        <v>115.45454545454544</v>
      </c>
      <c r="N441" s="44"/>
    </row>
    <row r="442" spans="1:14" s="17" customFormat="1" ht="13.5" thickBot="1" x14ac:dyDescent="0.25">
      <c r="A442" s="30"/>
      <c r="B442" s="443" t="s">
        <v>67</v>
      </c>
      <c r="C442" s="443"/>
      <c r="D442" s="443"/>
      <c r="E442" s="32"/>
      <c r="F442" s="32" t="s">
        <v>1182</v>
      </c>
      <c r="G442" s="32" t="s">
        <v>1484</v>
      </c>
      <c r="H442" s="32" t="s">
        <v>702</v>
      </c>
      <c r="I442" s="32"/>
      <c r="J442" s="76">
        <f>36/ATHENS!O1*ATHENS!O2</f>
        <v>65.454545454545453</v>
      </c>
      <c r="K442" s="76">
        <f>46.8/ATHENS!O1*ATHENS!O2</f>
        <v>85.090909090909079</v>
      </c>
      <c r="L442" s="76">
        <f>143.5/ATHENS!O1*ATHENS!O2</f>
        <v>260.90909090909088</v>
      </c>
      <c r="M442" s="76">
        <f>57.6/ATHENS!O1*ATHENS!O2</f>
        <v>104.72727272727272</v>
      </c>
      <c r="N442" s="46"/>
    </row>
    <row r="443" spans="1:14" s="17" customFormat="1" ht="13.5" thickBot="1" x14ac:dyDescent="0.25">
      <c r="A443" s="52"/>
      <c r="B443" s="27"/>
      <c r="C443" s="27"/>
      <c r="D443" s="27"/>
      <c r="E443" s="28"/>
      <c r="F443" s="28"/>
      <c r="G443" s="28"/>
      <c r="H443" s="28"/>
      <c r="I443" s="28"/>
      <c r="J443" s="229"/>
      <c r="K443" s="229"/>
      <c r="L443" s="229"/>
      <c r="M443" s="229"/>
      <c r="N443" s="53"/>
    </row>
    <row r="444" spans="1:14" s="17" customFormat="1" x14ac:dyDescent="0.2">
      <c r="A444" s="20"/>
      <c r="B444" s="21"/>
      <c r="C444" s="21"/>
      <c r="D444" s="21"/>
      <c r="E444" s="22"/>
      <c r="F444" s="22"/>
      <c r="G444" s="22"/>
      <c r="H444" s="22"/>
      <c r="I444" s="22"/>
      <c r="J444" s="22"/>
      <c r="K444" s="22"/>
      <c r="L444" s="22"/>
      <c r="M444" s="22"/>
      <c r="N444" s="23"/>
    </row>
    <row r="445" spans="1:14" s="17" customFormat="1" ht="15" x14ac:dyDescent="0.2">
      <c r="A445" s="24"/>
      <c r="B445" s="440" t="s">
        <v>364</v>
      </c>
      <c r="C445" s="441"/>
      <c r="D445" s="441"/>
      <c r="E445" s="441"/>
      <c r="F445" s="441"/>
      <c r="G445" s="441"/>
      <c r="H445" s="441"/>
      <c r="I445" s="441"/>
      <c r="J445" s="441"/>
      <c r="K445" s="441"/>
      <c r="L445" s="441"/>
      <c r="M445" s="442"/>
      <c r="N445" s="25" t="s">
        <v>1101</v>
      </c>
    </row>
    <row r="446" spans="1:14" s="17" customFormat="1" x14ac:dyDescent="0.2">
      <c r="A446" s="24"/>
      <c r="B446" s="26" t="s">
        <v>428</v>
      </c>
      <c r="C446" s="27" t="s">
        <v>738</v>
      </c>
      <c r="D446" s="27"/>
      <c r="E446" s="28"/>
      <c r="F446" s="28"/>
      <c r="G446" s="28"/>
      <c r="H446" s="28"/>
      <c r="I446" s="28"/>
      <c r="J446" s="28"/>
      <c r="K446" s="28"/>
      <c r="L446" s="28"/>
      <c r="M446" s="28"/>
      <c r="N446" s="29"/>
    </row>
    <row r="447" spans="1:14" s="17" customFormat="1" x14ac:dyDescent="0.2">
      <c r="A447" s="24"/>
      <c r="B447" s="26" t="s">
        <v>429</v>
      </c>
      <c r="C447" s="27" t="s">
        <v>897</v>
      </c>
      <c r="D447" s="27"/>
      <c r="E447" s="28"/>
      <c r="F447" s="28"/>
      <c r="G447" s="28"/>
      <c r="H447" s="28"/>
      <c r="I447" s="28"/>
      <c r="J447" s="28"/>
      <c r="K447" s="28"/>
      <c r="L447" s="28"/>
      <c r="M447" s="28"/>
      <c r="N447" s="29"/>
    </row>
    <row r="448" spans="1:14" s="17" customFormat="1" x14ac:dyDescent="0.2">
      <c r="A448" s="24"/>
      <c r="B448" s="26" t="s">
        <v>427</v>
      </c>
      <c r="C448" s="436" t="s">
        <v>1278</v>
      </c>
      <c r="D448" s="436"/>
      <c r="E448" s="436"/>
      <c r="F448" s="436"/>
      <c r="G448" s="436"/>
      <c r="H448" s="436"/>
      <c r="I448" s="436"/>
      <c r="J448" s="436"/>
      <c r="K448" s="436"/>
      <c r="L448" s="436"/>
      <c r="M448" s="436"/>
      <c r="N448" s="437"/>
    </row>
    <row r="449" spans="1:14" s="17" customFormat="1" x14ac:dyDescent="0.2">
      <c r="A449" s="24"/>
      <c r="B449" s="15"/>
      <c r="C449" s="436"/>
      <c r="D449" s="436"/>
      <c r="E449" s="436"/>
      <c r="F449" s="436"/>
      <c r="G449" s="436"/>
      <c r="H449" s="436"/>
      <c r="I449" s="436"/>
      <c r="J449" s="436"/>
      <c r="K449" s="436"/>
      <c r="L449" s="436"/>
      <c r="M449" s="436"/>
      <c r="N449" s="437"/>
    </row>
    <row r="450" spans="1:14" s="17" customFormat="1" x14ac:dyDescent="0.2">
      <c r="A450" s="24"/>
      <c r="B450" s="26" t="s">
        <v>426</v>
      </c>
      <c r="C450" s="27" t="s">
        <v>365</v>
      </c>
      <c r="D450" s="27"/>
      <c r="E450" s="28"/>
      <c r="F450" s="28"/>
      <c r="G450" s="28"/>
      <c r="H450" s="27"/>
      <c r="I450" s="28"/>
      <c r="J450" s="28"/>
      <c r="K450" s="28"/>
      <c r="L450" s="28"/>
      <c r="M450" s="28"/>
      <c r="N450" s="29"/>
    </row>
    <row r="451" spans="1:14" s="17" customFormat="1" ht="13.5" thickBot="1" x14ac:dyDescent="0.25">
      <c r="A451" s="30"/>
      <c r="B451" s="26" t="s">
        <v>430</v>
      </c>
      <c r="C451" s="31" t="s">
        <v>900</v>
      </c>
      <c r="D451" s="31"/>
      <c r="E451" s="32"/>
      <c r="F451" s="32"/>
      <c r="G451" s="32"/>
      <c r="H451" s="32"/>
      <c r="I451" s="32"/>
      <c r="J451" s="32"/>
      <c r="K451" s="32"/>
      <c r="L451" s="32"/>
      <c r="M451" s="32"/>
      <c r="N451" s="33"/>
    </row>
    <row r="452" spans="1:14" s="17" customFormat="1" x14ac:dyDescent="0.2">
      <c r="A452" s="20"/>
      <c r="B452" s="21" t="s">
        <v>263</v>
      </c>
      <c r="C452" s="21"/>
      <c r="D452" s="21"/>
      <c r="E452" s="22"/>
      <c r="F452" s="22"/>
      <c r="G452" s="22"/>
      <c r="H452" s="22"/>
      <c r="I452" s="22"/>
      <c r="J452" s="48" t="s">
        <v>2144</v>
      </c>
      <c r="K452" s="37"/>
      <c r="L452" s="37"/>
      <c r="M452" s="37"/>
      <c r="N452" s="37"/>
    </row>
    <row r="453" spans="1:14" s="17" customFormat="1" ht="13.5" thickBot="1" x14ac:dyDescent="0.25">
      <c r="A453" s="30"/>
      <c r="B453" s="27"/>
      <c r="C453" s="31"/>
      <c r="D453" s="31"/>
      <c r="E453" s="32"/>
      <c r="F453" s="32"/>
      <c r="G453" s="32"/>
      <c r="H453" s="32"/>
      <c r="I453" s="32"/>
      <c r="J453" s="49" t="s">
        <v>481</v>
      </c>
      <c r="K453" s="40" t="s">
        <v>1581</v>
      </c>
      <c r="L453" s="40"/>
      <c r="M453" s="40"/>
      <c r="N453" s="40"/>
    </row>
    <row r="454" spans="1:14" s="17" customFormat="1" x14ac:dyDescent="0.2">
      <c r="A454" s="20"/>
      <c r="B454" s="434" t="s">
        <v>67</v>
      </c>
      <c r="C454" s="434"/>
      <c r="D454" s="434"/>
      <c r="E454" s="22"/>
      <c r="F454" s="22" t="s">
        <v>1180</v>
      </c>
      <c r="G454" s="22" t="s">
        <v>68</v>
      </c>
      <c r="H454" s="22" t="s">
        <v>702</v>
      </c>
      <c r="I454" s="22"/>
      <c r="J454" s="74">
        <f>135.5/ATHENS!O1*ATHENS!O2</f>
        <v>246.36363636363635</v>
      </c>
      <c r="K454" s="74">
        <f>146.5/ATHENS!O1*ATHENS!O2</f>
        <v>266.36363636363632</v>
      </c>
      <c r="L454" s="77"/>
      <c r="M454" s="42"/>
      <c r="N454" s="42"/>
    </row>
    <row r="455" spans="1:14" s="17" customFormat="1" x14ac:dyDescent="0.2">
      <c r="A455" s="24"/>
      <c r="B455" s="435" t="s">
        <v>67</v>
      </c>
      <c r="C455" s="435"/>
      <c r="D455" s="435"/>
      <c r="E455" s="28"/>
      <c r="F455" s="28" t="s">
        <v>1181</v>
      </c>
      <c r="G455" s="28" t="s">
        <v>68</v>
      </c>
      <c r="H455" s="28" t="s">
        <v>702</v>
      </c>
      <c r="I455" s="28"/>
      <c r="J455" s="75">
        <f>76.5/ATHENS!O1*ATHENS!O2</f>
        <v>139.09090909090909</v>
      </c>
      <c r="K455" s="75">
        <f>80.8/ATHENS!O1*ATHENS!O2</f>
        <v>146.90909090909088</v>
      </c>
      <c r="L455" s="75"/>
      <c r="M455" s="44"/>
      <c r="N455" s="44"/>
    </row>
    <row r="456" spans="1:14" s="17" customFormat="1" ht="13.5" thickBot="1" x14ac:dyDescent="0.25">
      <c r="A456" s="30"/>
      <c r="B456" s="443" t="s">
        <v>901</v>
      </c>
      <c r="C456" s="443"/>
      <c r="D456" s="443"/>
      <c r="E456" s="32"/>
      <c r="F456" s="32" t="s">
        <v>518</v>
      </c>
      <c r="G456" s="32" t="s">
        <v>68</v>
      </c>
      <c r="H456" s="32" t="s">
        <v>702</v>
      </c>
      <c r="I456" s="32"/>
      <c r="J456" s="76">
        <f>104.9/ATHENS!O1*ATHENS!O2</f>
        <v>190.72727272727272</v>
      </c>
      <c r="K456" s="76">
        <f>108.5/ATHENS!O1*ATHENS!O2</f>
        <v>197.27272727272725</v>
      </c>
      <c r="L456" s="76"/>
      <c r="M456" s="46"/>
      <c r="N456" s="46"/>
    </row>
    <row r="457" spans="1:14" s="17" customFormat="1" ht="13.5" thickBot="1" x14ac:dyDescent="0.25">
      <c r="A457" s="52"/>
      <c r="B457" s="27"/>
      <c r="C457" s="27"/>
      <c r="D457" s="27"/>
      <c r="E457" s="28"/>
      <c r="F457" s="28"/>
      <c r="G457" s="28"/>
      <c r="H457" s="28"/>
      <c r="I457" s="28"/>
      <c r="J457" s="229"/>
      <c r="K457" s="229"/>
      <c r="L457" s="229"/>
      <c r="M457" s="229"/>
      <c r="N457" s="53"/>
    </row>
    <row r="458" spans="1:14" s="17" customFormat="1" x14ac:dyDescent="0.2">
      <c r="A458" s="20"/>
      <c r="B458" s="21"/>
      <c r="C458" s="21"/>
      <c r="D458" s="21"/>
      <c r="E458" s="22"/>
      <c r="F458" s="22"/>
      <c r="G458" s="22"/>
      <c r="H458" s="22"/>
      <c r="I458" s="22"/>
      <c r="J458" s="22"/>
      <c r="K458" s="22"/>
      <c r="L458" s="22"/>
      <c r="M458" s="22"/>
      <c r="N458" s="23"/>
    </row>
    <row r="459" spans="1:14" s="17" customFormat="1" ht="15" x14ac:dyDescent="0.2">
      <c r="A459" s="24"/>
      <c r="B459" s="440" t="s">
        <v>540</v>
      </c>
      <c r="C459" s="441"/>
      <c r="D459" s="441"/>
      <c r="E459" s="441"/>
      <c r="F459" s="441"/>
      <c r="G459" s="441"/>
      <c r="H459" s="441"/>
      <c r="I459" s="441"/>
      <c r="J459" s="441"/>
      <c r="K459" s="441"/>
      <c r="L459" s="441"/>
      <c r="M459" s="442"/>
      <c r="N459" s="25" t="s">
        <v>1102</v>
      </c>
    </row>
    <row r="460" spans="1:14" s="17" customFormat="1" x14ac:dyDescent="0.2">
      <c r="A460" s="24"/>
      <c r="B460" s="26" t="s">
        <v>428</v>
      </c>
      <c r="C460" s="27" t="s">
        <v>541</v>
      </c>
      <c r="D460" s="27"/>
      <c r="E460" s="28"/>
      <c r="F460" s="28"/>
      <c r="G460" s="28"/>
      <c r="H460" s="28"/>
      <c r="I460" s="28"/>
      <c r="J460" s="28"/>
      <c r="K460" s="28"/>
      <c r="L460" s="28"/>
      <c r="M460" s="28"/>
      <c r="N460" s="29"/>
    </row>
    <row r="461" spans="1:14" s="17" customFormat="1" x14ac:dyDescent="0.2">
      <c r="A461" s="24"/>
      <c r="B461" s="26" t="s">
        <v>429</v>
      </c>
      <c r="C461" s="27" t="s">
        <v>377</v>
      </c>
      <c r="D461" s="27"/>
      <c r="E461" s="28"/>
      <c r="F461" s="28"/>
      <c r="G461" s="28"/>
      <c r="H461" s="28"/>
      <c r="I461" s="28"/>
      <c r="J461" s="28"/>
      <c r="K461" s="28"/>
      <c r="L461" s="28"/>
      <c r="M461" s="28"/>
      <c r="N461" s="29"/>
    </row>
    <row r="462" spans="1:14" s="17" customFormat="1" x14ac:dyDescent="0.2">
      <c r="A462" s="24"/>
      <c r="B462" s="26" t="s">
        <v>427</v>
      </c>
      <c r="C462" s="444" t="s">
        <v>1279</v>
      </c>
      <c r="D462" s="444"/>
      <c r="E462" s="444"/>
      <c r="F462" s="444"/>
      <c r="G462" s="444"/>
      <c r="H462" s="444"/>
      <c r="I462" s="444"/>
      <c r="J462" s="444"/>
      <c r="K462" s="444"/>
      <c r="L462" s="444"/>
      <c r="M462" s="444"/>
      <c r="N462" s="445"/>
    </row>
    <row r="463" spans="1:14" s="17" customFormat="1" x14ac:dyDescent="0.2">
      <c r="A463" s="24"/>
      <c r="B463" s="15"/>
      <c r="C463" s="444"/>
      <c r="D463" s="444"/>
      <c r="E463" s="444"/>
      <c r="F463" s="444"/>
      <c r="G463" s="444"/>
      <c r="H463" s="444"/>
      <c r="I463" s="444"/>
      <c r="J463" s="444"/>
      <c r="K463" s="444"/>
      <c r="L463" s="444"/>
      <c r="M463" s="444"/>
      <c r="N463" s="445"/>
    </row>
    <row r="464" spans="1:14" s="17" customFormat="1" x14ac:dyDescent="0.2">
      <c r="A464" s="24"/>
      <c r="B464" s="15"/>
      <c r="C464" s="446"/>
      <c r="D464" s="446"/>
      <c r="E464" s="446"/>
      <c r="F464" s="446"/>
      <c r="G464" s="446"/>
      <c r="H464" s="446"/>
      <c r="I464" s="446"/>
      <c r="J464" s="446"/>
      <c r="K464" s="446"/>
      <c r="L464" s="446"/>
      <c r="M464" s="446"/>
      <c r="N464" s="447"/>
    </row>
    <row r="465" spans="1:14" s="17" customFormat="1" x14ac:dyDescent="0.2">
      <c r="A465" s="24"/>
      <c r="B465" s="15"/>
      <c r="C465" s="446"/>
      <c r="D465" s="446"/>
      <c r="E465" s="446"/>
      <c r="F465" s="446"/>
      <c r="G465" s="446"/>
      <c r="H465" s="446"/>
      <c r="I465" s="446"/>
      <c r="J465" s="446"/>
      <c r="K465" s="446"/>
      <c r="L465" s="446"/>
      <c r="M465" s="446"/>
      <c r="N465" s="447"/>
    </row>
    <row r="466" spans="1:14" s="17" customFormat="1" x14ac:dyDescent="0.2">
      <c r="A466" s="24"/>
      <c r="B466" s="26" t="s">
        <v>426</v>
      </c>
      <c r="C466" s="27" t="s">
        <v>448</v>
      </c>
      <c r="D466" s="27"/>
      <c r="E466" s="28"/>
      <c r="F466" s="28"/>
      <c r="G466" s="28"/>
      <c r="H466" s="28"/>
      <c r="I466" s="28"/>
      <c r="J466" s="28"/>
      <c r="K466" s="28"/>
      <c r="L466" s="28"/>
      <c r="M466" s="28"/>
      <c r="N466" s="29"/>
    </row>
    <row r="467" spans="1:14" s="17" customFormat="1" ht="13.5" thickBot="1" x14ac:dyDescent="0.25">
      <c r="A467" s="30"/>
      <c r="B467" s="47" t="s">
        <v>430</v>
      </c>
      <c r="C467" s="31"/>
      <c r="D467" s="31"/>
      <c r="E467" s="32"/>
      <c r="F467" s="32"/>
      <c r="G467" s="32"/>
      <c r="H467" s="32"/>
      <c r="I467" s="32"/>
      <c r="J467" s="32"/>
      <c r="K467" s="32"/>
      <c r="L467" s="32"/>
      <c r="M467" s="32"/>
      <c r="N467" s="33"/>
    </row>
    <row r="468" spans="1:14" s="17" customFormat="1" x14ac:dyDescent="0.2">
      <c r="A468" s="20"/>
      <c r="B468" s="21" t="s">
        <v>263</v>
      </c>
      <c r="C468" s="21"/>
      <c r="D468" s="21"/>
      <c r="E468" s="22"/>
      <c r="F468" s="22"/>
      <c r="G468" s="22"/>
      <c r="H468" s="22"/>
      <c r="I468" s="22"/>
      <c r="J468" s="107" t="s">
        <v>908</v>
      </c>
      <c r="K468" s="51"/>
      <c r="L468" s="51"/>
      <c r="M468" s="37"/>
      <c r="N468" s="37"/>
    </row>
    <row r="469" spans="1:14" s="17" customFormat="1" ht="13.5" thickBot="1" x14ac:dyDescent="0.25">
      <c r="A469" s="30"/>
      <c r="B469" s="31"/>
      <c r="C469" s="31"/>
      <c r="D469" s="31"/>
      <c r="E469" s="32"/>
      <c r="F469" s="32"/>
      <c r="G469" s="32"/>
      <c r="H469" s="32"/>
      <c r="I469" s="32"/>
      <c r="J469" s="99" t="s">
        <v>481</v>
      </c>
      <c r="K469" s="49" t="s">
        <v>221</v>
      </c>
      <c r="L469" s="49"/>
      <c r="M469" s="40"/>
      <c r="N469" s="40"/>
    </row>
    <row r="470" spans="1:14" s="17" customFormat="1" x14ac:dyDescent="0.2">
      <c r="A470" s="20"/>
      <c r="B470" s="434" t="s">
        <v>67</v>
      </c>
      <c r="C470" s="434"/>
      <c r="D470" s="434"/>
      <c r="E470" s="22"/>
      <c r="F470" s="22" t="s">
        <v>1180</v>
      </c>
      <c r="G470" s="22" t="s">
        <v>68</v>
      </c>
      <c r="H470" s="22" t="s">
        <v>702</v>
      </c>
      <c r="I470" s="22"/>
      <c r="J470" s="102">
        <f>70.8/ATHENS!O1*ATHENS!O2</f>
        <v>128.72727272727272</v>
      </c>
      <c r="K470" s="100">
        <f>75.5/ATHENS!O1*ATHENS!O2</f>
        <v>137.27272727272725</v>
      </c>
      <c r="L470" s="100"/>
      <c r="M470" s="44"/>
      <c r="N470" s="42"/>
    </row>
    <row r="471" spans="1:14" s="17" customFormat="1" x14ac:dyDescent="0.2">
      <c r="A471" s="24"/>
      <c r="B471" s="27" t="s">
        <v>67</v>
      </c>
      <c r="C471" s="27"/>
      <c r="D471" s="27"/>
      <c r="E471" s="28"/>
      <c r="F471" s="28" t="s">
        <v>1181</v>
      </c>
      <c r="G471" s="28" t="s">
        <v>68</v>
      </c>
      <c r="H471" s="28" t="s">
        <v>702</v>
      </c>
      <c r="I471" s="28"/>
      <c r="J471" s="102">
        <f>41.5/ATHENS!O1*ATHENS!O2</f>
        <v>75.454545454545453</v>
      </c>
      <c r="K471" s="100">
        <f>44.5/ATHENS!O1*ATHENS!O2</f>
        <v>80.909090909090907</v>
      </c>
      <c r="L471" s="100"/>
      <c r="M471" s="44"/>
      <c r="N471" s="44"/>
    </row>
    <row r="472" spans="1:14" s="17" customFormat="1" ht="13.5" thickBot="1" x14ac:dyDescent="0.25">
      <c r="A472" s="30"/>
      <c r="B472" s="443" t="s">
        <v>227</v>
      </c>
      <c r="C472" s="443"/>
      <c r="D472" s="443"/>
      <c r="E472" s="32"/>
      <c r="F472" s="32" t="s">
        <v>1181</v>
      </c>
      <c r="G472" s="32" t="s">
        <v>68</v>
      </c>
      <c r="H472" s="32" t="s">
        <v>702</v>
      </c>
      <c r="I472" s="32"/>
      <c r="J472" s="105">
        <f>49.5/ATHENS!O1*ATHENS!O2</f>
        <v>89.999999999999986</v>
      </c>
      <c r="K472" s="105">
        <f>53.5/ATHENS!O1*ATHENS!O2</f>
        <v>97.272727272727266</v>
      </c>
      <c r="L472" s="105"/>
      <c r="M472" s="46"/>
      <c r="N472" s="46"/>
    </row>
    <row r="473" spans="1:14" s="17" customFormat="1" x14ac:dyDescent="0.2">
      <c r="A473" s="52"/>
      <c r="B473" s="27"/>
      <c r="C473" s="27"/>
      <c r="D473" s="27"/>
      <c r="E473" s="28"/>
      <c r="F473" s="28"/>
      <c r="G473" s="28"/>
      <c r="H473" s="28"/>
      <c r="I473" s="28"/>
      <c r="J473" s="229"/>
      <c r="K473" s="229"/>
      <c r="L473" s="229"/>
      <c r="M473" s="229"/>
      <c r="N473" s="53"/>
    </row>
    <row r="474" spans="1:14" s="17" customFormat="1" x14ac:dyDescent="0.2">
      <c r="A474" s="52"/>
      <c r="B474" s="27"/>
      <c r="C474" s="27"/>
      <c r="D474" s="27"/>
      <c r="E474" s="28"/>
      <c r="F474" s="28"/>
      <c r="G474" s="28"/>
      <c r="H474" s="28"/>
      <c r="I474" s="28"/>
      <c r="J474" s="229"/>
      <c r="K474" s="229"/>
      <c r="L474" s="229"/>
      <c r="M474" s="229"/>
      <c r="N474" s="53"/>
    </row>
    <row r="475" spans="1:14" s="17" customFormat="1" x14ac:dyDescent="0.2">
      <c r="A475" s="14"/>
      <c r="B475" s="15"/>
      <c r="C475" s="15"/>
      <c r="D475" s="15"/>
      <c r="E475" s="16"/>
      <c r="F475" s="16"/>
      <c r="G475" s="16"/>
      <c r="H475" s="16"/>
      <c r="I475" s="16"/>
      <c r="J475" s="16"/>
      <c r="K475" s="16"/>
      <c r="L475" s="16"/>
      <c r="M475" s="16"/>
      <c r="N475" s="16"/>
    </row>
    <row r="476" spans="1:14" s="17" customFormat="1" ht="13.5" thickBot="1" x14ac:dyDescent="0.25"/>
    <row r="477" spans="1:14" s="17" customFormat="1" x14ac:dyDescent="0.2">
      <c r="A477" s="20"/>
      <c r="B477" s="21"/>
      <c r="C477" s="21"/>
      <c r="D477" s="21"/>
      <c r="E477" s="22"/>
      <c r="F477" s="22"/>
      <c r="G477" s="22"/>
      <c r="H477" s="22"/>
      <c r="I477" s="22"/>
      <c r="J477" s="22"/>
      <c r="K477" s="22"/>
      <c r="L477" s="22"/>
      <c r="M477" s="22"/>
      <c r="N477" s="23"/>
    </row>
    <row r="478" spans="1:14" s="17" customFormat="1" ht="15" x14ac:dyDescent="0.2">
      <c r="A478" s="24"/>
      <c r="B478" s="440" t="s">
        <v>853</v>
      </c>
      <c r="C478" s="441"/>
      <c r="D478" s="441"/>
      <c r="E478" s="441"/>
      <c r="F478" s="441"/>
      <c r="G478" s="441"/>
      <c r="H478" s="441"/>
      <c r="I478" s="441"/>
      <c r="J478" s="441"/>
      <c r="K478" s="441"/>
      <c r="L478" s="441"/>
      <c r="M478" s="442"/>
      <c r="N478" s="25" t="s">
        <v>1102</v>
      </c>
    </row>
    <row r="479" spans="1:14" s="17" customFormat="1" x14ac:dyDescent="0.2">
      <c r="A479" s="24"/>
      <c r="B479" s="26" t="s">
        <v>428</v>
      </c>
      <c r="C479" s="27" t="s">
        <v>854</v>
      </c>
      <c r="D479" s="27"/>
      <c r="E479" s="28"/>
      <c r="F479" s="28"/>
      <c r="G479" s="28"/>
      <c r="H479" s="28"/>
      <c r="I479" s="28"/>
      <c r="J479" s="28"/>
      <c r="K479" s="28"/>
      <c r="L479" s="28"/>
      <c r="M479" s="28"/>
      <c r="N479" s="29"/>
    </row>
    <row r="480" spans="1:14" s="17" customFormat="1" x14ac:dyDescent="0.2">
      <c r="A480" s="24"/>
      <c r="B480" s="26" t="s">
        <v>429</v>
      </c>
      <c r="C480" s="27" t="s">
        <v>855</v>
      </c>
      <c r="D480" s="27"/>
      <c r="E480" s="28"/>
      <c r="F480" s="28"/>
      <c r="G480" s="28"/>
      <c r="H480" s="28"/>
      <c r="I480" s="28"/>
      <c r="J480" s="28"/>
      <c r="K480" s="28"/>
      <c r="L480" s="28"/>
      <c r="M480" s="28"/>
      <c r="N480" s="29"/>
    </row>
    <row r="481" spans="1:14" s="17" customFormat="1" x14ac:dyDescent="0.2">
      <c r="A481" s="24"/>
      <c r="B481" s="26" t="s">
        <v>427</v>
      </c>
      <c r="C481" s="444" t="s">
        <v>1280</v>
      </c>
      <c r="D481" s="444"/>
      <c r="E481" s="444"/>
      <c r="F481" s="444"/>
      <c r="G481" s="444"/>
      <c r="H481" s="444"/>
      <c r="I481" s="444"/>
      <c r="J481" s="444"/>
      <c r="K481" s="444"/>
      <c r="L481" s="444"/>
      <c r="M481" s="444"/>
      <c r="N481" s="445"/>
    </row>
    <row r="482" spans="1:14" s="17" customFormat="1" x14ac:dyDescent="0.2">
      <c r="A482" s="24"/>
      <c r="B482" s="15"/>
      <c r="C482" s="444"/>
      <c r="D482" s="444"/>
      <c r="E482" s="444"/>
      <c r="F482" s="444"/>
      <c r="G482" s="444"/>
      <c r="H482" s="444"/>
      <c r="I482" s="444"/>
      <c r="J482" s="444"/>
      <c r="K482" s="444"/>
      <c r="L482" s="444"/>
      <c r="M482" s="444"/>
      <c r="N482" s="445"/>
    </row>
    <row r="483" spans="1:14" s="17" customFormat="1" x14ac:dyDescent="0.2">
      <c r="A483" s="24"/>
      <c r="B483" s="15"/>
      <c r="C483" s="446"/>
      <c r="D483" s="446"/>
      <c r="E483" s="446"/>
      <c r="F483" s="446"/>
      <c r="G483" s="446"/>
      <c r="H483" s="446"/>
      <c r="I483" s="446"/>
      <c r="J483" s="446"/>
      <c r="K483" s="446"/>
      <c r="L483" s="446"/>
      <c r="M483" s="446"/>
      <c r="N483" s="447"/>
    </row>
    <row r="484" spans="1:14" s="17" customFormat="1" x14ac:dyDescent="0.2">
      <c r="A484" s="24"/>
      <c r="B484" s="26" t="s">
        <v>426</v>
      </c>
      <c r="C484" s="27"/>
      <c r="D484" s="27"/>
      <c r="E484" s="28"/>
      <c r="F484" s="28"/>
      <c r="G484" s="28"/>
      <c r="H484" s="28"/>
      <c r="I484" s="28"/>
      <c r="J484" s="28"/>
      <c r="K484" s="28"/>
      <c r="L484" s="28"/>
      <c r="M484" s="28"/>
      <c r="N484" s="29"/>
    </row>
    <row r="485" spans="1:14" s="17" customFormat="1" x14ac:dyDescent="0.2">
      <c r="A485" s="24"/>
      <c r="B485" s="26" t="s">
        <v>430</v>
      </c>
      <c r="C485" s="27"/>
      <c r="D485" s="27"/>
      <c r="E485" s="28"/>
      <c r="F485" s="28"/>
      <c r="G485" s="28"/>
      <c r="H485" s="28"/>
      <c r="I485" s="28"/>
      <c r="J485" s="28"/>
      <c r="K485" s="28"/>
      <c r="L485" s="28"/>
      <c r="M485" s="28"/>
      <c r="N485" s="29"/>
    </row>
    <row r="486" spans="1:14" s="17" customFormat="1" x14ac:dyDescent="0.2">
      <c r="A486" s="337"/>
      <c r="B486" s="325" t="s">
        <v>263</v>
      </c>
      <c r="C486" s="325"/>
      <c r="D486" s="325"/>
      <c r="E486" s="326"/>
      <c r="F486" s="326"/>
      <c r="G486" s="326"/>
      <c r="H486" s="326"/>
      <c r="I486" s="326"/>
      <c r="J486" s="341" t="s">
        <v>521</v>
      </c>
      <c r="K486" s="341" t="s">
        <v>1401</v>
      </c>
      <c r="L486" s="342"/>
      <c r="M486" s="342"/>
      <c r="N486" s="343"/>
    </row>
    <row r="487" spans="1:14" s="17" customFormat="1" x14ac:dyDescent="0.2">
      <c r="A487" s="338"/>
      <c r="B487" s="27"/>
      <c r="C487" s="27"/>
      <c r="D487" s="27"/>
      <c r="E487" s="28"/>
      <c r="F487" s="28"/>
      <c r="G487" s="28"/>
      <c r="H487" s="28"/>
      <c r="I487" s="28"/>
      <c r="J487" s="62" t="s">
        <v>833</v>
      </c>
      <c r="K487" s="62" t="s">
        <v>754</v>
      </c>
      <c r="L487" s="63" t="s">
        <v>1100</v>
      </c>
      <c r="M487" s="63"/>
      <c r="N487" s="344"/>
    </row>
    <row r="488" spans="1:14" s="17" customFormat="1" x14ac:dyDescent="0.2">
      <c r="A488" s="337"/>
      <c r="B488" s="454" t="s">
        <v>67</v>
      </c>
      <c r="C488" s="454"/>
      <c r="D488" s="454"/>
      <c r="E488" s="326"/>
      <c r="F488" s="326" t="s">
        <v>1180</v>
      </c>
      <c r="G488" s="326" t="s">
        <v>68</v>
      </c>
      <c r="H488" s="326" t="s">
        <v>702</v>
      </c>
      <c r="I488" s="326"/>
      <c r="J488" s="327">
        <f>49.5/ATHENS!O1*ATHENS!O2</f>
        <v>89.999999999999986</v>
      </c>
      <c r="K488" s="327">
        <f>53/ATHENS!O1*ATHENS!O2</f>
        <v>96.36363636363636</v>
      </c>
      <c r="L488" s="327">
        <f>56.5/ATHENS!O1*ATHENS!O2</f>
        <v>102.72727272727272</v>
      </c>
      <c r="M488" s="328"/>
      <c r="N488" s="329"/>
    </row>
    <row r="489" spans="1:14" s="17" customFormat="1" x14ac:dyDescent="0.2">
      <c r="A489" s="338"/>
      <c r="B489" s="435" t="s">
        <v>67</v>
      </c>
      <c r="C489" s="435"/>
      <c r="D489" s="435"/>
      <c r="E489" s="28"/>
      <c r="F489" s="28" t="s">
        <v>1181</v>
      </c>
      <c r="G489" s="28" t="s">
        <v>68</v>
      </c>
      <c r="H489" s="28" t="s">
        <v>702</v>
      </c>
      <c r="I489" s="28"/>
      <c r="J489" s="75">
        <f>30.5/ATHENS!O1*ATHENS!O2</f>
        <v>55.454545454545453</v>
      </c>
      <c r="K489" s="75">
        <f>31.8/ATHENS!O1*ATHENS!O2</f>
        <v>57.818181818181813</v>
      </c>
      <c r="L489" s="75">
        <f>34.5/ATHENS!O1*ATHENS!O2</f>
        <v>62.72727272727272</v>
      </c>
      <c r="M489" s="44"/>
      <c r="N489" s="330"/>
    </row>
    <row r="490" spans="1:14" s="17" customFormat="1" x14ac:dyDescent="0.2">
      <c r="A490" s="339"/>
      <c r="B490" s="451" t="s">
        <v>67</v>
      </c>
      <c r="C490" s="451"/>
      <c r="D490" s="451"/>
      <c r="E490" s="333"/>
      <c r="F490" s="333" t="s">
        <v>1182</v>
      </c>
      <c r="G490" s="333" t="s">
        <v>68</v>
      </c>
      <c r="H490" s="333" t="s">
        <v>702</v>
      </c>
      <c r="I490" s="333"/>
      <c r="J490" s="334">
        <f>28.5/ATHENS!O1*ATHENS!O2</f>
        <v>51.818181818181813</v>
      </c>
      <c r="K490" s="334">
        <f>29.6/ATHENS!O1*ATHENS!O2</f>
        <v>53.818181818181813</v>
      </c>
      <c r="L490" s="334">
        <f>32.6/ATHENS!O1*ATHENS!O2</f>
        <v>59.272727272727273</v>
      </c>
      <c r="M490" s="335"/>
      <c r="N490" s="336"/>
    </row>
  </sheetData>
  <customSheetViews>
    <customSheetView guid="{3C76061C-A85D-4390-B9DB-73E13038638C}" showPageBreaks="1" showGridLines="0" view="pageLayout" topLeftCell="A470">
      <selection activeCell="M51" sqref="M51"/>
      <rowBreaks count="6" manualBreakCount="6">
        <brk id="104" max="16383" man="1"/>
        <brk id="154" max="16383" man="1"/>
        <brk id="262" max="16383" man="1"/>
        <brk id="310" max="16383" man="1"/>
        <brk id="422" max="16383" man="1"/>
        <brk id="475" max="16383" man="1"/>
      </rowBreaks>
      <pageMargins left="0.28125" right="0.25" top="0.6692913385826772" bottom="0.70866141732283472" header="0.23622047244094491" footer="0.47244094488188981"/>
      <printOptions horizontalCentered="1"/>
      <pageSetup paperSize="9" firstPageNumber="34"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 guid="{777CFE61-6F99-11D9-974B-0050BFD074B6}" showRuler="0">
      <selection activeCell="K14" sqref="K14:N18"/>
      <pageMargins left="0" right="0" top="0" bottom="0" header="0" footer="0"/>
      <pageSetup paperSize="9" orientation="portrait" horizontalDpi="4294967293" verticalDpi="300" r:id="rId2"/>
      <headerFooter alignWithMargins="0"/>
    </customSheetView>
  </customSheetViews>
  <mergeCells count="120">
    <mergeCell ref="C69:N70"/>
    <mergeCell ref="B75:D75"/>
    <mergeCell ref="B76:D76"/>
    <mergeCell ref="B78:D78"/>
    <mergeCell ref="C180:N183"/>
    <mergeCell ref="B190:D190"/>
    <mergeCell ref="B191:D191"/>
    <mergeCell ref="B127:M127"/>
    <mergeCell ref="B177:M177"/>
    <mergeCell ref="B158:M158"/>
    <mergeCell ref="B172:D172"/>
    <mergeCell ref="C161:N164"/>
    <mergeCell ref="B173:D173"/>
    <mergeCell ref="B142:D142"/>
    <mergeCell ref="B208:D208"/>
    <mergeCell ref="B209:D209"/>
    <mergeCell ref="B207:D207"/>
    <mergeCell ref="B216:M216"/>
    <mergeCell ref="B226:D226"/>
    <mergeCell ref="B258:D258"/>
    <mergeCell ref="B230:M230"/>
    <mergeCell ref="B139:D139"/>
    <mergeCell ref="C130:N133"/>
    <mergeCell ref="C200:N202"/>
    <mergeCell ref="B197:M197"/>
    <mergeCell ref="B225:D225"/>
    <mergeCell ref="B257:D257"/>
    <mergeCell ref="C249:N251"/>
    <mergeCell ref="B246:M246"/>
    <mergeCell ref="B241:D241"/>
    <mergeCell ref="B242:D242"/>
    <mergeCell ref="B243:D243"/>
    <mergeCell ref="C219:N220"/>
    <mergeCell ref="B2:M2"/>
    <mergeCell ref="B19:D19"/>
    <mergeCell ref="B20:D20"/>
    <mergeCell ref="B16:D16"/>
    <mergeCell ref="C5:N10"/>
    <mergeCell ref="B109:M109"/>
    <mergeCell ref="C112:N116"/>
    <mergeCell ref="B122:D122"/>
    <mergeCell ref="B124:D124"/>
    <mergeCell ref="B123:D123"/>
    <mergeCell ref="B44:D44"/>
    <mergeCell ref="C84:N86"/>
    <mergeCell ref="B81:M81"/>
    <mergeCell ref="B91:D91"/>
    <mergeCell ref="B92:D92"/>
    <mergeCell ref="B17:D17"/>
    <mergeCell ref="B18:D18"/>
    <mergeCell ref="B21:D21"/>
    <mergeCell ref="B93:D93"/>
    <mergeCell ref="B25:M25"/>
    <mergeCell ref="B42:D42"/>
    <mergeCell ref="B43:D43"/>
    <mergeCell ref="C28:N36"/>
    <mergeCell ref="B66:M66"/>
    <mergeCell ref="B478:M478"/>
    <mergeCell ref="B488:D488"/>
    <mergeCell ref="B489:D489"/>
    <mergeCell ref="B490:D490"/>
    <mergeCell ref="B291:D291"/>
    <mergeCell ref="C282:N286"/>
    <mergeCell ref="B265:M265"/>
    <mergeCell ref="C233:N236"/>
    <mergeCell ref="B456:D456"/>
    <mergeCell ref="B441:D441"/>
    <mergeCell ref="C481:N483"/>
    <mergeCell ref="B356:D356"/>
    <mergeCell ref="B470:D470"/>
    <mergeCell ref="B454:D454"/>
    <mergeCell ref="B398:D398"/>
    <mergeCell ref="C390:N391"/>
    <mergeCell ref="C462:N465"/>
    <mergeCell ref="B384:D384"/>
    <mergeCell ref="B429:M429"/>
    <mergeCell ref="B256:D256"/>
    <mergeCell ref="C268:N270"/>
    <mergeCell ref="B342:D342"/>
    <mergeCell ref="B341:D341"/>
    <mergeCell ref="B279:M279"/>
    <mergeCell ref="B472:D472"/>
    <mergeCell ref="B227:D227"/>
    <mergeCell ref="B339:D339"/>
    <mergeCell ref="B340:D340"/>
    <mergeCell ref="B276:D276"/>
    <mergeCell ref="B324:D324"/>
    <mergeCell ref="C432:N435"/>
    <mergeCell ref="B445:M445"/>
    <mergeCell ref="B455:D455"/>
    <mergeCell ref="B355:D355"/>
    <mergeCell ref="B328:M328"/>
    <mergeCell ref="B293:D293"/>
    <mergeCell ref="B382:D382"/>
    <mergeCell ref="B383:D383"/>
    <mergeCell ref="C348:N350"/>
    <mergeCell ref="B372:M372"/>
    <mergeCell ref="B413:D413"/>
    <mergeCell ref="B411:D411"/>
    <mergeCell ref="B401:M401"/>
    <mergeCell ref="B442:D442"/>
    <mergeCell ref="B440:D440"/>
    <mergeCell ref="B397:D397"/>
    <mergeCell ref="B459:M459"/>
    <mergeCell ref="B412:D412"/>
    <mergeCell ref="C404:N406"/>
    <mergeCell ref="C448:N449"/>
    <mergeCell ref="B292:D292"/>
    <mergeCell ref="B275:D275"/>
    <mergeCell ref="B294:D294"/>
    <mergeCell ref="B295:D295"/>
    <mergeCell ref="B314:M314"/>
    <mergeCell ref="C317:N318"/>
    <mergeCell ref="B323:D323"/>
    <mergeCell ref="B387:M387"/>
    <mergeCell ref="B396:D396"/>
    <mergeCell ref="B345:M345"/>
    <mergeCell ref="C375:N377"/>
    <mergeCell ref="B358:D358"/>
    <mergeCell ref="C331:N334"/>
  </mergeCells>
  <phoneticPr fontId="0" type="noConversion"/>
  <hyperlinks>
    <hyperlink ref="B109:M109" r:id="rId3" display="Creta Maris" xr:uid="{00000000-0004-0000-0C00-000000000000}"/>
    <hyperlink ref="B177:M177" r:id="rId4" display="Elounda Beach" xr:uid="{00000000-0004-0000-0C00-000001000000}"/>
    <hyperlink ref="B328:M328" r:id="rId5" display="Aquis Silva Beach" xr:uid="{00000000-0004-0000-0C00-000002000000}"/>
    <hyperlink ref="B345:M345" r:id="rId6" display="Astoria Capsis" xr:uid="{00000000-0004-0000-0C00-000003000000}"/>
    <hyperlink ref="B246:M246" r:id="rId7" display="Sensimar Minos Palace" xr:uid="{00000000-0004-0000-0C00-000004000000}"/>
    <hyperlink ref="B429:M429" r:id="rId8" display="Santa Marina Plaza" xr:uid="{00000000-0004-0000-0C00-000005000000}"/>
    <hyperlink ref="B265:M265" r:id="rId9" display="Agapi Beach" xr:uid="{00000000-0004-0000-0C00-000006000000}"/>
    <hyperlink ref="B2:M2" r:id="rId10" display="Aldemar Knossos Royal Village" xr:uid="{00000000-0004-0000-0C00-000007000000}"/>
    <hyperlink ref="B25:M25" r:id="rId11" display="Aldemar Royal Mare &amp; Thalasso" xr:uid="{00000000-0004-0000-0C00-000008000000}"/>
    <hyperlink ref="B81:M81" r:id="rId12" display="Blue Palace" xr:uid="{00000000-0004-0000-0C00-000009000000}"/>
    <hyperlink ref="B127:M127" r:id="rId13" display="Cretan Dream Royal Beach" xr:uid="{00000000-0004-0000-0C00-00000A000000}"/>
    <hyperlink ref="B158:M158" r:id="rId14" display="Elounda Bay" xr:uid="{00000000-0004-0000-0C00-00000B000000}"/>
    <hyperlink ref="B197:M197" r:id="rId15" display="Galaxy" xr:uid="{00000000-0004-0000-0C00-00000C000000}"/>
    <hyperlink ref="B216:M216" r:id="rId16" display="Porto Platanias Beach Resort" xr:uid="{00000000-0004-0000-0C00-00000D000000}"/>
    <hyperlink ref="B230:M230" r:id="rId17" display="Rithymna Beach Aquila Hotel" xr:uid="{00000000-0004-0000-0C00-00000E000000}"/>
    <hyperlink ref="B279:M279" r:id="rId18" display="Aldemar Cretan Village" xr:uid="{00000000-0004-0000-0C00-00000F000000}"/>
    <hyperlink ref="B372:M372" r:id="rId19" display="Hersonissos Maris" xr:uid="{00000000-0004-0000-0C00-000010000000}"/>
    <hyperlink ref="B401:M401" r:id="rId20" display="Knossos Beach " xr:uid="{00000000-0004-0000-0C00-000011000000}"/>
    <hyperlink ref="B445:M445" r:id="rId21" display="Casa Delfino" xr:uid="{00000000-0004-0000-0C00-000012000000}"/>
    <hyperlink ref="B459:M459" r:id="rId22" display="Lato" xr:uid="{00000000-0004-0000-0C00-000013000000}"/>
    <hyperlink ref="B478:M478" r:id="rId23" display="Marin Dream" xr:uid="{00000000-0004-0000-0C00-000014000000}"/>
    <hyperlink ref="B387:M387" r:id="rId24" display="Hersonissos Village" xr:uid="{00000000-0004-0000-0C00-000015000000}"/>
    <hyperlink ref="B66:M66" r:id="rId25" display="Aquila Atlantis" xr:uid="{00000000-0004-0000-0C00-000016000000}"/>
    <hyperlink ref="B314:M314" r:id="rId26" display="Amalthia" xr:uid="{00000000-0004-0000-0C00-000017000000}"/>
  </hyperlinks>
  <printOptions horizontalCentered="1"/>
  <pageMargins left="0.28125" right="0.25" top="0.6692913385826772" bottom="0.70866141732283472" header="0.23622047244094491" footer="0.47244094488188981"/>
  <pageSetup paperSize="9" firstPageNumber="34" orientation="portrait" useFirstPageNumber="1" horizontalDpi="300" verticalDpi="300" r:id="rId27"/>
  <headerFooter scaleWithDoc="0" alignWithMargins="0">
    <oddHeader xml:space="preserve">&amp;C TARIFF 2021
 (EURO)
</oddHeader>
    <oddFooter>&amp;LAll rates are in EURO&amp;C
TARIFF 2021
&amp;RPage &amp;P</oddFooter>
  </headerFooter>
  <rowBreaks count="6" manualBreakCount="6">
    <brk id="104" max="16383" man="1"/>
    <brk id="154" max="16383" man="1"/>
    <brk id="262" max="16383" man="1"/>
    <brk id="310" max="16383" man="1"/>
    <brk id="422" max="16383" man="1"/>
    <brk id="475"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79"/>
  <sheetViews>
    <sheetView showGridLines="0" view="pageLayout" topLeftCell="A100" workbookViewId="0">
      <selection activeCell="M53" sqref="M53"/>
    </sheetView>
  </sheetViews>
  <sheetFormatPr defaultRowHeight="12.75" x14ac:dyDescent="0.2"/>
  <cols>
    <col min="1" max="1" width="1.85546875" style="68" customWidth="1"/>
    <col min="2" max="3" width="10.7109375" style="68" customWidth="1"/>
    <col min="4" max="9" width="3.7109375" style="68" customWidth="1"/>
    <col min="10" max="14" width="10.7109375" style="68" customWidth="1"/>
    <col min="15" max="16384" width="9.140625" style="68"/>
  </cols>
  <sheetData>
    <row r="1" spans="1:14" ht="13.5" thickBot="1" x14ac:dyDescent="0.25"/>
    <row r="2" spans="1:14" x14ac:dyDescent="0.2">
      <c r="A2" s="20"/>
      <c r="B2" s="21"/>
      <c r="C2" s="21"/>
      <c r="D2" s="21"/>
      <c r="E2" s="22"/>
      <c r="F2" s="22"/>
      <c r="G2" s="22"/>
      <c r="H2" s="22"/>
      <c r="I2" s="22"/>
      <c r="J2" s="22"/>
      <c r="K2" s="22"/>
      <c r="L2" s="22"/>
      <c r="M2" s="22"/>
      <c r="N2" s="23"/>
    </row>
    <row r="3" spans="1:14" ht="15" x14ac:dyDescent="0.2">
      <c r="A3" s="24"/>
      <c r="B3" s="440" t="s">
        <v>903</v>
      </c>
      <c r="C3" s="441"/>
      <c r="D3" s="441"/>
      <c r="E3" s="441"/>
      <c r="F3" s="441"/>
      <c r="G3" s="441"/>
      <c r="H3" s="441"/>
      <c r="I3" s="441"/>
      <c r="J3" s="441"/>
      <c r="K3" s="441"/>
      <c r="L3" s="441"/>
      <c r="M3" s="442"/>
      <c r="N3" s="25" t="s">
        <v>1103</v>
      </c>
    </row>
    <row r="4" spans="1:14" x14ac:dyDescent="0.2">
      <c r="A4" s="24"/>
      <c r="B4" s="26" t="s">
        <v>428</v>
      </c>
      <c r="C4" s="27" t="s">
        <v>180</v>
      </c>
      <c r="D4" s="27"/>
      <c r="E4" s="28"/>
      <c r="F4" s="28"/>
      <c r="G4" s="28"/>
      <c r="H4" s="28"/>
      <c r="I4" s="28"/>
      <c r="J4" s="28"/>
      <c r="K4" s="28"/>
      <c r="L4" s="28"/>
      <c r="M4" s="28"/>
      <c r="N4" s="29"/>
    </row>
    <row r="5" spans="1:14" x14ac:dyDescent="0.2">
      <c r="A5" s="24"/>
      <c r="B5" s="26" t="s">
        <v>429</v>
      </c>
      <c r="C5" s="27" t="s">
        <v>936</v>
      </c>
      <c r="D5" s="27"/>
      <c r="E5" s="28"/>
      <c r="F5" s="28"/>
      <c r="G5" s="28"/>
      <c r="H5" s="28"/>
      <c r="I5" s="28"/>
      <c r="J5" s="28"/>
      <c r="K5" s="28"/>
      <c r="L5" s="28"/>
      <c r="M5" s="28"/>
      <c r="N5" s="29"/>
    </row>
    <row r="6" spans="1:14" x14ac:dyDescent="0.2">
      <c r="A6" s="24"/>
      <c r="B6" s="26" t="s">
        <v>427</v>
      </c>
      <c r="C6" s="436" t="s">
        <v>1281</v>
      </c>
      <c r="D6" s="436"/>
      <c r="E6" s="436"/>
      <c r="F6" s="436"/>
      <c r="G6" s="436"/>
      <c r="H6" s="436"/>
      <c r="I6" s="436"/>
      <c r="J6" s="436"/>
      <c r="K6" s="436"/>
      <c r="L6" s="436"/>
      <c r="M6" s="436"/>
      <c r="N6" s="437"/>
    </row>
    <row r="7" spans="1:14" x14ac:dyDescent="0.2">
      <c r="A7" s="24"/>
      <c r="B7" s="27"/>
      <c r="C7" s="436"/>
      <c r="D7" s="436"/>
      <c r="E7" s="436"/>
      <c r="F7" s="436"/>
      <c r="G7" s="436"/>
      <c r="H7" s="436"/>
      <c r="I7" s="436"/>
      <c r="J7" s="436"/>
      <c r="K7" s="436"/>
      <c r="L7" s="436"/>
      <c r="M7" s="436"/>
      <c r="N7" s="437"/>
    </row>
    <row r="8" spans="1:14" x14ac:dyDescent="0.2">
      <c r="A8" s="24"/>
      <c r="B8" s="27"/>
      <c r="C8" s="438"/>
      <c r="D8" s="438"/>
      <c r="E8" s="438"/>
      <c r="F8" s="438"/>
      <c r="G8" s="438"/>
      <c r="H8" s="438"/>
      <c r="I8" s="438"/>
      <c r="J8" s="438"/>
      <c r="K8" s="438"/>
      <c r="L8" s="438"/>
      <c r="M8" s="438"/>
      <c r="N8" s="439"/>
    </row>
    <row r="9" spans="1:14" ht="13.5" thickBot="1" x14ac:dyDescent="0.25">
      <c r="A9" s="24"/>
      <c r="B9" s="26" t="s">
        <v>430</v>
      </c>
      <c r="C9" s="27"/>
      <c r="D9" s="31"/>
      <c r="E9" s="32"/>
      <c r="F9" s="32"/>
      <c r="G9" s="32"/>
      <c r="H9" s="32"/>
      <c r="I9" s="32"/>
      <c r="J9" s="32"/>
      <c r="K9" s="32"/>
      <c r="L9" s="32"/>
      <c r="M9" s="32"/>
      <c r="N9" s="33"/>
    </row>
    <row r="10" spans="1:14" ht="13.5" thickBot="1" x14ac:dyDescent="0.25">
      <c r="A10" s="84"/>
      <c r="B10" s="55" t="s">
        <v>263</v>
      </c>
      <c r="C10" s="55"/>
      <c r="D10" s="31"/>
      <c r="E10" s="32"/>
      <c r="F10" s="32"/>
      <c r="G10" s="32"/>
      <c r="H10" s="32"/>
      <c r="I10" s="32"/>
      <c r="J10" s="49" t="s">
        <v>907</v>
      </c>
      <c r="K10" s="40" t="s">
        <v>611</v>
      </c>
      <c r="L10" s="40"/>
      <c r="M10" s="40"/>
      <c r="N10" s="40"/>
    </row>
    <row r="11" spans="1:14" x14ac:dyDescent="0.2">
      <c r="A11" s="20"/>
      <c r="B11" s="434" t="s">
        <v>67</v>
      </c>
      <c r="C11" s="434"/>
      <c r="D11" s="434"/>
      <c r="E11" s="22"/>
      <c r="F11" s="22" t="s">
        <v>1180</v>
      </c>
      <c r="G11" s="22" t="s">
        <v>68</v>
      </c>
      <c r="H11" s="22" t="s">
        <v>702</v>
      </c>
      <c r="I11" s="22"/>
      <c r="J11" s="74">
        <f>67/ATHENS!O1*ATHENS!O2</f>
        <v>121.81818181818181</v>
      </c>
      <c r="K11" s="42">
        <f>74/ATHENS!O1*ATHENS!O2</f>
        <v>134.54545454545453</v>
      </c>
      <c r="L11" s="42"/>
      <c r="M11" s="42"/>
      <c r="N11" s="42"/>
    </row>
    <row r="12" spans="1:14" x14ac:dyDescent="0.2">
      <c r="A12" s="24"/>
      <c r="B12" s="435" t="s">
        <v>67</v>
      </c>
      <c r="C12" s="435"/>
      <c r="D12" s="435"/>
      <c r="E12" s="28"/>
      <c r="F12" s="28" t="s">
        <v>1181</v>
      </c>
      <c r="G12" s="28" t="s">
        <v>68</v>
      </c>
      <c r="H12" s="28" t="s">
        <v>702</v>
      </c>
      <c r="I12" s="28"/>
      <c r="J12" s="75">
        <f>37.5/ATHENS!O1*ATHENS!O2</f>
        <v>68.181818181818173</v>
      </c>
      <c r="K12" s="44">
        <f>41.5/ATHENS!O1*ATHENS!O2</f>
        <v>75.454545454545453</v>
      </c>
      <c r="L12" s="44"/>
      <c r="M12" s="44"/>
      <c r="N12" s="44"/>
    </row>
    <row r="13" spans="1:14" x14ac:dyDescent="0.2">
      <c r="A13" s="24"/>
      <c r="B13" s="435" t="s">
        <v>67</v>
      </c>
      <c r="C13" s="435"/>
      <c r="D13" s="435"/>
      <c r="E13" s="28"/>
      <c r="F13" s="28" t="s">
        <v>1182</v>
      </c>
      <c r="G13" s="28" t="s">
        <v>68</v>
      </c>
      <c r="H13" s="28" t="s">
        <v>702</v>
      </c>
      <c r="I13" s="28"/>
      <c r="J13" s="75">
        <f>28.5/ATHENS!O1*ATHENS!O2</f>
        <v>51.818181818181813</v>
      </c>
      <c r="K13" s="44">
        <f>30.5/ATHENS!O1*ATHENS!O2</f>
        <v>55.454545454545453</v>
      </c>
      <c r="L13" s="44"/>
      <c r="M13" s="44"/>
      <c r="N13" s="44"/>
    </row>
    <row r="14" spans="1:14" ht="13.5" thickBot="1" x14ac:dyDescent="0.25">
      <c r="A14" s="30"/>
      <c r="B14" s="89"/>
      <c r="C14" s="89"/>
      <c r="D14" s="89"/>
      <c r="E14" s="89"/>
      <c r="F14" s="89"/>
      <c r="G14" s="89"/>
      <c r="H14" s="89"/>
      <c r="I14" s="89"/>
      <c r="J14" s="76"/>
      <c r="K14" s="89"/>
      <c r="L14" s="46"/>
      <c r="M14" s="46"/>
      <c r="N14" s="46"/>
    </row>
    <row r="15" spans="1:14" ht="13.5" thickBot="1" x14ac:dyDescent="0.25">
      <c r="A15" s="52"/>
      <c r="B15" s="316"/>
      <c r="C15" s="316"/>
      <c r="D15" s="316"/>
      <c r="E15" s="316"/>
      <c r="F15" s="316"/>
      <c r="G15" s="316"/>
      <c r="H15" s="316"/>
      <c r="I15" s="316"/>
      <c r="J15" s="229"/>
      <c r="K15" s="316"/>
      <c r="L15" s="53"/>
      <c r="M15" s="53"/>
      <c r="N15" s="53"/>
    </row>
    <row r="16" spans="1:14" x14ac:dyDescent="0.2">
      <c r="A16" s="20"/>
      <c r="B16" s="21"/>
      <c r="C16" s="21"/>
      <c r="D16" s="21"/>
      <c r="E16" s="22"/>
      <c r="F16" s="22"/>
      <c r="G16" s="22"/>
      <c r="H16" s="22"/>
      <c r="I16" s="22"/>
      <c r="J16" s="22"/>
      <c r="K16" s="22"/>
      <c r="L16" s="22"/>
      <c r="M16" s="22"/>
      <c r="N16" s="23"/>
    </row>
    <row r="17" spans="1:14" ht="15" x14ac:dyDescent="0.2">
      <c r="A17" s="24"/>
      <c r="B17" s="440" t="s">
        <v>177</v>
      </c>
      <c r="C17" s="441"/>
      <c r="D17" s="441"/>
      <c r="E17" s="441"/>
      <c r="F17" s="441"/>
      <c r="G17" s="441"/>
      <c r="H17" s="441"/>
      <c r="I17" s="441"/>
      <c r="J17" s="441"/>
      <c r="K17" s="441"/>
      <c r="L17" s="441"/>
      <c r="M17" s="442"/>
      <c r="N17" s="25" t="s">
        <v>1102</v>
      </c>
    </row>
    <row r="18" spans="1:14" x14ac:dyDescent="0.2">
      <c r="A18" s="24"/>
      <c r="B18" s="26" t="s">
        <v>428</v>
      </c>
      <c r="C18" s="27" t="s">
        <v>22</v>
      </c>
      <c r="D18" s="27"/>
      <c r="E18" s="28"/>
      <c r="F18" s="28"/>
      <c r="G18" s="28"/>
      <c r="H18" s="28"/>
      <c r="I18" s="28"/>
      <c r="J18" s="28"/>
      <c r="K18" s="28"/>
      <c r="L18" s="28"/>
      <c r="M18" s="28"/>
      <c r="N18" s="29"/>
    </row>
    <row r="19" spans="1:14" x14ac:dyDescent="0.2">
      <c r="A19" s="24"/>
      <c r="B19" s="26" t="s">
        <v>429</v>
      </c>
      <c r="C19" s="27" t="s">
        <v>937</v>
      </c>
      <c r="D19" s="27"/>
      <c r="E19" s="28"/>
      <c r="F19" s="28"/>
      <c r="G19" s="28"/>
      <c r="H19" s="28"/>
      <c r="I19" s="28"/>
      <c r="J19" s="28"/>
      <c r="K19" s="28"/>
      <c r="L19" s="28"/>
      <c r="M19" s="28"/>
      <c r="N19" s="29"/>
    </row>
    <row r="20" spans="1:14" x14ac:dyDescent="0.2">
      <c r="A20" s="24"/>
      <c r="B20" s="26" t="s">
        <v>427</v>
      </c>
      <c r="C20" s="436" t="s">
        <v>1282</v>
      </c>
      <c r="D20" s="436"/>
      <c r="E20" s="436"/>
      <c r="F20" s="436"/>
      <c r="G20" s="436"/>
      <c r="H20" s="436"/>
      <c r="I20" s="436"/>
      <c r="J20" s="436"/>
      <c r="K20" s="436"/>
      <c r="L20" s="436"/>
      <c r="M20" s="436"/>
      <c r="N20" s="437"/>
    </row>
    <row r="21" spans="1:14" x14ac:dyDescent="0.2">
      <c r="A21" s="24"/>
      <c r="B21" s="26"/>
      <c r="C21" s="436"/>
      <c r="D21" s="436"/>
      <c r="E21" s="436"/>
      <c r="F21" s="436"/>
      <c r="G21" s="436"/>
      <c r="H21" s="436"/>
      <c r="I21" s="436"/>
      <c r="J21" s="436"/>
      <c r="K21" s="436"/>
      <c r="L21" s="436"/>
      <c r="M21" s="436"/>
      <c r="N21" s="437"/>
    </row>
    <row r="22" spans="1:14" x14ac:dyDescent="0.2">
      <c r="A22" s="24"/>
      <c r="B22" s="15"/>
      <c r="C22" s="436"/>
      <c r="D22" s="436"/>
      <c r="E22" s="436"/>
      <c r="F22" s="436"/>
      <c r="G22" s="436"/>
      <c r="H22" s="436"/>
      <c r="I22" s="436"/>
      <c r="J22" s="436"/>
      <c r="K22" s="436"/>
      <c r="L22" s="436"/>
      <c r="M22" s="436"/>
      <c r="N22" s="437"/>
    </row>
    <row r="23" spans="1:14" ht="13.5" thickBot="1" x14ac:dyDescent="0.25">
      <c r="A23" s="30"/>
      <c r="B23" s="26" t="s">
        <v>430</v>
      </c>
      <c r="C23" s="31"/>
      <c r="D23" s="31"/>
      <c r="E23" s="32"/>
      <c r="F23" s="32"/>
      <c r="G23" s="32"/>
      <c r="H23" s="32"/>
      <c r="I23" s="32"/>
      <c r="J23" s="32"/>
      <c r="K23" s="32"/>
      <c r="L23" s="32"/>
      <c r="M23" s="32"/>
      <c r="N23" s="33"/>
    </row>
    <row r="24" spans="1:14" ht="13.5" thickBot="1" x14ac:dyDescent="0.25">
      <c r="A24" s="30"/>
      <c r="B24" s="55" t="s">
        <v>263</v>
      </c>
      <c r="C24" s="31"/>
      <c r="D24" s="31"/>
      <c r="E24" s="32"/>
      <c r="F24" s="32"/>
      <c r="G24" s="32"/>
      <c r="H24" s="32"/>
      <c r="I24" s="32"/>
      <c r="J24" s="49" t="s">
        <v>1177</v>
      </c>
      <c r="K24" s="40"/>
      <c r="L24" s="40"/>
      <c r="M24" s="40"/>
      <c r="N24" s="40"/>
    </row>
    <row r="25" spans="1:14" x14ac:dyDescent="0.2">
      <c r="A25" s="20"/>
      <c r="B25" s="434" t="s">
        <v>67</v>
      </c>
      <c r="C25" s="434"/>
      <c r="D25" s="434"/>
      <c r="E25" s="22"/>
      <c r="F25" s="22" t="s">
        <v>1180</v>
      </c>
      <c r="G25" s="22" t="s">
        <v>68</v>
      </c>
      <c r="H25" s="22" t="s">
        <v>702</v>
      </c>
      <c r="I25" s="22"/>
      <c r="J25" s="74">
        <f>44/ATHENS!O1*ATHENS!O2</f>
        <v>80</v>
      </c>
      <c r="K25" s="42"/>
      <c r="L25" s="42"/>
      <c r="M25" s="42"/>
      <c r="N25" s="42"/>
    </row>
    <row r="26" spans="1:14" x14ac:dyDescent="0.2">
      <c r="A26" s="24"/>
      <c r="B26" s="435" t="s">
        <v>67</v>
      </c>
      <c r="C26" s="435"/>
      <c r="D26" s="435"/>
      <c r="E26" s="28"/>
      <c r="F26" s="28" t="s">
        <v>1181</v>
      </c>
      <c r="G26" s="28" t="s">
        <v>68</v>
      </c>
      <c r="H26" s="28" t="s">
        <v>702</v>
      </c>
      <c r="I26" s="28"/>
      <c r="J26" s="75">
        <f>25.5/ATHENS!O1*ATHENS!O2</f>
        <v>46.36363636363636</v>
      </c>
      <c r="K26" s="44"/>
      <c r="L26" s="44"/>
      <c r="M26" s="44"/>
      <c r="N26" s="44"/>
    </row>
    <row r="27" spans="1:14" x14ac:dyDescent="0.2">
      <c r="A27" s="24"/>
      <c r="B27" s="435" t="s">
        <v>67</v>
      </c>
      <c r="C27" s="435"/>
      <c r="D27" s="435"/>
      <c r="E27" s="28"/>
      <c r="F27" s="28" t="s">
        <v>1182</v>
      </c>
      <c r="G27" s="28" t="s">
        <v>68</v>
      </c>
      <c r="H27" s="28" t="s">
        <v>702</v>
      </c>
      <c r="I27" s="28"/>
      <c r="J27" s="75">
        <f>20.5/ATHENS!O1*ATHENS!O2</f>
        <v>37.272727272727266</v>
      </c>
      <c r="K27" s="44"/>
      <c r="L27" s="44"/>
      <c r="M27" s="44"/>
      <c r="N27" s="44"/>
    </row>
    <row r="28" spans="1:14" ht="13.5" thickBot="1" x14ac:dyDescent="0.25">
      <c r="A28" s="30"/>
      <c r="B28" s="443"/>
      <c r="C28" s="443"/>
      <c r="D28" s="443"/>
      <c r="E28" s="32"/>
      <c r="F28" s="32"/>
      <c r="G28" s="32"/>
      <c r="H28" s="32"/>
      <c r="I28" s="32"/>
      <c r="J28" s="76"/>
      <c r="K28" s="46"/>
      <c r="L28" s="46"/>
      <c r="M28" s="46"/>
      <c r="N28" s="46"/>
    </row>
    <row r="29" spans="1:14" ht="13.5" thickBot="1" x14ac:dyDescent="0.25">
      <c r="A29" s="14"/>
      <c r="B29" s="15"/>
      <c r="C29" s="15"/>
      <c r="D29" s="15"/>
      <c r="E29" s="16"/>
      <c r="F29" s="16"/>
      <c r="G29" s="16"/>
      <c r="H29" s="16"/>
      <c r="I29" s="16"/>
      <c r="J29" s="16"/>
      <c r="K29" s="16"/>
      <c r="L29" s="16"/>
      <c r="M29" s="16"/>
      <c r="N29" s="16"/>
    </row>
    <row r="30" spans="1:14" x14ac:dyDescent="0.2">
      <c r="A30" s="20"/>
      <c r="B30" s="21"/>
      <c r="C30" s="21"/>
      <c r="D30" s="21"/>
      <c r="E30" s="22"/>
      <c r="F30" s="22"/>
      <c r="G30" s="22"/>
      <c r="H30" s="22"/>
      <c r="I30" s="22"/>
      <c r="J30" s="22"/>
      <c r="K30" s="22"/>
      <c r="L30" s="22"/>
      <c r="M30" s="22"/>
      <c r="N30" s="23"/>
    </row>
    <row r="31" spans="1:14" ht="15" x14ac:dyDescent="0.2">
      <c r="A31" s="24"/>
      <c r="B31" s="440" t="s">
        <v>178</v>
      </c>
      <c r="C31" s="441"/>
      <c r="D31" s="441"/>
      <c r="E31" s="441"/>
      <c r="F31" s="441"/>
      <c r="G31" s="441"/>
      <c r="H31" s="441"/>
      <c r="I31" s="441"/>
      <c r="J31" s="441"/>
      <c r="K31" s="441"/>
      <c r="L31" s="441"/>
      <c r="M31" s="442"/>
      <c r="N31" s="25" t="s">
        <v>1102</v>
      </c>
    </row>
    <row r="32" spans="1:14" x14ac:dyDescent="0.2">
      <c r="A32" s="24"/>
      <c r="B32" s="26" t="s">
        <v>428</v>
      </c>
      <c r="C32" s="27" t="s">
        <v>1178</v>
      </c>
      <c r="D32" s="27"/>
      <c r="E32" s="28"/>
      <c r="F32" s="28"/>
      <c r="G32" s="28"/>
      <c r="H32" s="28"/>
      <c r="I32" s="28"/>
      <c r="J32" s="28"/>
      <c r="K32" s="28"/>
      <c r="L32" s="28"/>
      <c r="M32" s="28"/>
      <c r="N32" s="29"/>
    </row>
    <row r="33" spans="1:14" x14ac:dyDescent="0.2">
      <c r="A33" s="24"/>
      <c r="B33" s="26" t="s">
        <v>429</v>
      </c>
      <c r="C33" s="27" t="s">
        <v>938</v>
      </c>
      <c r="D33" s="27"/>
      <c r="E33" s="28"/>
      <c r="F33" s="28"/>
      <c r="G33" s="28"/>
      <c r="H33" s="28"/>
      <c r="I33" s="28"/>
      <c r="J33" s="28"/>
      <c r="K33" s="28"/>
      <c r="L33" s="28"/>
      <c r="M33" s="28"/>
      <c r="N33" s="29"/>
    </row>
    <row r="34" spans="1:14" x14ac:dyDescent="0.2">
      <c r="A34" s="24"/>
      <c r="B34" s="26" t="s">
        <v>427</v>
      </c>
      <c r="C34" s="436" t="s">
        <v>1283</v>
      </c>
      <c r="D34" s="436"/>
      <c r="E34" s="436"/>
      <c r="F34" s="436"/>
      <c r="G34" s="436"/>
      <c r="H34" s="436"/>
      <c r="I34" s="436"/>
      <c r="J34" s="436"/>
      <c r="K34" s="436"/>
      <c r="L34" s="436"/>
      <c r="M34" s="436"/>
      <c r="N34" s="437"/>
    </row>
    <row r="35" spans="1:14" x14ac:dyDescent="0.2">
      <c r="A35" s="24"/>
      <c r="B35" s="15"/>
      <c r="C35" s="436"/>
      <c r="D35" s="436"/>
      <c r="E35" s="436"/>
      <c r="F35" s="436"/>
      <c r="G35" s="436"/>
      <c r="H35" s="436"/>
      <c r="I35" s="436"/>
      <c r="J35" s="436"/>
      <c r="K35" s="436"/>
      <c r="L35" s="436"/>
      <c r="M35" s="436"/>
      <c r="N35" s="437"/>
    </row>
    <row r="36" spans="1:14" ht="13.5" thickBot="1" x14ac:dyDescent="0.25">
      <c r="A36" s="24"/>
      <c r="B36" s="26" t="s">
        <v>430</v>
      </c>
      <c r="C36" s="31"/>
      <c r="D36" s="31"/>
      <c r="E36" s="32"/>
      <c r="F36" s="32"/>
      <c r="G36" s="32"/>
      <c r="H36" s="32"/>
      <c r="I36" s="32"/>
      <c r="J36" s="32"/>
      <c r="K36" s="32"/>
      <c r="L36" s="32"/>
      <c r="M36" s="32"/>
      <c r="N36" s="33"/>
    </row>
    <row r="37" spans="1:14" ht="13.5" thickBot="1" x14ac:dyDescent="0.25">
      <c r="A37" s="84"/>
      <c r="B37" s="55" t="s">
        <v>263</v>
      </c>
      <c r="C37" s="31"/>
      <c r="D37" s="31"/>
      <c r="E37" s="32"/>
      <c r="F37" s="32"/>
      <c r="G37" s="32"/>
      <c r="H37" s="32"/>
      <c r="I37" s="32"/>
      <c r="J37" s="49" t="s">
        <v>1830</v>
      </c>
      <c r="K37" s="40"/>
      <c r="L37" s="40"/>
      <c r="M37" s="40"/>
      <c r="N37" s="40"/>
    </row>
    <row r="38" spans="1:14" x14ac:dyDescent="0.2">
      <c r="A38" s="20"/>
      <c r="B38" s="434" t="s">
        <v>67</v>
      </c>
      <c r="C38" s="434"/>
      <c r="D38" s="434"/>
      <c r="E38" s="22"/>
      <c r="F38" s="22" t="s">
        <v>1180</v>
      </c>
      <c r="G38" s="22" t="s">
        <v>1484</v>
      </c>
      <c r="H38" s="22" t="s">
        <v>702</v>
      </c>
      <c r="I38" s="22"/>
      <c r="J38" s="74">
        <f>38.5/ATHENS!O1*ATHENS!O2</f>
        <v>70</v>
      </c>
      <c r="K38" s="42"/>
      <c r="L38" s="42"/>
      <c r="M38" s="42"/>
      <c r="N38" s="42"/>
    </row>
    <row r="39" spans="1:14" x14ac:dyDescent="0.2">
      <c r="A39" s="24"/>
      <c r="B39" s="435" t="s">
        <v>67</v>
      </c>
      <c r="C39" s="435"/>
      <c r="D39" s="435"/>
      <c r="E39" s="28"/>
      <c r="F39" s="28" t="s">
        <v>1181</v>
      </c>
      <c r="G39" s="28" t="s">
        <v>1484</v>
      </c>
      <c r="H39" s="28" t="s">
        <v>702</v>
      </c>
      <c r="I39" s="28"/>
      <c r="J39" s="75">
        <f>28.5/ATHENS!O1*ATHENS!O2</f>
        <v>51.818181818181813</v>
      </c>
      <c r="K39" s="44"/>
      <c r="L39" s="44"/>
      <c r="M39" s="44"/>
      <c r="N39" s="44"/>
    </row>
    <row r="40" spans="1:14" x14ac:dyDescent="0.2">
      <c r="A40" s="24"/>
      <c r="B40" s="435" t="s">
        <v>67</v>
      </c>
      <c r="C40" s="435"/>
      <c r="D40" s="435"/>
      <c r="E40" s="28"/>
      <c r="F40" s="28" t="s">
        <v>1182</v>
      </c>
      <c r="G40" s="28" t="s">
        <v>1484</v>
      </c>
      <c r="H40" s="28" t="s">
        <v>702</v>
      </c>
      <c r="I40" s="28"/>
      <c r="J40" s="75">
        <f>25.5/ATHENS!O1*ATHENS!O2</f>
        <v>46.36363636363636</v>
      </c>
      <c r="K40" s="44"/>
      <c r="L40" s="44"/>
      <c r="M40" s="44"/>
      <c r="N40" s="44"/>
    </row>
    <row r="41" spans="1:14" ht="13.5" thickBot="1" x14ac:dyDescent="0.25">
      <c r="A41" s="30"/>
      <c r="B41" s="443" t="s">
        <v>67</v>
      </c>
      <c r="C41" s="443"/>
      <c r="D41" s="443"/>
      <c r="E41" s="32"/>
      <c r="F41" s="32" t="s">
        <v>257</v>
      </c>
      <c r="G41" s="32" t="s">
        <v>1484</v>
      </c>
      <c r="H41" s="32" t="s">
        <v>702</v>
      </c>
      <c r="I41" s="32"/>
      <c r="J41" s="76">
        <f>23.5/ATHENS!O1*ATHENS!O2</f>
        <v>42.727272727272727</v>
      </c>
      <c r="K41" s="46"/>
      <c r="L41" s="46"/>
      <c r="M41" s="46"/>
      <c r="N41" s="46"/>
    </row>
    <row r="42" spans="1:14" x14ac:dyDescent="0.2">
      <c r="A42" s="52"/>
      <c r="B42" s="27"/>
      <c r="C42" s="27"/>
      <c r="D42" s="27"/>
      <c r="E42" s="28"/>
      <c r="F42" s="28"/>
      <c r="G42" s="28"/>
      <c r="H42" s="28"/>
      <c r="I42" s="28"/>
      <c r="J42" s="229"/>
      <c r="K42" s="53"/>
      <c r="L42" s="53"/>
      <c r="M42" s="53"/>
      <c r="N42" s="53"/>
    </row>
    <row r="43" spans="1:14" x14ac:dyDescent="0.2">
      <c r="A43" s="52"/>
      <c r="B43" s="27"/>
      <c r="C43" s="27"/>
      <c r="D43" s="27"/>
      <c r="E43" s="28"/>
      <c r="F43" s="28"/>
      <c r="G43" s="28"/>
      <c r="H43" s="28"/>
      <c r="I43" s="28"/>
      <c r="J43" s="229"/>
      <c r="K43" s="53"/>
      <c r="L43" s="53"/>
      <c r="M43" s="53"/>
      <c r="N43" s="53"/>
    </row>
    <row r="44" spans="1:14" x14ac:dyDescent="0.2">
      <c r="A44" s="52"/>
      <c r="B44" s="27"/>
      <c r="C44" s="27"/>
      <c r="D44" s="27"/>
      <c r="E44" s="28"/>
      <c r="F44" s="28"/>
      <c r="G44" s="28"/>
      <c r="H44" s="28"/>
      <c r="I44" s="28"/>
      <c r="J44" s="229"/>
      <c r="K44" s="53"/>
      <c r="L44" s="53"/>
      <c r="M44" s="53"/>
      <c r="N44" s="53"/>
    </row>
    <row r="45" spans="1:14" x14ac:dyDescent="0.2">
      <c r="A45" s="52"/>
      <c r="B45" s="27"/>
      <c r="C45" s="27"/>
      <c r="D45" s="27"/>
      <c r="E45" s="28"/>
      <c r="F45" s="28"/>
      <c r="G45" s="28"/>
      <c r="H45" s="28"/>
      <c r="I45" s="28"/>
      <c r="J45" s="229"/>
      <c r="K45" s="53"/>
      <c r="L45" s="53"/>
      <c r="M45" s="53"/>
      <c r="N45" s="53"/>
    </row>
    <row r="46" spans="1:14" x14ac:dyDescent="0.2">
      <c r="A46" s="52"/>
      <c r="B46" s="27"/>
      <c r="C46" s="27"/>
      <c r="D46" s="27"/>
      <c r="E46" s="28"/>
      <c r="F46" s="28"/>
      <c r="G46" s="28"/>
      <c r="H46" s="28"/>
      <c r="I46" s="28"/>
      <c r="J46" s="229"/>
      <c r="K46" s="53"/>
      <c r="L46" s="53"/>
      <c r="M46" s="53"/>
      <c r="N46" s="53"/>
    </row>
    <row r="47" spans="1:14" x14ac:dyDescent="0.2">
      <c r="A47" s="52"/>
      <c r="B47" s="27"/>
      <c r="C47" s="27"/>
      <c r="D47" s="27"/>
      <c r="E47" s="28"/>
      <c r="F47" s="28"/>
      <c r="G47" s="28"/>
      <c r="H47" s="28"/>
      <c r="I47" s="28"/>
      <c r="J47" s="229"/>
      <c r="K47" s="53"/>
      <c r="L47" s="53"/>
      <c r="M47" s="53"/>
      <c r="N47" s="53"/>
    </row>
    <row r="48" spans="1:14" x14ac:dyDescent="0.2">
      <c r="A48" s="52"/>
      <c r="B48" s="27"/>
      <c r="C48" s="27"/>
      <c r="D48" s="27"/>
      <c r="E48" s="28"/>
      <c r="F48" s="28"/>
      <c r="G48" s="28"/>
      <c r="H48" s="28"/>
      <c r="I48" s="28"/>
      <c r="J48" s="229"/>
      <c r="K48" s="53"/>
      <c r="L48" s="53"/>
      <c r="M48" s="53"/>
      <c r="N48" s="53"/>
    </row>
    <row r="49" spans="1:14" x14ac:dyDescent="0.2">
      <c r="A49" s="52"/>
      <c r="B49" s="27"/>
      <c r="C49" s="27"/>
      <c r="D49" s="27"/>
      <c r="E49" s="28"/>
      <c r="F49" s="28"/>
      <c r="G49" s="28"/>
      <c r="H49" s="28"/>
      <c r="I49" s="28"/>
      <c r="J49" s="229"/>
      <c r="K49" s="53"/>
      <c r="L49" s="53"/>
      <c r="M49" s="53"/>
      <c r="N49" s="53"/>
    </row>
    <row r="50" spans="1:14" x14ac:dyDescent="0.2">
      <c r="A50" s="52"/>
      <c r="B50" s="27"/>
      <c r="C50" s="27"/>
      <c r="D50" s="27"/>
      <c r="E50" s="28"/>
      <c r="F50" s="28"/>
      <c r="G50" s="28"/>
      <c r="H50" s="28"/>
      <c r="I50" s="28"/>
      <c r="J50" s="229"/>
      <c r="K50" s="53"/>
      <c r="L50" s="53"/>
      <c r="M50" s="53"/>
      <c r="N50" s="53"/>
    </row>
    <row r="51" spans="1:14" x14ac:dyDescent="0.2">
      <c r="A51" s="52"/>
      <c r="B51" s="27"/>
      <c r="C51" s="27"/>
      <c r="D51" s="27"/>
      <c r="E51" s="28"/>
      <c r="F51" s="28"/>
      <c r="G51" s="28"/>
      <c r="H51" s="28"/>
      <c r="I51" s="28"/>
      <c r="J51" s="229"/>
      <c r="K51" s="53"/>
      <c r="L51" s="53"/>
      <c r="M51" s="53"/>
      <c r="N51" s="53"/>
    </row>
    <row r="52" spans="1:14" x14ac:dyDescent="0.2">
      <c r="A52" s="52"/>
      <c r="B52" s="27"/>
      <c r="C52" s="27"/>
      <c r="D52" s="27"/>
      <c r="E52" s="28"/>
      <c r="F52" s="28"/>
      <c r="G52" s="28"/>
      <c r="H52" s="28"/>
      <c r="I52" s="28"/>
      <c r="J52" s="229"/>
      <c r="K52" s="53"/>
      <c r="L52" s="53"/>
      <c r="M52" s="53"/>
      <c r="N52" s="53"/>
    </row>
    <row r="53" spans="1:14" x14ac:dyDescent="0.2">
      <c r="A53" s="52"/>
      <c r="B53" s="27"/>
      <c r="C53" s="27"/>
      <c r="D53" s="27"/>
      <c r="E53" s="28"/>
      <c r="F53" s="28"/>
      <c r="G53" s="28"/>
      <c r="H53" s="28"/>
      <c r="I53" s="28"/>
      <c r="J53" s="229"/>
      <c r="K53" s="53"/>
      <c r="L53" s="53"/>
      <c r="M53" s="53"/>
      <c r="N53" s="53"/>
    </row>
    <row r="54" spans="1:14" x14ac:dyDescent="0.2">
      <c r="A54" s="52"/>
      <c r="B54" s="27"/>
      <c r="C54" s="27"/>
      <c r="D54" s="27"/>
      <c r="E54" s="28"/>
      <c r="F54" s="28"/>
      <c r="G54" s="28"/>
      <c r="H54" s="28"/>
      <c r="I54" s="28"/>
      <c r="J54" s="229"/>
      <c r="K54" s="53"/>
      <c r="L54" s="53"/>
      <c r="M54" s="53"/>
      <c r="N54" s="53"/>
    </row>
    <row r="55" spans="1:14" x14ac:dyDescent="0.2">
      <c r="A55" s="52"/>
      <c r="B55" s="27"/>
      <c r="C55" s="27"/>
      <c r="D55" s="27"/>
      <c r="E55" s="28"/>
      <c r="F55" s="28"/>
      <c r="G55" s="28"/>
      <c r="H55" s="28"/>
      <c r="I55" s="28"/>
      <c r="J55" s="229"/>
      <c r="K55" s="53"/>
      <c r="L55" s="53"/>
      <c r="M55" s="53"/>
      <c r="N55" s="53"/>
    </row>
    <row r="56" spans="1:14" x14ac:dyDescent="0.2">
      <c r="A56" s="52"/>
      <c r="B56" s="27"/>
      <c r="C56" s="27"/>
      <c r="D56" s="27"/>
      <c r="E56" s="28"/>
      <c r="F56" s="28"/>
      <c r="G56" s="28"/>
      <c r="H56" s="28"/>
      <c r="I56" s="28"/>
      <c r="J56" s="229"/>
      <c r="K56" s="53"/>
      <c r="L56" s="53"/>
      <c r="M56" s="53"/>
      <c r="N56" s="53"/>
    </row>
    <row r="57" spans="1:14" x14ac:dyDescent="0.2">
      <c r="A57" s="52"/>
      <c r="B57" s="27"/>
      <c r="C57" s="27"/>
      <c r="D57" s="27"/>
      <c r="E57" s="28"/>
      <c r="F57" s="28"/>
      <c r="G57" s="28"/>
      <c r="H57" s="28"/>
      <c r="I57" s="28"/>
      <c r="J57" s="229"/>
      <c r="K57" s="53"/>
      <c r="L57" s="53"/>
      <c r="M57" s="53"/>
      <c r="N57" s="53"/>
    </row>
    <row r="58" spans="1:14" x14ac:dyDescent="0.2">
      <c r="A58" s="52"/>
      <c r="B58" s="27"/>
      <c r="C58" s="27"/>
      <c r="D58" s="27"/>
      <c r="E58" s="28"/>
      <c r="F58" s="28"/>
      <c r="G58" s="28"/>
      <c r="H58" s="28"/>
      <c r="I58" s="28"/>
      <c r="J58" s="229"/>
      <c r="K58" s="53"/>
      <c r="L58" s="53"/>
      <c r="M58" s="53"/>
      <c r="N58" s="53"/>
    </row>
    <row r="59" spans="1:14" x14ac:dyDescent="0.2">
      <c r="A59" s="52"/>
      <c r="B59" s="27"/>
      <c r="C59" s="27"/>
      <c r="D59" s="27"/>
      <c r="E59" s="28"/>
      <c r="F59" s="28"/>
      <c r="G59" s="28"/>
      <c r="H59" s="28"/>
      <c r="I59" s="28"/>
      <c r="J59" s="229"/>
      <c r="K59" s="53"/>
      <c r="L59" s="53"/>
      <c r="M59" s="53"/>
      <c r="N59" s="53"/>
    </row>
    <row r="60" spans="1:14" x14ac:dyDescent="0.2">
      <c r="A60" s="52"/>
      <c r="B60" s="27"/>
      <c r="C60" s="27"/>
      <c r="D60" s="27"/>
      <c r="E60" s="28"/>
      <c r="F60" s="28"/>
      <c r="G60" s="28"/>
      <c r="H60" s="28"/>
      <c r="I60" s="28"/>
      <c r="J60" s="229"/>
      <c r="K60" s="53"/>
      <c r="L60" s="53"/>
      <c r="M60" s="53"/>
      <c r="N60" s="53"/>
    </row>
    <row r="61" spans="1:14" x14ac:dyDescent="0.2">
      <c r="A61" s="52"/>
      <c r="B61" s="27"/>
      <c r="C61" s="27"/>
      <c r="D61" s="27"/>
      <c r="E61" s="28"/>
      <c r="F61" s="28"/>
      <c r="G61" s="28"/>
      <c r="H61" s="28"/>
      <c r="I61" s="28"/>
      <c r="J61" s="229"/>
      <c r="K61" s="53"/>
      <c r="L61" s="53"/>
      <c r="M61" s="53"/>
      <c r="N61" s="53"/>
    </row>
    <row r="62" spans="1:14" ht="13.5" thickBot="1" x14ac:dyDescent="0.25">
      <c r="A62" s="14"/>
      <c r="B62" s="15"/>
      <c r="C62" s="15"/>
      <c r="D62" s="15"/>
      <c r="E62" s="16"/>
      <c r="F62" s="16"/>
      <c r="G62" s="16"/>
      <c r="H62" s="16"/>
      <c r="I62" s="16"/>
      <c r="J62" s="16"/>
      <c r="K62" s="16"/>
      <c r="L62" s="16"/>
      <c r="M62" s="16"/>
      <c r="N62" s="16"/>
    </row>
    <row r="63" spans="1:14" x14ac:dyDescent="0.2">
      <c r="A63" s="20"/>
      <c r="B63" s="21"/>
      <c r="C63" s="21"/>
      <c r="D63" s="21"/>
      <c r="E63" s="22"/>
      <c r="F63" s="22"/>
      <c r="G63" s="22"/>
      <c r="H63" s="22"/>
      <c r="I63" s="22"/>
      <c r="J63" s="22"/>
      <c r="K63" s="22"/>
      <c r="L63" s="22"/>
      <c r="M63" s="22"/>
      <c r="N63" s="23"/>
    </row>
    <row r="64" spans="1:14" ht="15" x14ac:dyDescent="0.2">
      <c r="A64" s="24"/>
      <c r="B64" s="440" t="s">
        <v>179</v>
      </c>
      <c r="C64" s="441"/>
      <c r="D64" s="441"/>
      <c r="E64" s="441"/>
      <c r="F64" s="441"/>
      <c r="G64" s="441"/>
      <c r="H64" s="441"/>
      <c r="I64" s="441"/>
      <c r="J64" s="441"/>
      <c r="K64" s="441"/>
      <c r="L64" s="441"/>
      <c r="M64" s="442"/>
      <c r="N64" s="25" t="s">
        <v>1102</v>
      </c>
    </row>
    <row r="65" spans="1:14" x14ac:dyDescent="0.2">
      <c r="A65" s="24"/>
      <c r="B65" s="26" t="s">
        <v>428</v>
      </c>
      <c r="C65" s="27" t="s">
        <v>587</v>
      </c>
      <c r="D65" s="27"/>
      <c r="E65" s="28"/>
      <c r="F65" s="28"/>
      <c r="G65" s="28"/>
      <c r="H65" s="28"/>
      <c r="I65" s="28"/>
      <c r="J65" s="28"/>
      <c r="K65" s="28"/>
      <c r="L65" s="28"/>
      <c r="M65" s="28"/>
      <c r="N65" s="29"/>
    </row>
    <row r="66" spans="1:14" x14ac:dyDescent="0.2">
      <c r="A66" s="24"/>
      <c r="B66" s="26" t="s">
        <v>429</v>
      </c>
      <c r="C66" s="27" t="s">
        <v>939</v>
      </c>
      <c r="D66" s="27"/>
      <c r="E66" s="28"/>
      <c r="F66" s="28"/>
      <c r="G66" s="28"/>
      <c r="H66" s="28"/>
      <c r="I66" s="28"/>
      <c r="J66" s="28"/>
      <c r="K66" s="28"/>
      <c r="L66" s="28"/>
      <c r="M66" s="28"/>
      <c r="N66" s="29"/>
    </row>
    <row r="67" spans="1:14" x14ac:dyDescent="0.2">
      <c r="A67" s="24"/>
      <c r="B67" s="26" t="s">
        <v>427</v>
      </c>
      <c r="C67" s="436" t="s">
        <v>588</v>
      </c>
      <c r="D67" s="436"/>
      <c r="E67" s="436"/>
      <c r="F67" s="436"/>
      <c r="G67" s="436"/>
      <c r="H67" s="436"/>
      <c r="I67" s="436"/>
      <c r="J67" s="436"/>
      <c r="K67" s="436"/>
      <c r="L67" s="436"/>
      <c r="M67" s="436"/>
      <c r="N67" s="437"/>
    </row>
    <row r="68" spans="1:14" x14ac:dyDescent="0.2">
      <c r="A68" s="24"/>
      <c r="B68" s="15"/>
      <c r="C68" s="436"/>
      <c r="D68" s="436"/>
      <c r="E68" s="436"/>
      <c r="F68" s="436"/>
      <c r="G68" s="436"/>
      <c r="H68" s="436"/>
      <c r="I68" s="436"/>
      <c r="J68" s="436"/>
      <c r="K68" s="436"/>
      <c r="L68" s="436"/>
      <c r="M68" s="436"/>
      <c r="N68" s="437"/>
    </row>
    <row r="69" spans="1:14" x14ac:dyDescent="0.2">
      <c r="A69" s="24"/>
      <c r="B69" s="15"/>
      <c r="C69" s="438"/>
      <c r="D69" s="438"/>
      <c r="E69" s="438"/>
      <c r="F69" s="438"/>
      <c r="G69" s="438"/>
      <c r="H69" s="438"/>
      <c r="I69" s="438"/>
      <c r="J69" s="438"/>
      <c r="K69" s="438"/>
      <c r="L69" s="438"/>
      <c r="M69" s="438"/>
      <c r="N69" s="439"/>
    </row>
    <row r="70" spans="1:14" x14ac:dyDescent="0.2">
      <c r="A70" s="24"/>
      <c r="B70" s="15"/>
      <c r="C70" s="438"/>
      <c r="D70" s="438"/>
      <c r="E70" s="438"/>
      <c r="F70" s="438"/>
      <c r="G70" s="438"/>
      <c r="H70" s="438"/>
      <c r="I70" s="438"/>
      <c r="J70" s="438"/>
      <c r="K70" s="438"/>
      <c r="L70" s="438"/>
      <c r="M70" s="438"/>
      <c r="N70" s="439"/>
    </row>
    <row r="71" spans="1:14" ht="13.5" thickBot="1" x14ac:dyDescent="0.25">
      <c r="A71" s="24"/>
      <c r="B71" s="26" t="s">
        <v>430</v>
      </c>
      <c r="C71" s="31"/>
      <c r="D71" s="31"/>
      <c r="E71" s="32"/>
      <c r="F71" s="32"/>
      <c r="G71" s="32"/>
      <c r="H71" s="32"/>
      <c r="I71" s="32"/>
      <c r="J71" s="32"/>
      <c r="K71" s="32"/>
      <c r="L71" s="32"/>
      <c r="M71" s="32"/>
      <c r="N71" s="33"/>
    </row>
    <row r="72" spans="1:14" ht="13.5" thickBot="1" x14ac:dyDescent="0.25">
      <c r="A72" s="84"/>
      <c r="B72" s="55" t="s">
        <v>263</v>
      </c>
      <c r="C72" s="31"/>
      <c r="D72" s="31"/>
      <c r="E72" s="32"/>
      <c r="F72" s="32"/>
      <c r="G72" s="32"/>
      <c r="H72" s="32"/>
      <c r="I72" s="32"/>
      <c r="J72" s="49" t="s">
        <v>1921</v>
      </c>
      <c r="K72" s="40"/>
      <c r="L72" s="40"/>
      <c r="M72" s="40"/>
      <c r="N72" s="40"/>
    </row>
    <row r="73" spans="1:14" x14ac:dyDescent="0.2">
      <c r="A73" s="20"/>
      <c r="B73" s="434" t="s">
        <v>67</v>
      </c>
      <c r="C73" s="434"/>
      <c r="D73" s="434"/>
      <c r="E73" s="22"/>
      <c r="F73" s="22" t="s">
        <v>1180</v>
      </c>
      <c r="G73" s="22" t="s">
        <v>68</v>
      </c>
      <c r="H73" s="22" t="s">
        <v>702</v>
      </c>
      <c r="I73" s="22"/>
      <c r="J73" s="74">
        <f>36/ATHENS!O1*ATHENS!O2</f>
        <v>65.454545454545453</v>
      </c>
      <c r="K73" s="42"/>
      <c r="L73" s="42"/>
      <c r="M73" s="42"/>
      <c r="N73" s="42"/>
    </row>
    <row r="74" spans="1:14" x14ac:dyDescent="0.2">
      <c r="A74" s="24"/>
      <c r="B74" s="435" t="s">
        <v>67</v>
      </c>
      <c r="C74" s="435"/>
      <c r="D74" s="435"/>
      <c r="E74" s="28"/>
      <c r="F74" s="28" t="s">
        <v>1181</v>
      </c>
      <c r="G74" s="28" t="s">
        <v>68</v>
      </c>
      <c r="H74" s="28" t="s">
        <v>702</v>
      </c>
      <c r="I74" s="28"/>
      <c r="J74" s="75">
        <f>25/ATHENS!O1*ATHENS!O2</f>
        <v>45.454545454545453</v>
      </c>
      <c r="K74" s="44"/>
      <c r="L74" s="44"/>
      <c r="M74" s="44"/>
      <c r="N74" s="44"/>
    </row>
    <row r="75" spans="1:14" x14ac:dyDescent="0.2">
      <c r="A75" s="24"/>
      <c r="B75" s="435" t="s">
        <v>67</v>
      </c>
      <c r="C75" s="435"/>
      <c r="D75" s="435"/>
      <c r="E75" s="28"/>
      <c r="F75" s="28" t="s">
        <v>1182</v>
      </c>
      <c r="G75" s="28" t="s">
        <v>68</v>
      </c>
      <c r="H75" s="28" t="s">
        <v>702</v>
      </c>
      <c r="I75" s="28"/>
      <c r="J75" s="75">
        <f>20/ATHENS!O1*ATHENS!O2</f>
        <v>36.36363636363636</v>
      </c>
      <c r="K75" s="44"/>
      <c r="L75" s="44"/>
      <c r="M75" s="44"/>
      <c r="N75" s="44"/>
    </row>
    <row r="76" spans="1:14" x14ac:dyDescent="0.2">
      <c r="A76" s="24"/>
      <c r="B76" s="435" t="s">
        <v>901</v>
      </c>
      <c r="C76" s="435"/>
      <c r="D76" s="435"/>
      <c r="E76" s="28"/>
      <c r="F76" s="28" t="s">
        <v>706</v>
      </c>
      <c r="G76" s="28" t="s">
        <v>68</v>
      </c>
      <c r="H76" s="28" t="s">
        <v>702</v>
      </c>
      <c r="I76" s="28"/>
      <c r="J76" s="75">
        <f>24/ATHENS!O1*ATHENS!O2</f>
        <v>43.636363636363633</v>
      </c>
      <c r="K76" s="44"/>
      <c r="L76" s="44"/>
      <c r="M76" s="44"/>
      <c r="N76" s="44"/>
    </row>
    <row r="77" spans="1:14" ht="13.5" thickBot="1" x14ac:dyDescent="0.25">
      <c r="A77" s="30"/>
      <c r="B77" s="443"/>
      <c r="C77" s="443"/>
      <c r="D77" s="443"/>
      <c r="E77" s="32"/>
      <c r="F77" s="32"/>
      <c r="G77" s="32"/>
      <c r="H77" s="32"/>
      <c r="I77" s="32"/>
      <c r="J77" s="76"/>
      <c r="K77" s="46"/>
      <c r="L77" s="46"/>
      <c r="M77" s="46"/>
      <c r="N77" s="46"/>
    </row>
    <row r="78" spans="1:14" x14ac:dyDescent="0.2">
      <c r="A78" s="14"/>
      <c r="B78" s="15"/>
      <c r="C78" s="15"/>
      <c r="D78" s="15"/>
      <c r="E78" s="16"/>
      <c r="F78" s="16"/>
      <c r="G78" s="16"/>
      <c r="H78" s="16"/>
      <c r="I78" s="16"/>
      <c r="J78" s="16"/>
      <c r="K78" s="16"/>
      <c r="L78" s="16"/>
      <c r="M78" s="16"/>
      <c r="N78" s="16"/>
    </row>
    <row r="79" spans="1:14" x14ac:dyDescent="0.2">
      <c r="A79" s="14"/>
      <c r="B79" s="15"/>
      <c r="C79" s="15"/>
      <c r="D79" s="15"/>
      <c r="E79" s="16"/>
      <c r="F79" s="16"/>
      <c r="G79" s="16"/>
      <c r="H79" s="16"/>
      <c r="I79" s="16"/>
      <c r="J79" s="16"/>
      <c r="K79" s="16"/>
      <c r="L79" s="16"/>
      <c r="M79" s="16"/>
      <c r="N79" s="16"/>
    </row>
  </sheetData>
  <customSheetViews>
    <customSheetView guid="{3C76061C-A85D-4390-B9DB-73E13038638C}" showPageBreaks="1" showGridLines="0" view="pageLayout" topLeftCell="A100">
      <selection activeCell="M51" sqref="M51"/>
      <pageMargins left="0.28125" right="0.25" top="0.6692913385826772" bottom="0.70866141732283472" header="0.23622047244094491" footer="0.47244094488188981"/>
      <printOptions horizontalCentered="1"/>
      <pageSetup paperSize="9" firstPageNumber="46"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24">
    <mergeCell ref="B77:D77"/>
    <mergeCell ref="B76:D76"/>
    <mergeCell ref="B39:D39"/>
    <mergeCell ref="B41:D41"/>
    <mergeCell ref="B64:M64"/>
    <mergeCell ref="B75:D75"/>
    <mergeCell ref="B40:D40"/>
    <mergeCell ref="C67:N70"/>
    <mergeCell ref="B73:D73"/>
    <mergeCell ref="B74:D74"/>
    <mergeCell ref="B28:D28"/>
    <mergeCell ref="B31:M31"/>
    <mergeCell ref="C34:N35"/>
    <mergeCell ref="B38:D38"/>
    <mergeCell ref="B27:D27"/>
    <mergeCell ref="B17:M17"/>
    <mergeCell ref="C20:N22"/>
    <mergeCell ref="C6:N8"/>
    <mergeCell ref="B26:D26"/>
    <mergeCell ref="B3:M3"/>
    <mergeCell ref="B11:D11"/>
    <mergeCell ref="B12:D12"/>
    <mergeCell ref="B13:D13"/>
    <mergeCell ref="B25:D25"/>
  </mergeCells>
  <phoneticPr fontId="17" type="noConversion"/>
  <hyperlinks>
    <hyperlink ref="B3:M3" r:id="rId2" display="Amalia" xr:uid="{00000000-0004-0000-0D00-000000000000}"/>
    <hyperlink ref="B17:M17" r:id="rId3" display="Acropole" xr:uid="{00000000-0004-0000-0D00-000001000000}"/>
    <hyperlink ref="B31:M31" r:id="rId4" display="Arion" xr:uid="{00000000-0004-0000-0D00-000002000000}"/>
    <hyperlink ref="B64:M64" r:id="rId5" display="Fedriades" xr:uid="{00000000-0004-0000-0D00-000003000000}"/>
  </hyperlinks>
  <printOptions horizontalCentered="1"/>
  <pageMargins left="0.28125" right="0.25" top="0.6692913385826772" bottom="0.70866141732283472" header="0.23622047244094491" footer="0.47244094488188981"/>
  <pageSetup paperSize="9" firstPageNumber="46" orientation="portrait" useFirstPageNumber="1" horizontalDpi="300" verticalDpi="300" r:id="rId6"/>
  <headerFooter scaleWithDoc="0" alignWithMargins="0">
    <oddHeader xml:space="preserve">&amp;C TARIFF 2021
 (EURO)
</oddHeader>
    <oddFooter>&amp;LAll rates are in EURO&amp;C
TARIFF 2021
&amp;RPage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20"/>
  <sheetViews>
    <sheetView showGridLines="0" view="pageLayout" topLeftCell="A22" workbookViewId="0">
      <selection activeCell="M53" sqref="M53"/>
    </sheetView>
  </sheetViews>
  <sheetFormatPr defaultRowHeight="12.75" x14ac:dyDescent="0.2"/>
  <cols>
    <col min="1" max="1" width="1.85546875" style="68" customWidth="1"/>
    <col min="2" max="3" width="10.7109375" style="68" customWidth="1"/>
    <col min="4" max="9" width="3.7109375" style="68" customWidth="1"/>
    <col min="10" max="14" width="10.7109375" style="68" customWidth="1"/>
    <col min="15" max="16384" width="9.140625" style="68"/>
  </cols>
  <sheetData>
    <row r="1" spans="1:14" ht="13.5" thickBot="1" x14ac:dyDescent="0.25">
      <c r="A1" s="14"/>
      <c r="B1" s="18"/>
      <c r="C1" s="18"/>
      <c r="D1" s="18"/>
      <c r="E1" s="19"/>
      <c r="F1" s="19"/>
      <c r="G1" s="19"/>
      <c r="H1" s="19"/>
      <c r="I1" s="19"/>
      <c r="J1" s="19"/>
      <c r="K1" s="19"/>
      <c r="L1" s="19"/>
      <c r="M1" s="19"/>
      <c r="N1" s="19"/>
    </row>
    <row r="2" spans="1:14" x14ac:dyDescent="0.2">
      <c r="A2" s="20"/>
      <c r="B2" s="21"/>
      <c r="C2" s="21"/>
      <c r="D2" s="21"/>
      <c r="E2" s="22"/>
      <c r="F2" s="22"/>
      <c r="G2" s="22"/>
      <c r="H2" s="22"/>
      <c r="I2" s="22"/>
      <c r="J2" s="22"/>
      <c r="K2" s="22"/>
      <c r="L2" s="22"/>
      <c r="M2" s="22"/>
      <c r="N2" s="23"/>
    </row>
    <row r="3" spans="1:14" ht="15" x14ac:dyDescent="0.2">
      <c r="A3" s="24"/>
      <c r="B3" s="440" t="s">
        <v>661</v>
      </c>
      <c r="C3" s="441"/>
      <c r="D3" s="441"/>
      <c r="E3" s="441"/>
      <c r="F3" s="441"/>
      <c r="G3" s="441"/>
      <c r="H3" s="441"/>
      <c r="I3" s="441"/>
      <c r="J3" s="441"/>
      <c r="K3" s="441"/>
      <c r="L3" s="441"/>
      <c r="M3" s="442"/>
      <c r="N3" s="25" t="s">
        <v>91</v>
      </c>
    </row>
    <row r="4" spans="1:14" x14ac:dyDescent="0.2">
      <c r="A4" s="24"/>
      <c r="B4" s="26" t="s">
        <v>428</v>
      </c>
      <c r="C4" s="27" t="s">
        <v>529</v>
      </c>
      <c r="D4" s="27"/>
      <c r="E4" s="28"/>
      <c r="F4" s="28"/>
      <c r="G4" s="28"/>
      <c r="H4" s="28"/>
      <c r="I4" s="28"/>
      <c r="J4" s="28"/>
      <c r="K4" s="28"/>
      <c r="L4" s="28"/>
      <c r="M4" s="28"/>
      <c r="N4" s="29"/>
    </row>
    <row r="5" spans="1:14" x14ac:dyDescent="0.2">
      <c r="A5" s="24"/>
      <c r="B5" s="26" t="s">
        <v>429</v>
      </c>
      <c r="C5" s="27" t="s">
        <v>940</v>
      </c>
      <c r="D5" s="27"/>
      <c r="E5" s="28"/>
      <c r="F5" s="28"/>
      <c r="G5" s="28"/>
      <c r="H5" s="28"/>
      <c r="I5" s="28"/>
      <c r="J5" s="28"/>
      <c r="K5" s="28"/>
      <c r="L5" s="28"/>
      <c r="M5" s="28"/>
      <c r="N5" s="29"/>
    </row>
    <row r="6" spans="1:14" x14ac:dyDescent="0.2">
      <c r="A6" s="24"/>
      <c r="B6" s="26" t="s">
        <v>427</v>
      </c>
      <c r="C6" s="436" t="s">
        <v>530</v>
      </c>
      <c r="D6" s="436"/>
      <c r="E6" s="436"/>
      <c r="F6" s="436"/>
      <c r="G6" s="436"/>
      <c r="H6" s="436"/>
      <c r="I6" s="436"/>
      <c r="J6" s="436"/>
      <c r="K6" s="436"/>
      <c r="L6" s="436"/>
      <c r="M6" s="436"/>
      <c r="N6" s="437"/>
    </row>
    <row r="7" spans="1:14" x14ac:dyDescent="0.2">
      <c r="A7" s="24"/>
      <c r="B7" s="27"/>
      <c r="C7" s="436"/>
      <c r="D7" s="436"/>
      <c r="E7" s="436"/>
      <c r="F7" s="436"/>
      <c r="G7" s="436"/>
      <c r="H7" s="436"/>
      <c r="I7" s="436"/>
      <c r="J7" s="436"/>
      <c r="K7" s="436"/>
      <c r="L7" s="436"/>
      <c r="M7" s="436"/>
      <c r="N7" s="437"/>
    </row>
    <row r="8" spans="1:14" x14ac:dyDescent="0.2">
      <c r="A8" s="24"/>
      <c r="B8" s="27"/>
      <c r="C8" s="438"/>
      <c r="D8" s="438"/>
      <c r="E8" s="438"/>
      <c r="F8" s="438"/>
      <c r="G8" s="438"/>
      <c r="H8" s="438"/>
      <c r="I8" s="438"/>
      <c r="J8" s="438"/>
      <c r="K8" s="438"/>
      <c r="L8" s="438"/>
      <c r="M8" s="438"/>
      <c r="N8" s="439"/>
    </row>
    <row r="9" spans="1:14" x14ac:dyDescent="0.2">
      <c r="A9" s="24"/>
      <c r="B9" s="26" t="s">
        <v>426</v>
      </c>
      <c r="C9" s="27"/>
      <c r="D9" s="27"/>
      <c r="E9" s="28"/>
      <c r="F9" s="28"/>
      <c r="G9" s="28"/>
      <c r="H9" s="28"/>
      <c r="I9" s="28"/>
      <c r="J9" s="28"/>
      <c r="K9" s="28"/>
      <c r="L9" s="28"/>
      <c r="M9" s="28"/>
      <c r="N9" s="29"/>
    </row>
    <row r="10" spans="1:14" ht="13.5" thickBot="1" x14ac:dyDescent="0.25">
      <c r="A10" s="30"/>
      <c r="B10" s="26" t="s">
        <v>430</v>
      </c>
      <c r="C10" s="31"/>
      <c r="D10" s="31"/>
      <c r="E10" s="32"/>
      <c r="F10" s="32"/>
      <c r="G10" s="32"/>
      <c r="H10" s="32"/>
      <c r="I10" s="32"/>
      <c r="J10" s="32"/>
      <c r="K10" s="32"/>
      <c r="L10" s="32"/>
      <c r="M10" s="32"/>
      <c r="N10" s="33"/>
    </row>
    <row r="11" spans="1:14" x14ac:dyDescent="0.2">
      <c r="A11" s="20"/>
      <c r="B11" s="21" t="s">
        <v>263</v>
      </c>
      <c r="C11" s="21"/>
      <c r="D11" s="21"/>
      <c r="E11" s="22"/>
      <c r="F11" s="22"/>
      <c r="G11" s="22"/>
      <c r="H11" s="22"/>
      <c r="I11" s="22"/>
      <c r="J11" s="48"/>
      <c r="K11" s="37" t="s">
        <v>1572</v>
      </c>
      <c r="L11" s="37"/>
      <c r="M11" s="37" t="s">
        <v>1826</v>
      </c>
      <c r="N11" s="37"/>
    </row>
    <row r="12" spans="1:14" x14ac:dyDescent="0.2">
      <c r="A12" s="24"/>
      <c r="B12" s="27"/>
      <c r="C12" s="27"/>
      <c r="D12" s="27"/>
      <c r="E12" s="28"/>
      <c r="F12" s="28"/>
      <c r="G12" s="28"/>
      <c r="H12" s="28"/>
      <c r="I12" s="28"/>
      <c r="J12" s="67" t="s">
        <v>1350</v>
      </c>
      <c r="K12" s="63" t="s">
        <v>1915</v>
      </c>
      <c r="L12" s="63" t="s">
        <v>1352</v>
      </c>
      <c r="M12" s="63" t="s">
        <v>524</v>
      </c>
      <c r="N12" s="63"/>
    </row>
    <row r="13" spans="1:14" ht="13.5" thickBot="1" x14ac:dyDescent="0.25">
      <c r="A13" s="30"/>
      <c r="B13" s="31"/>
      <c r="C13" s="31"/>
      <c r="D13" s="31"/>
      <c r="E13" s="32"/>
      <c r="F13" s="32"/>
      <c r="G13" s="32"/>
      <c r="H13" s="32"/>
      <c r="I13" s="32"/>
      <c r="J13" s="49" t="s">
        <v>1351</v>
      </c>
      <c r="K13" s="40" t="s">
        <v>481</v>
      </c>
      <c r="L13" s="40" t="s">
        <v>832</v>
      </c>
      <c r="M13" s="40" t="s">
        <v>1916</v>
      </c>
      <c r="N13" s="40"/>
    </row>
    <row r="14" spans="1:14" x14ac:dyDescent="0.2">
      <c r="A14" s="20"/>
      <c r="B14" s="434" t="s">
        <v>67</v>
      </c>
      <c r="C14" s="434"/>
      <c r="D14" s="434"/>
      <c r="E14" s="22"/>
      <c r="F14" s="22" t="s">
        <v>1180</v>
      </c>
      <c r="G14" s="22" t="s">
        <v>68</v>
      </c>
      <c r="H14" s="22" t="s">
        <v>702</v>
      </c>
      <c r="I14" s="22"/>
      <c r="J14" s="75">
        <f>100/ATHENS!O1*ATHENS!O2</f>
        <v>181.81818181818181</v>
      </c>
      <c r="K14" s="75">
        <f>111/ATHENS!O1*ATHENS!O2</f>
        <v>201.81818181818181</v>
      </c>
      <c r="L14" s="75">
        <f>130/ATHENS!O1*ATHENS!O2</f>
        <v>236.36363636363635</v>
      </c>
      <c r="M14" s="75">
        <f>154/ATHENS!O1*ATHENS!O2</f>
        <v>280</v>
      </c>
      <c r="N14" s="42"/>
    </row>
    <row r="15" spans="1:14" x14ac:dyDescent="0.2">
      <c r="A15" s="24"/>
      <c r="B15" s="435" t="s">
        <v>67</v>
      </c>
      <c r="C15" s="435"/>
      <c r="D15" s="435"/>
      <c r="E15" s="28"/>
      <c r="F15" s="28" t="s">
        <v>1181</v>
      </c>
      <c r="G15" s="28" t="s">
        <v>68</v>
      </c>
      <c r="H15" s="28" t="s">
        <v>702</v>
      </c>
      <c r="I15" s="28"/>
      <c r="J15" s="75">
        <f>59.5/ATHENS!O1*ATHENS!O2</f>
        <v>108.18181818181817</v>
      </c>
      <c r="K15" s="75">
        <f>66/ATHENS!O1*ATHENS!O2</f>
        <v>119.99999999999999</v>
      </c>
      <c r="L15" s="75">
        <f>79/ATHENS!O1*ATHENS!O2</f>
        <v>143.63636363636363</v>
      </c>
      <c r="M15" s="75">
        <f>93.5/ATHENS!O1*ATHENS!O2</f>
        <v>170</v>
      </c>
      <c r="N15" s="44"/>
    </row>
    <row r="16" spans="1:14" x14ac:dyDescent="0.2">
      <c r="A16" s="24"/>
      <c r="B16" s="435" t="s">
        <v>67</v>
      </c>
      <c r="C16" s="435"/>
      <c r="D16" s="435"/>
      <c r="E16" s="28"/>
      <c r="F16" s="28" t="s">
        <v>1182</v>
      </c>
      <c r="G16" s="28" t="s">
        <v>68</v>
      </c>
      <c r="H16" s="28" t="s">
        <v>702</v>
      </c>
      <c r="I16" s="28"/>
      <c r="J16" s="75">
        <f>54/ATHENS!O1*ATHENS!O2</f>
        <v>98.181818181818173</v>
      </c>
      <c r="K16" s="75">
        <f>60/ATHENS!O1*ATHENS!O2</f>
        <v>109.09090909090908</v>
      </c>
      <c r="L16" s="75">
        <f>72/ATHENS!O1*ATHENS!O2</f>
        <v>130.90909090909091</v>
      </c>
      <c r="M16" s="75">
        <f>85/ATHENS!O1*ATHENS!O2</f>
        <v>154.54545454545453</v>
      </c>
      <c r="N16" s="44"/>
    </row>
    <row r="17" spans="1:14" ht="13.5" thickBot="1" x14ac:dyDescent="0.25">
      <c r="A17" s="30"/>
      <c r="B17" s="89"/>
      <c r="C17" s="89"/>
      <c r="D17" s="89"/>
      <c r="E17" s="89"/>
      <c r="F17" s="89"/>
      <c r="G17" s="89"/>
      <c r="H17" s="89"/>
      <c r="I17" s="32"/>
      <c r="J17" s="76"/>
      <c r="K17" s="76"/>
      <c r="L17" s="76"/>
      <c r="M17" s="76"/>
      <c r="N17" s="46"/>
    </row>
    <row r="18" spans="1:14" x14ac:dyDescent="0.2">
      <c r="A18" s="14"/>
      <c r="B18" s="18"/>
      <c r="C18" s="18"/>
      <c r="D18" s="18"/>
      <c r="E18" s="19"/>
      <c r="F18" s="19"/>
      <c r="G18" s="19"/>
      <c r="H18" s="19"/>
      <c r="I18" s="19"/>
      <c r="J18" s="19"/>
      <c r="K18" s="19"/>
      <c r="L18" s="19"/>
      <c r="M18" s="19"/>
      <c r="N18" s="19"/>
    </row>
    <row r="19" spans="1:14" x14ac:dyDescent="0.2">
      <c r="A19" s="14"/>
      <c r="B19" s="18"/>
      <c r="C19" s="18"/>
      <c r="D19" s="18"/>
      <c r="E19" s="19"/>
      <c r="F19" s="19"/>
      <c r="G19" s="19"/>
      <c r="H19" s="19"/>
      <c r="I19" s="19"/>
      <c r="J19" s="19"/>
      <c r="K19" s="19"/>
      <c r="L19" s="19"/>
      <c r="M19" s="19"/>
      <c r="N19" s="19"/>
    </row>
    <row r="20" spans="1:14" x14ac:dyDescent="0.2">
      <c r="A20" s="14"/>
      <c r="B20" s="18"/>
      <c r="C20" s="18"/>
      <c r="D20" s="18"/>
      <c r="E20" s="19"/>
      <c r="F20" s="19"/>
      <c r="G20" s="19"/>
      <c r="H20" s="19"/>
      <c r="I20" s="19"/>
      <c r="J20" s="19"/>
      <c r="K20" s="19"/>
      <c r="L20" s="19"/>
      <c r="M20" s="19"/>
      <c r="N20" s="19"/>
    </row>
  </sheetData>
  <customSheetViews>
    <customSheetView guid="{3C76061C-A85D-4390-B9DB-73E13038638C}" showPageBreaks="1" showGridLines="0" view="pageLayout" topLeftCell="A22">
      <selection activeCell="M51" sqref="M51"/>
      <pageMargins left="0.28125" right="0.25" top="0.6692913385826772" bottom="0.70866141732283472" header="0.23622047244094491" footer="0.47244094488188981"/>
      <printOptions horizontalCentered="1"/>
      <pageSetup paperSize="9" firstPageNumber="48"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5">
    <mergeCell ref="C6:N8"/>
    <mergeCell ref="B3:M3"/>
    <mergeCell ref="B14:D14"/>
    <mergeCell ref="B15:D15"/>
    <mergeCell ref="B16:D16"/>
  </mergeCells>
  <phoneticPr fontId="17" type="noConversion"/>
  <hyperlinks>
    <hyperlink ref="B3:M3" r:id="rId2" display="Thermae Sylla Spa" xr:uid="{00000000-0004-0000-0E00-000000000000}"/>
  </hyperlinks>
  <printOptions horizontalCentered="1"/>
  <pageMargins left="0.28125" right="0.25" top="0.6692913385826772" bottom="0.70866141732283472" header="0.23622047244094491" footer="0.47244094488188981"/>
  <pageSetup paperSize="9" firstPageNumber="48" orientation="portrait" useFirstPageNumber="1" horizontalDpi="300" verticalDpi="300" r:id="rId3"/>
  <headerFooter scaleWithDoc="0" alignWithMargins="0">
    <oddHeader xml:space="preserve">&amp;C TARIFF 2021
 (EURO)
</oddHeader>
    <oddFooter>&amp;LAll rates are in EURO&amp;C
TARIFF 2021
&amp;RPage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N15"/>
  <sheetViews>
    <sheetView view="pageLayout" zoomScaleNormal="100" workbookViewId="0">
      <selection activeCell="M53" sqref="M53"/>
    </sheetView>
  </sheetViews>
  <sheetFormatPr defaultRowHeight="12.75" x14ac:dyDescent="0.2"/>
  <cols>
    <col min="1" max="1" width="5.42578125" customWidth="1"/>
    <col min="4" max="4" width="5.5703125" customWidth="1"/>
    <col min="5" max="5" width="4.85546875" customWidth="1"/>
    <col min="6" max="7" width="5.42578125" customWidth="1"/>
    <col min="8" max="8" width="4.5703125" customWidth="1"/>
    <col min="9" max="9" width="9.85546875" customWidth="1"/>
    <col min="10" max="10" width="11.7109375" customWidth="1"/>
    <col min="11" max="11" width="11.85546875" customWidth="1"/>
    <col min="12" max="12" width="7.5703125" customWidth="1"/>
  </cols>
  <sheetData>
    <row r="2" spans="1:14" ht="13.5" thickBot="1" x14ac:dyDescent="0.25"/>
    <row r="3" spans="1:14" x14ac:dyDescent="0.2">
      <c r="A3" s="20"/>
      <c r="B3" s="21"/>
      <c r="C3" s="21"/>
      <c r="D3" s="21"/>
      <c r="E3" s="22"/>
      <c r="F3" s="22"/>
      <c r="G3" s="22"/>
      <c r="H3" s="22"/>
      <c r="I3" s="22"/>
      <c r="J3" s="22"/>
      <c r="K3" s="22"/>
      <c r="L3" s="22"/>
      <c r="M3" s="22"/>
      <c r="N3" s="23"/>
    </row>
    <row r="4" spans="1:14" x14ac:dyDescent="0.2">
      <c r="A4" s="24"/>
      <c r="B4" s="455" t="s">
        <v>1685</v>
      </c>
      <c r="C4" s="456"/>
      <c r="D4" s="456"/>
      <c r="E4" s="456"/>
      <c r="F4" s="456"/>
      <c r="G4" s="456"/>
      <c r="H4" s="456"/>
      <c r="I4" s="456"/>
      <c r="J4" s="456"/>
      <c r="K4" s="456"/>
      <c r="L4" s="456"/>
      <c r="M4" s="457"/>
      <c r="N4" s="25" t="s">
        <v>96</v>
      </c>
    </row>
    <row r="5" spans="1:14" x14ac:dyDescent="0.2">
      <c r="A5" s="24"/>
      <c r="B5" s="26" t="s">
        <v>428</v>
      </c>
      <c r="C5" s="27" t="s">
        <v>1686</v>
      </c>
      <c r="D5" s="27"/>
      <c r="E5" s="28"/>
      <c r="F5" s="28"/>
      <c r="G5" s="28"/>
      <c r="H5" s="28"/>
      <c r="I5" s="28"/>
      <c r="J5" s="28"/>
      <c r="K5" s="28"/>
      <c r="L5" s="28"/>
      <c r="M5" s="28"/>
      <c r="N5" s="29"/>
    </row>
    <row r="6" spans="1:14" x14ac:dyDescent="0.2">
      <c r="A6" s="24"/>
      <c r="B6" s="26" t="s">
        <v>429</v>
      </c>
      <c r="C6" s="27" t="s">
        <v>1673</v>
      </c>
      <c r="D6" s="27"/>
      <c r="E6" s="28"/>
      <c r="F6" s="28"/>
      <c r="G6" s="28"/>
      <c r="H6" s="28"/>
      <c r="I6" s="28"/>
      <c r="J6" s="28"/>
      <c r="K6" s="28"/>
      <c r="L6" s="28"/>
      <c r="M6" s="28"/>
      <c r="N6" s="29"/>
    </row>
    <row r="7" spans="1:14" x14ac:dyDescent="0.2">
      <c r="A7" s="24"/>
      <c r="B7" s="26" t="s">
        <v>427</v>
      </c>
      <c r="C7" s="436" t="s">
        <v>1687</v>
      </c>
      <c r="D7" s="436"/>
      <c r="E7" s="436"/>
      <c r="F7" s="436"/>
      <c r="G7" s="436"/>
      <c r="H7" s="436"/>
      <c r="I7" s="436"/>
      <c r="J7" s="436"/>
      <c r="K7" s="436"/>
      <c r="L7" s="436"/>
      <c r="M7" s="436"/>
      <c r="N7" s="437"/>
    </row>
    <row r="8" spans="1:14" x14ac:dyDescent="0.2">
      <c r="A8" s="24"/>
      <c r="B8" s="27"/>
      <c r="C8" s="436"/>
      <c r="D8" s="436"/>
      <c r="E8" s="436"/>
      <c r="F8" s="436"/>
      <c r="G8" s="436"/>
      <c r="H8" s="436"/>
      <c r="I8" s="436"/>
      <c r="J8" s="436"/>
      <c r="K8" s="436"/>
      <c r="L8" s="436"/>
      <c r="M8" s="436"/>
      <c r="N8" s="437"/>
    </row>
    <row r="9" spans="1:14" x14ac:dyDescent="0.2">
      <c r="A9" s="24"/>
      <c r="B9" s="26" t="s">
        <v>426</v>
      </c>
      <c r="C9" s="27" t="s">
        <v>1686</v>
      </c>
      <c r="D9" s="27"/>
      <c r="E9" s="28"/>
      <c r="F9" s="28"/>
      <c r="G9" s="28"/>
      <c r="H9" s="28"/>
      <c r="I9" s="28"/>
      <c r="J9" s="28"/>
      <c r="K9" s="28"/>
      <c r="L9" s="28"/>
      <c r="M9" s="28"/>
      <c r="N9" s="29"/>
    </row>
    <row r="10" spans="1:14" ht="13.5" thickBot="1" x14ac:dyDescent="0.25">
      <c r="A10" s="30"/>
      <c r="B10" s="26" t="s">
        <v>430</v>
      </c>
      <c r="C10" s="31"/>
      <c r="D10" s="31"/>
      <c r="E10" s="32"/>
      <c r="F10" s="32"/>
      <c r="G10" s="32"/>
      <c r="H10" s="32"/>
      <c r="I10" s="32"/>
      <c r="J10" s="32"/>
      <c r="K10" s="32"/>
      <c r="L10" s="32"/>
      <c r="M10" s="32"/>
      <c r="N10" s="33"/>
    </row>
    <row r="11" spans="1:14" x14ac:dyDescent="0.2">
      <c r="A11" s="24"/>
      <c r="B11" s="21" t="s">
        <v>263</v>
      </c>
      <c r="C11" s="27"/>
      <c r="D11" s="27"/>
      <c r="E11" s="28"/>
      <c r="F11" s="28"/>
      <c r="G11" s="28"/>
      <c r="H11" s="28"/>
      <c r="I11" s="28" t="s">
        <v>908</v>
      </c>
      <c r="J11" s="67"/>
      <c r="K11" s="63"/>
      <c r="L11" s="63"/>
      <c r="M11" s="63"/>
      <c r="N11" s="63"/>
    </row>
    <row r="12" spans="1:14" ht="13.5" thickBot="1" x14ac:dyDescent="0.25">
      <c r="A12" s="30"/>
      <c r="B12" s="31"/>
      <c r="C12" s="31"/>
      <c r="D12" s="31"/>
      <c r="E12" s="32"/>
      <c r="F12" s="32"/>
      <c r="G12" s="32"/>
      <c r="H12" s="32"/>
      <c r="I12" s="32" t="s">
        <v>1875</v>
      </c>
      <c r="J12" s="49" t="s">
        <v>1412</v>
      </c>
      <c r="K12" s="40"/>
      <c r="L12" s="40"/>
      <c r="M12" s="40"/>
      <c r="N12" s="40"/>
    </row>
    <row r="13" spans="1:14" x14ac:dyDescent="0.2">
      <c r="A13" s="20"/>
      <c r="B13" s="434" t="s">
        <v>67</v>
      </c>
      <c r="C13" s="434"/>
      <c r="D13" s="434"/>
      <c r="E13" s="22"/>
      <c r="F13" s="22" t="s">
        <v>1180</v>
      </c>
      <c r="G13" s="22" t="s">
        <v>68</v>
      </c>
      <c r="H13" s="22" t="s">
        <v>702</v>
      </c>
      <c r="I13" s="75">
        <f>64/ATHENS!O1*ATHENS!O2</f>
        <v>116.36363636363636</v>
      </c>
      <c r="J13" s="75">
        <f>79/ATHENS!O1*ATHENS!O2</f>
        <v>143.63636363636363</v>
      </c>
      <c r="L13" s="44"/>
      <c r="M13" s="42"/>
      <c r="N13" s="42"/>
    </row>
    <row r="14" spans="1:14" x14ac:dyDescent="0.2">
      <c r="A14" s="24"/>
      <c r="B14" s="435" t="s">
        <v>67</v>
      </c>
      <c r="C14" s="435"/>
      <c r="D14" s="435"/>
      <c r="E14" s="28"/>
      <c r="F14" s="28" t="s">
        <v>1181</v>
      </c>
      <c r="G14" s="28" t="s">
        <v>68</v>
      </c>
      <c r="H14" s="28" t="s">
        <v>702</v>
      </c>
      <c r="I14" s="75">
        <f>37/ATHENS!O1*ATHENS!O2</f>
        <v>67.272727272727266</v>
      </c>
      <c r="J14" s="75">
        <f>45/ATHENS!O1*ATHENS!O2</f>
        <v>81.818181818181813</v>
      </c>
      <c r="L14" s="44"/>
      <c r="M14" s="44"/>
      <c r="N14" s="44"/>
    </row>
    <row r="15" spans="1:14" ht="13.5" thickBot="1" x14ac:dyDescent="0.25">
      <c r="A15" s="30"/>
      <c r="B15" s="443" t="s">
        <v>67</v>
      </c>
      <c r="C15" s="443"/>
      <c r="D15" s="443"/>
      <c r="E15" s="32"/>
      <c r="F15" s="320" t="s">
        <v>1182</v>
      </c>
      <c r="G15" s="89" t="s">
        <v>68</v>
      </c>
      <c r="H15" s="32" t="s">
        <v>702</v>
      </c>
      <c r="I15" s="75">
        <f>30/ATHENS!O1*ATHENS!O2</f>
        <v>54.54545454545454</v>
      </c>
      <c r="J15" s="75">
        <f>36.7/ATHENS!O1*ATHENS!O2</f>
        <v>66.727272727272734</v>
      </c>
      <c r="K15" s="76"/>
      <c r="L15" s="46"/>
      <c r="M15" s="46"/>
      <c r="N15" s="46"/>
    </row>
  </sheetData>
  <customSheetViews>
    <customSheetView guid="{3C76061C-A85D-4390-B9DB-73E13038638C}" showPageBreaks="1" view="pageLayout">
      <selection activeCell="M51" sqref="M51"/>
      <pageMargins left="0.28125" right="0.25" top="0.6692913385826772" bottom="0.70866141732283472" header="0.23622047244094491" footer="0.47244094488188981"/>
      <pageSetup paperSize="9" orientation="portrait" horizontalDpi="4294967293" verticalDpi="4294967293" r:id="rId1"/>
      <headerFooter scaleWithDoc="0" alignWithMargins="0">
        <oddHeader>&amp;C TARIFF 2019
 (EURO)
Accommodation in &amp;A</oddHeader>
        <oddFooter>&amp;LAll rates are in EURO&amp;C
TARIFF 2019
&amp;RPage &amp;P</oddFooter>
      </headerFooter>
    </customSheetView>
  </customSheetViews>
  <mergeCells count="5">
    <mergeCell ref="B4:M4"/>
    <mergeCell ref="C7:N8"/>
    <mergeCell ref="B13:D13"/>
    <mergeCell ref="B14:D14"/>
    <mergeCell ref="B15:D15"/>
  </mergeCells>
  <hyperlinks>
    <hyperlink ref="B4:M4" r:id="rId2" display="Akteon Resort" xr:uid="{00000000-0004-0000-0F00-000000000000}"/>
  </hyperlinks>
  <pageMargins left="0.28125" right="0.25" top="0.6692913385826772" bottom="0.70866141732283472" header="0.23622047244094491" footer="0.47244094488188981"/>
  <pageSetup paperSize="9" orientation="portrait" horizontalDpi="4294967293" verticalDpi="4294967293" r:id="rId3"/>
  <headerFooter scaleWithDoc="0" alignWithMargins="0">
    <oddHeader xml:space="preserve">&amp;C TARIFF 2021
 (EURO)
</oddHeader>
    <oddFooter>&amp;LAll rates are in EURO&amp;C
TARIFF 2021
&amp;RPage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28"/>
  <sheetViews>
    <sheetView showGridLines="0" view="pageLayout" topLeftCell="A49" workbookViewId="0">
      <selection activeCell="M53" sqref="M53"/>
    </sheetView>
  </sheetViews>
  <sheetFormatPr defaultRowHeight="12.75" x14ac:dyDescent="0.2"/>
  <cols>
    <col min="1" max="1" width="1.85546875" style="68" customWidth="1"/>
    <col min="2" max="3" width="10.7109375" style="68" customWidth="1"/>
    <col min="4" max="9" width="3.7109375" style="68" customWidth="1"/>
    <col min="10" max="14" width="10.7109375" style="68" customWidth="1"/>
    <col min="15" max="16384" width="9.140625" style="68"/>
  </cols>
  <sheetData>
    <row r="1" spans="1:14" x14ac:dyDescent="0.2">
      <c r="A1" s="20"/>
      <c r="B1" s="21"/>
      <c r="C1" s="21"/>
      <c r="D1" s="21"/>
      <c r="E1" s="22"/>
      <c r="F1" s="22"/>
      <c r="G1" s="22"/>
      <c r="H1" s="22"/>
      <c r="I1" s="22"/>
      <c r="J1" s="22"/>
      <c r="K1" s="22"/>
      <c r="L1" s="22"/>
      <c r="M1" s="22"/>
      <c r="N1" s="23"/>
    </row>
    <row r="2" spans="1:14" ht="15" x14ac:dyDescent="0.2">
      <c r="A2" s="24"/>
      <c r="B2" s="440" t="s">
        <v>531</v>
      </c>
      <c r="C2" s="441"/>
      <c r="D2" s="441"/>
      <c r="E2" s="441"/>
      <c r="F2" s="441"/>
      <c r="G2" s="441"/>
      <c r="H2" s="441"/>
      <c r="I2" s="441"/>
      <c r="J2" s="441"/>
      <c r="K2" s="441"/>
      <c r="L2" s="441"/>
      <c r="M2" s="442"/>
      <c r="N2" s="25" t="s">
        <v>96</v>
      </c>
    </row>
    <row r="3" spans="1:14" x14ac:dyDescent="0.2">
      <c r="A3" s="24"/>
      <c r="B3" s="26" t="s">
        <v>428</v>
      </c>
      <c r="C3" s="27" t="s">
        <v>941</v>
      </c>
      <c r="D3" s="27"/>
      <c r="E3" s="28"/>
      <c r="F3" s="28"/>
      <c r="G3" s="28"/>
      <c r="H3" s="28"/>
      <c r="I3" s="28"/>
      <c r="J3" s="28"/>
      <c r="K3" s="28"/>
      <c r="L3" s="28"/>
      <c r="M3" s="28"/>
      <c r="N3" s="29"/>
    </row>
    <row r="4" spans="1:14" x14ac:dyDescent="0.2">
      <c r="A4" s="24"/>
      <c r="B4" s="26" t="s">
        <v>429</v>
      </c>
      <c r="C4" s="27" t="s">
        <v>942</v>
      </c>
      <c r="D4" s="27"/>
      <c r="E4" s="28"/>
      <c r="F4" s="28"/>
      <c r="G4" s="28"/>
      <c r="H4" s="28"/>
      <c r="I4" s="28"/>
      <c r="J4" s="28"/>
      <c r="K4" s="28"/>
      <c r="L4" s="28"/>
      <c r="M4" s="28"/>
      <c r="N4" s="29"/>
    </row>
    <row r="5" spans="1:14" x14ac:dyDescent="0.2">
      <c r="A5" s="24"/>
      <c r="B5" s="26" t="s">
        <v>427</v>
      </c>
      <c r="C5" s="436" t="s">
        <v>533</v>
      </c>
      <c r="D5" s="436"/>
      <c r="E5" s="436"/>
      <c r="F5" s="436"/>
      <c r="G5" s="436"/>
      <c r="H5" s="436"/>
      <c r="I5" s="436"/>
      <c r="J5" s="436"/>
      <c r="K5" s="436"/>
      <c r="L5" s="436"/>
      <c r="M5" s="436"/>
      <c r="N5" s="437"/>
    </row>
    <row r="6" spans="1:14" x14ac:dyDescent="0.2">
      <c r="A6" s="24"/>
      <c r="B6" s="15"/>
      <c r="C6" s="436"/>
      <c r="D6" s="436"/>
      <c r="E6" s="436"/>
      <c r="F6" s="436"/>
      <c r="G6" s="436"/>
      <c r="H6" s="436"/>
      <c r="I6" s="436"/>
      <c r="J6" s="436"/>
      <c r="K6" s="436"/>
      <c r="L6" s="436"/>
      <c r="M6" s="436"/>
      <c r="N6" s="437"/>
    </row>
    <row r="7" spans="1:14" x14ac:dyDescent="0.2">
      <c r="A7" s="24"/>
      <c r="B7" s="15"/>
      <c r="C7" s="438"/>
      <c r="D7" s="438"/>
      <c r="E7" s="438"/>
      <c r="F7" s="438"/>
      <c r="G7" s="438"/>
      <c r="H7" s="438"/>
      <c r="I7" s="438"/>
      <c r="J7" s="438"/>
      <c r="K7" s="438"/>
      <c r="L7" s="438"/>
      <c r="M7" s="438"/>
      <c r="N7" s="439"/>
    </row>
    <row r="8" spans="1:14" ht="13.5" thickBot="1" x14ac:dyDescent="0.25">
      <c r="A8" s="30"/>
      <c r="B8" s="26" t="s">
        <v>430</v>
      </c>
      <c r="C8" s="31"/>
      <c r="D8" s="31"/>
      <c r="E8" s="32"/>
      <c r="F8" s="32"/>
      <c r="G8" s="32"/>
      <c r="H8" s="32"/>
      <c r="I8" s="32"/>
      <c r="J8" s="32"/>
      <c r="K8" s="32"/>
      <c r="L8" s="32"/>
      <c r="M8" s="32"/>
      <c r="N8" s="33"/>
    </row>
    <row r="9" spans="1:14" ht="13.5" thickBot="1" x14ac:dyDescent="0.25">
      <c r="A9" s="30"/>
      <c r="B9" s="55"/>
      <c r="C9" s="31"/>
      <c r="D9" s="31"/>
      <c r="E9" s="32"/>
      <c r="F9" s="32"/>
      <c r="G9" s="32"/>
      <c r="H9" s="32"/>
      <c r="I9" s="32"/>
      <c r="J9" s="32" t="s">
        <v>907</v>
      </c>
      <c r="K9" s="32"/>
      <c r="L9" s="32"/>
      <c r="M9" s="32"/>
      <c r="N9" s="33"/>
    </row>
    <row r="10" spans="1:14" ht="13.5" thickBot="1" x14ac:dyDescent="0.25">
      <c r="A10" s="30"/>
      <c r="B10" s="55" t="s">
        <v>263</v>
      </c>
      <c r="C10" s="31"/>
      <c r="D10" s="31"/>
      <c r="E10" s="32"/>
      <c r="F10" s="32"/>
      <c r="G10" s="32"/>
      <c r="H10" s="32"/>
      <c r="I10" s="32"/>
      <c r="J10" s="49" t="s">
        <v>817</v>
      </c>
      <c r="K10" s="40" t="s">
        <v>339</v>
      </c>
      <c r="L10" s="40" t="s">
        <v>610</v>
      </c>
      <c r="M10" s="40"/>
      <c r="N10" s="40"/>
    </row>
    <row r="11" spans="1:14" x14ac:dyDescent="0.2">
      <c r="A11" s="20"/>
      <c r="B11" s="434" t="s">
        <v>67</v>
      </c>
      <c r="C11" s="434"/>
      <c r="D11" s="434"/>
      <c r="E11" s="22"/>
      <c r="F11" s="22" t="s">
        <v>1180</v>
      </c>
      <c r="G11" s="22" t="s">
        <v>68</v>
      </c>
      <c r="H11" s="22" t="s">
        <v>702</v>
      </c>
      <c r="I11" s="22"/>
      <c r="J11" s="44">
        <f>90/ATHENS!O1*ATHENS!O2</f>
        <v>163.63636363636363</v>
      </c>
      <c r="K11" s="44">
        <f>99/ATHENS!O1*ATHENS!O2</f>
        <v>179.99999999999997</v>
      </c>
      <c r="L11" s="44">
        <f>117/ATHENS!O1*ATHENS!O2</f>
        <v>212.72727272727272</v>
      </c>
      <c r="M11" s="42"/>
      <c r="N11" s="42"/>
    </row>
    <row r="12" spans="1:14" x14ac:dyDescent="0.2">
      <c r="A12" s="24"/>
      <c r="B12" s="435" t="s">
        <v>67</v>
      </c>
      <c r="C12" s="435"/>
      <c r="D12" s="435"/>
      <c r="E12" s="28"/>
      <c r="F12" s="28" t="s">
        <v>1181</v>
      </c>
      <c r="G12" s="28" t="s">
        <v>68</v>
      </c>
      <c r="H12" s="28" t="s">
        <v>702</v>
      </c>
      <c r="I12" s="28"/>
      <c r="J12" s="44">
        <f>45/ATHENS!O1*ATHENS!O2</f>
        <v>81.818181818181813</v>
      </c>
      <c r="K12" s="44">
        <f>50/ATHENS!O1*ATHENS!O2</f>
        <v>90.909090909090907</v>
      </c>
      <c r="L12" s="44">
        <f>59/ATHENS!O1*ATHENS!O2</f>
        <v>107.27272727272727</v>
      </c>
      <c r="M12" s="44"/>
      <c r="N12" s="44"/>
    </row>
    <row r="13" spans="1:14" ht="13.5" thickBot="1" x14ac:dyDescent="0.25">
      <c r="A13" s="30"/>
      <c r="B13" s="443" t="s">
        <v>67</v>
      </c>
      <c r="C13" s="443"/>
      <c r="D13" s="443"/>
      <c r="E13" s="32"/>
      <c r="F13" s="32" t="s">
        <v>1182</v>
      </c>
      <c r="G13" s="32" t="s">
        <v>68</v>
      </c>
      <c r="H13" s="32" t="s">
        <v>702</v>
      </c>
      <c r="I13" s="32"/>
      <c r="J13" s="46">
        <f>45/ATHENS!O1*ATHENS!O2</f>
        <v>81.818181818181813</v>
      </c>
      <c r="K13" s="46">
        <f>48/ATHENS!O1*ATHENS!O2</f>
        <v>87.272727272727266</v>
      </c>
      <c r="L13" s="46">
        <f>54/ATHENS!O1*ATHENS!O2</f>
        <v>98.181818181818173</v>
      </c>
      <c r="M13" s="46"/>
      <c r="N13" s="46"/>
    </row>
    <row r="14" spans="1:14" ht="13.5" thickBot="1" x14ac:dyDescent="0.25">
      <c r="A14" s="14"/>
      <c r="B14" s="18"/>
      <c r="C14" s="18"/>
      <c r="D14" s="18"/>
      <c r="E14" s="19"/>
      <c r="F14" s="19"/>
      <c r="G14" s="19"/>
      <c r="H14" s="19"/>
      <c r="I14" s="19"/>
      <c r="J14" s="19"/>
      <c r="K14" s="19"/>
      <c r="L14" s="19"/>
      <c r="M14" s="19"/>
      <c r="N14" s="19"/>
    </row>
    <row r="15" spans="1:14" x14ac:dyDescent="0.2">
      <c r="A15" s="20"/>
      <c r="B15" s="21"/>
      <c r="C15" s="21"/>
      <c r="D15" s="21"/>
      <c r="E15" s="22"/>
      <c r="F15" s="22"/>
      <c r="G15" s="22"/>
      <c r="H15" s="22"/>
      <c r="I15" s="22"/>
      <c r="J15" s="22"/>
      <c r="K15" s="22"/>
      <c r="L15" s="22"/>
      <c r="M15" s="22"/>
      <c r="N15" s="23"/>
    </row>
    <row r="16" spans="1:14" ht="15" x14ac:dyDescent="0.2">
      <c r="A16" s="24"/>
      <c r="B16" s="440" t="s">
        <v>532</v>
      </c>
      <c r="C16" s="441"/>
      <c r="D16" s="441"/>
      <c r="E16" s="441"/>
      <c r="F16" s="441"/>
      <c r="G16" s="441"/>
      <c r="H16" s="441"/>
      <c r="I16" s="441"/>
      <c r="J16" s="441"/>
      <c r="K16" s="441"/>
      <c r="L16" s="441"/>
      <c r="M16" s="442"/>
      <c r="N16" s="25" t="s">
        <v>96</v>
      </c>
    </row>
    <row r="17" spans="1:14" x14ac:dyDescent="0.2">
      <c r="A17" s="24"/>
      <c r="B17" s="26" t="s">
        <v>428</v>
      </c>
      <c r="C17" s="27" t="s">
        <v>534</v>
      </c>
      <c r="D17" s="27"/>
      <c r="E17" s="28"/>
      <c r="F17" s="28"/>
      <c r="G17" s="28"/>
      <c r="H17" s="28"/>
      <c r="I17" s="28"/>
      <c r="J17" s="28"/>
      <c r="K17" s="28"/>
      <c r="L17" s="28"/>
      <c r="M17" s="28"/>
      <c r="N17" s="29"/>
    </row>
    <row r="18" spans="1:14" x14ac:dyDescent="0.2">
      <c r="A18" s="24"/>
      <c r="B18" s="26" t="s">
        <v>429</v>
      </c>
      <c r="C18" s="27" t="s">
        <v>943</v>
      </c>
      <c r="D18" s="27"/>
      <c r="E18" s="28"/>
      <c r="F18" s="28"/>
      <c r="G18" s="28"/>
      <c r="H18" s="28"/>
      <c r="I18" s="28"/>
      <c r="J18" s="28"/>
      <c r="K18" s="28"/>
      <c r="L18" s="28"/>
      <c r="M18" s="28"/>
      <c r="N18" s="29"/>
    </row>
    <row r="19" spans="1:14" x14ac:dyDescent="0.2">
      <c r="A19" s="24"/>
      <c r="B19" s="26" t="s">
        <v>427</v>
      </c>
      <c r="C19" s="436" t="s">
        <v>601</v>
      </c>
      <c r="D19" s="436"/>
      <c r="E19" s="436"/>
      <c r="F19" s="436"/>
      <c r="G19" s="436"/>
      <c r="H19" s="436"/>
      <c r="I19" s="436"/>
      <c r="J19" s="436"/>
      <c r="K19" s="436"/>
      <c r="L19" s="436"/>
      <c r="M19" s="436"/>
      <c r="N19" s="437"/>
    </row>
    <row r="20" spans="1:14" x14ac:dyDescent="0.2">
      <c r="A20" s="24"/>
      <c r="B20" s="15"/>
      <c r="C20" s="436"/>
      <c r="D20" s="436"/>
      <c r="E20" s="436"/>
      <c r="F20" s="436"/>
      <c r="G20" s="436"/>
      <c r="H20" s="436"/>
      <c r="I20" s="436"/>
      <c r="J20" s="436"/>
      <c r="K20" s="436"/>
      <c r="L20" s="436"/>
      <c r="M20" s="436"/>
      <c r="N20" s="437"/>
    </row>
    <row r="21" spans="1:14" ht="13.5" thickBot="1" x14ac:dyDescent="0.25">
      <c r="A21" s="30"/>
      <c r="B21" s="26" t="s">
        <v>430</v>
      </c>
      <c r="C21" s="31"/>
      <c r="D21" s="31"/>
      <c r="E21" s="32"/>
      <c r="F21" s="32"/>
      <c r="G21" s="32"/>
      <c r="H21" s="32"/>
      <c r="I21" s="32"/>
      <c r="J21" s="32"/>
      <c r="K21" s="32"/>
      <c r="L21" s="32"/>
      <c r="M21" s="32"/>
      <c r="N21" s="33"/>
    </row>
    <row r="22" spans="1:14" x14ac:dyDescent="0.2">
      <c r="A22" s="24"/>
      <c r="B22" s="21" t="s">
        <v>263</v>
      </c>
      <c r="C22" s="27"/>
      <c r="D22" s="27"/>
      <c r="E22" s="28"/>
      <c r="F22" s="28"/>
      <c r="G22" s="28"/>
      <c r="H22" s="28"/>
      <c r="I22" s="28"/>
      <c r="J22" s="67" t="s">
        <v>1894</v>
      </c>
      <c r="K22" s="63"/>
      <c r="L22" s="63"/>
      <c r="M22" s="63"/>
      <c r="N22" s="63"/>
    </row>
    <row r="23" spans="1:14" ht="13.5" thickBot="1" x14ac:dyDescent="0.25">
      <c r="A23" s="30"/>
      <c r="B23" s="31"/>
      <c r="C23" s="31"/>
      <c r="D23" s="31"/>
      <c r="E23" s="32"/>
      <c r="F23" s="32"/>
      <c r="G23" s="32"/>
      <c r="H23" s="32"/>
      <c r="I23" s="32"/>
      <c r="J23" s="49" t="s">
        <v>1895</v>
      </c>
      <c r="K23" s="40" t="s">
        <v>1896</v>
      </c>
      <c r="L23" s="40"/>
      <c r="M23" s="40"/>
      <c r="N23" s="40"/>
    </row>
    <row r="24" spans="1:14" x14ac:dyDescent="0.2">
      <c r="A24" s="20"/>
      <c r="B24" s="434" t="s">
        <v>67</v>
      </c>
      <c r="C24" s="434"/>
      <c r="D24" s="434"/>
      <c r="E24" s="22"/>
      <c r="F24" s="22" t="s">
        <v>1180</v>
      </c>
      <c r="G24" s="22" t="s">
        <v>68</v>
      </c>
      <c r="H24" s="22" t="s">
        <v>702</v>
      </c>
      <c r="I24" s="22"/>
      <c r="J24" s="75">
        <f>122.5/ATHENS!O1*ATHENS!O2</f>
        <v>222.72727272727272</v>
      </c>
      <c r="K24" s="75">
        <f>141.5/ATHENS!O1*ATHENS!O2</f>
        <v>257.27272727272725</v>
      </c>
      <c r="L24" s="44"/>
      <c r="M24" s="42"/>
      <c r="N24" s="42"/>
    </row>
    <row r="25" spans="1:14" x14ac:dyDescent="0.2">
      <c r="A25" s="24"/>
      <c r="B25" s="435" t="s">
        <v>67</v>
      </c>
      <c r="C25" s="435"/>
      <c r="D25" s="435"/>
      <c r="E25" s="28"/>
      <c r="F25" s="28" t="s">
        <v>1181</v>
      </c>
      <c r="G25" s="28" t="s">
        <v>68</v>
      </c>
      <c r="H25" s="28" t="s">
        <v>702</v>
      </c>
      <c r="I25" s="28"/>
      <c r="J25" s="75">
        <f>68.5/ATHENS!O1*ATHENS!O2</f>
        <v>124.54545454545453</v>
      </c>
      <c r="K25" s="75">
        <f>77.8/ATHENS!O1*ATHENS!O2</f>
        <v>141.45454545454544</v>
      </c>
      <c r="L25" s="44"/>
      <c r="M25" s="44"/>
      <c r="N25" s="44"/>
    </row>
    <row r="26" spans="1:14" ht="13.5" thickBot="1" x14ac:dyDescent="0.25">
      <c r="A26" s="30"/>
      <c r="B26" s="443" t="s">
        <v>1900</v>
      </c>
      <c r="C26" s="443"/>
      <c r="D26" s="443"/>
      <c r="E26" s="32"/>
      <c r="F26" s="32" t="s">
        <v>1182</v>
      </c>
      <c r="G26" s="32" t="s">
        <v>68</v>
      </c>
      <c r="H26" s="32" t="s">
        <v>702</v>
      </c>
      <c r="I26" s="32"/>
      <c r="J26" s="76">
        <f>89.7/ATHENS!O1*ATHENS!O2</f>
        <v>163.09090909090909</v>
      </c>
      <c r="K26" s="76">
        <f>100.5/ATHENS!O1*ATHENS!O2</f>
        <v>182.72727272727272</v>
      </c>
      <c r="L26" s="46"/>
      <c r="M26" s="46"/>
      <c r="N26" s="46"/>
    </row>
    <row r="27" spans="1:14" x14ac:dyDescent="0.2">
      <c r="A27" s="14"/>
      <c r="B27" s="18"/>
      <c r="C27" s="18"/>
      <c r="D27" s="18"/>
      <c r="E27" s="19"/>
      <c r="F27" s="19"/>
      <c r="G27" s="19"/>
      <c r="H27" s="19"/>
      <c r="I27" s="19"/>
      <c r="J27" s="19"/>
      <c r="K27" s="19"/>
      <c r="L27" s="19"/>
      <c r="M27" s="19"/>
      <c r="N27" s="19"/>
    </row>
    <row r="28" spans="1:14" x14ac:dyDescent="0.2">
      <c r="A28" s="14"/>
      <c r="B28" s="15"/>
      <c r="C28" s="15"/>
      <c r="D28" s="15"/>
      <c r="E28" s="16"/>
      <c r="F28" s="16"/>
      <c r="G28" s="16"/>
      <c r="H28" s="16"/>
      <c r="I28" s="16"/>
      <c r="J28" s="16"/>
      <c r="K28" s="16"/>
      <c r="L28" s="16"/>
      <c r="M28" s="16"/>
      <c r="N28" s="16"/>
    </row>
  </sheetData>
  <customSheetViews>
    <customSheetView guid="{3C76061C-A85D-4390-B9DB-73E13038638C}" showPageBreaks="1" showGridLines="0" view="pageLayout" topLeftCell="A49">
      <selection activeCell="M51" sqref="M51"/>
      <pageMargins left="0.28125" right="0.25" top="0.6692913385826772" bottom="0.70866141732283472" header="0.23622047244094491" footer="0.47244094488188981"/>
      <printOptions horizontalCentered="1"/>
      <pageSetup paperSize="9" firstPageNumber="50"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10">
    <mergeCell ref="B2:M2"/>
    <mergeCell ref="B11:D11"/>
    <mergeCell ref="B12:D12"/>
    <mergeCell ref="B25:D25"/>
    <mergeCell ref="B26:D26"/>
    <mergeCell ref="C5:N7"/>
    <mergeCell ref="B13:D13"/>
    <mergeCell ref="B16:M16"/>
    <mergeCell ref="C19:N20"/>
    <mergeCell ref="B24:D24"/>
  </mergeCells>
  <phoneticPr fontId="17" type="noConversion"/>
  <hyperlinks>
    <hyperlink ref="B2:M2" r:id="rId2" display="Angelika VIP Boutique" xr:uid="{00000000-0004-0000-1000-000000000000}"/>
    <hyperlink ref="B16:M16" r:id="rId3" display="Bratsera Traditional Settlement" xr:uid="{00000000-0004-0000-1000-000001000000}"/>
  </hyperlinks>
  <printOptions horizontalCentered="1"/>
  <pageMargins left="0.28125" right="0.25" top="0.6692913385826772" bottom="0.70866141732283472" header="0.23622047244094491" footer="0.47244094488188981"/>
  <pageSetup paperSize="9" firstPageNumber="50" orientation="portrait" useFirstPageNumber="1" horizontalDpi="300" verticalDpi="300" r:id="rId4"/>
  <headerFooter scaleWithDoc="0" alignWithMargins="0">
    <oddHeader xml:space="preserve">&amp;C TARIFF 2021
 (EURO)
</oddHeader>
    <oddFooter>&amp;LAll rates are in EURO&amp;C
TARIFF 2021
&amp;RPage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20"/>
  <sheetViews>
    <sheetView showGridLines="0" view="pageLayout" topLeftCell="A43" workbookViewId="0">
      <selection activeCell="M53" sqref="M53"/>
    </sheetView>
  </sheetViews>
  <sheetFormatPr defaultRowHeight="12.75" x14ac:dyDescent="0.2"/>
  <cols>
    <col min="1" max="1" width="1.85546875" style="68" customWidth="1"/>
    <col min="2" max="3" width="10.7109375" style="68" customWidth="1"/>
    <col min="4" max="9" width="3.7109375" style="68" customWidth="1"/>
    <col min="10" max="14" width="10.7109375" style="68" customWidth="1"/>
    <col min="15" max="16384" width="9.140625" style="68"/>
  </cols>
  <sheetData>
    <row r="1" spans="1:14" ht="13.5" thickBot="1" x14ac:dyDescent="0.25">
      <c r="A1" s="14"/>
      <c r="B1" s="15"/>
      <c r="C1" s="15"/>
      <c r="D1" s="15"/>
      <c r="E1" s="16"/>
      <c r="F1" s="16"/>
      <c r="G1" s="16"/>
      <c r="H1" s="16"/>
      <c r="I1" s="16"/>
      <c r="J1" s="16"/>
      <c r="K1" s="16"/>
      <c r="L1" s="16"/>
      <c r="M1" s="16"/>
      <c r="N1" s="16"/>
    </row>
    <row r="2" spans="1:14" x14ac:dyDescent="0.2">
      <c r="A2" s="20"/>
      <c r="B2" s="21"/>
      <c r="C2" s="21"/>
      <c r="D2" s="21"/>
      <c r="E2" s="22"/>
      <c r="F2" s="22"/>
      <c r="G2" s="22"/>
      <c r="H2" s="22"/>
      <c r="I2" s="22"/>
      <c r="J2" s="22"/>
      <c r="K2" s="22"/>
      <c r="L2" s="22"/>
      <c r="M2" s="22"/>
      <c r="N2" s="23"/>
    </row>
    <row r="3" spans="1:14" ht="15" x14ac:dyDescent="0.2">
      <c r="A3" s="24"/>
      <c r="B3" s="440" t="s">
        <v>1179</v>
      </c>
      <c r="C3" s="441"/>
      <c r="D3" s="441"/>
      <c r="E3" s="441"/>
      <c r="F3" s="441"/>
      <c r="G3" s="441"/>
      <c r="H3" s="441"/>
      <c r="I3" s="441"/>
      <c r="J3" s="441"/>
      <c r="K3" s="441"/>
      <c r="L3" s="441"/>
      <c r="M3" s="442"/>
      <c r="N3" s="25" t="s">
        <v>1104</v>
      </c>
    </row>
    <row r="4" spans="1:14" x14ac:dyDescent="0.2">
      <c r="A4" s="24"/>
      <c r="B4" s="26" t="s">
        <v>428</v>
      </c>
      <c r="C4" s="27" t="s">
        <v>1502</v>
      </c>
      <c r="D4" s="27"/>
      <c r="E4" s="28"/>
      <c r="F4" s="28"/>
      <c r="G4" s="28"/>
      <c r="H4" s="28"/>
      <c r="I4" s="28"/>
      <c r="J4" s="28"/>
      <c r="K4" s="28"/>
      <c r="L4" s="28"/>
      <c r="M4" s="28"/>
      <c r="N4" s="29"/>
    </row>
    <row r="5" spans="1:14" x14ac:dyDescent="0.2">
      <c r="A5" s="24"/>
      <c r="B5" s="26" t="s">
        <v>429</v>
      </c>
      <c r="C5" s="27" t="s">
        <v>944</v>
      </c>
      <c r="D5" s="27"/>
      <c r="E5" s="28"/>
      <c r="F5" s="28"/>
      <c r="G5" s="28"/>
      <c r="H5" s="28"/>
      <c r="I5" s="28"/>
      <c r="J5" s="28"/>
      <c r="K5" s="28"/>
      <c r="L5" s="28"/>
      <c r="M5" s="28"/>
      <c r="N5" s="29"/>
    </row>
    <row r="6" spans="1:14" x14ac:dyDescent="0.2">
      <c r="A6" s="24"/>
      <c r="B6" s="26" t="s">
        <v>427</v>
      </c>
      <c r="C6" s="436" t="s">
        <v>1634</v>
      </c>
      <c r="D6" s="436"/>
      <c r="E6" s="436"/>
      <c r="F6" s="436"/>
      <c r="G6" s="436"/>
      <c r="H6" s="436"/>
      <c r="I6" s="436"/>
      <c r="J6" s="436"/>
      <c r="K6" s="436"/>
      <c r="L6" s="436"/>
      <c r="M6" s="436"/>
      <c r="N6" s="437"/>
    </row>
    <row r="7" spans="1:14" x14ac:dyDescent="0.2">
      <c r="A7" s="24"/>
      <c r="B7" s="15"/>
      <c r="C7" s="436"/>
      <c r="D7" s="436"/>
      <c r="E7" s="436"/>
      <c r="F7" s="436"/>
      <c r="G7" s="436"/>
      <c r="H7" s="436"/>
      <c r="I7" s="436"/>
      <c r="J7" s="436"/>
      <c r="K7" s="436"/>
      <c r="L7" s="436"/>
      <c r="M7" s="436"/>
      <c r="N7" s="437"/>
    </row>
    <row r="8" spans="1:14" x14ac:dyDescent="0.2">
      <c r="A8" s="24"/>
      <c r="B8" s="15"/>
      <c r="C8" s="438"/>
      <c r="D8" s="438"/>
      <c r="E8" s="438"/>
      <c r="F8" s="438"/>
      <c r="G8" s="438"/>
      <c r="H8" s="438"/>
      <c r="I8" s="438"/>
      <c r="J8" s="438"/>
      <c r="K8" s="438"/>
      <c r="L8" s="438"/>
      <c r="M8" s="438"/>
      <c r="N8" s="439"/>
    </row>
    <row r="9" spans="1:14" x14ac:dyDescent="0.2">
      <c r="A9" s="24"/>
      <c r="B9" s="26" t="s">
        <v>426</v>
      </c>
      <c r="C9" s="27"/>
      <c r="D9" s="27"/>
      <c r="E9" s="28"/>
      <c r="F9" s="28"/>
      <c r="G9" s="28"/>
      <c r="H9" s="27"/>
      <c r="I9" s="28"/>
      <c r="J9" s="27"/>
      <c r="K9" s="28"/>
      <c r="L9" s="28"/>
      <c r="M9" s="28"/>
      <c r="N9" s="29"/>
    </row>
    <row r="10" spans="1:14" ht="13.5" thickBot="1" x14ac:dyDescent="0.25">
      <c r="A10" s="24"/>
      <c r="B10" s="26" t="s">
        <v>430</v>
      </c>
      <c r="C10" s="27"/>
      <c r="D10" s="27"/>
      <c r="E10" s="28"/>
      <c r="F10" s="28"/>
      <c r="G10" s="28"/>
      <c r="H10" s="28"/>
      <c r="I10" s="28"/>
      <c r="J10" s="28"/>
      <c r="K10" s="28"/>
      <c r="L10" s="28"/>
      <c r="M10" s="32"/>
      <c r="N10" s="33"/>
    </row>
    <row r="11" spans="1:14" ht="13.5" thickBot="1" x14ac:dyDescent="0.25">
      <c r="A11" s="52"/>
      <c r="B11" s="349" t="s">
        <v>1893</v>
      </c>
      <c r="C11" s="325"/>
      <c r="D11" s="325"/>
      <c r="E11" s="326"/>
      <c r="F11" s="326"/>
      <c r="G11" s="326"/>
      <c r="H11" s="326"/>
      <c r="I11" s="350"/>
      <c r="J11" s="237"/>
      <c r="K11" s="345"/>
      <c r="L11" s="346" t="s">
        <v>1888</v>
      </c>
      <c r="M11" s="32"/>
      <c r="N11" s="33"/>
    </row>
    <row r="12" spans="1:14" ht="13.5" thickBot="1" x14ac:dyDescent="0.25">
      <c r="A12" s="52"/>
      <c r="B12" s="351"/>
      <c r="C12" s="27"/>
      <c r="D12" s="27"/>
      <c r="E12" s="28"/>
      <c r="F12" s="28"/>
      <c r="G12" s="28"/>
      <c r="H12" s="28"/>
      <c r="I12" s="352"/>
      <c r="J12" s="321"/>
      <c r="K12" s="32"/>
      <c r="L12" s="347" t="s">
        <v>1805</v>
      </c>
      <c r="M12" s="32"/>
      <c r="N12" s="33"/>
    </row>
    <row r="13" spans="1:14" ht="13.5" thickBot="1" x14ac:dyDescent="0.25">
      <c r="A13" s="52"/>
      <c r="B13" s="351"/>
      <c r="C13" s="27"/>
      <c r="D13" s="27"/>
      <c r="E13" s="28"/>
      <c r="F13" s="28"/>
      <c r="G13" s="28"/>
      <c r="H13" s="28"/>
      <c r="I13" s="352"/>
      <c r="J13" s="321" t="s">
        <v>1881</v>
      </c>
      <c r="K13" s="32"/>
      <c r="L13" s="347" t="s">
        <v>1826</v>
      </c>
      <c r="M13" s="32"/>
      <c r="N13" s="33"/>
    </row>
    <row r="14" spans="1:14" ht="13.5" thickBot="1" x14ac:dyDescent="0.25">
      <c r="A14" s="52"/>
      <c r="B14" s="351"/>
      <c r="C14" s="27"/>
      <c r="D14" s="27"/>
      <c r="E14" s="28"/>
      <c r="F14" s="28"/>
      <c r="G14" s="28"/>
      <c r="H14" s="28"/>
      <c r="I14" s="352"/>
      <c r="J14" s="321" t="s">
        <v>1882</v>
      </c>
      <c r="K14" s="32"/>
      <c r="L14" s="347" t="s">
        <v>1889</v>
      </c>
      <c r="M14" s="32"/>
      <c r="N14" s="33"/>
    </row>
    <row r="15" spans="1:14" ht="13.5" thickBot="1" x14ac:dyDescent="0.25">
      <c r="A15" s="52"/>
      <c r="B15" s="351"/>
      <c r="C15" s="27"/>
      <c r="D15" s="27"/>
      <c r="E15" s="28"/>
      <c r="F15" s="28"/>
      <c r="G15" s="28"/>
      <c r="H15" s="28"/>
      <c r="I15" s="352"/>
      <c r="J15" s="321" t="s">
        <v>1883</v>
      </c>
      <c r="K15" s="32"/>
      <c r="L15" s="347" t="s">
        <v>1890</v>
      </c>
      <c r="M15" s="32"/>
      <c r="N15" s="33"/>
    </row>
    <row r="16" spans="1:14" ht="13.5" thickBot="1" x14ac:dyDescent="0.25">
      <c r="A16" s="52"/>
      <c r="B16" s="351"/>
      <c r="C16" s="27"/>
      <c r="D16" s="27"/>
      <c r="E16" s="28"/>
      <c r="F16" s="28"/>
      <c r="G16" s="28"/>
      <c r="H16" s="28"/>
      <c r="I16" s="352"/>
      <c r="J16" s="321" t="s">
        <v>1884</v>
      </c>
      <c r="K16" s="32" t="s">
        <v>1886</v>
      </c>
      <c r="L16" s="347" t="s">
        <v>1891</v>
      </c>
      <c r="M16" s="32"/>
      <c r="N16" s="33"/>
    </row>
    <row r="17" spans="1:14" ht="13.5" thickBot="1" x14ac:dyDescent="0.25">
      <c r="A17" s="52"/>
      <c r="B17" s="331"/>
      <c r="C17" s="332"/>
      <c r="D17" s="332"/>
      <c r="E17" s="333"/>
      <c r="F17" s="333"/>
      <c r="G17" s="333"/>
      <c r="H17" s="333"/>
      <c r="I17" s="348"/>
      <c r="J17" s="322" t="s">
        <v>1885</v>
      </c>
      <c r="K17" s="353" t="s">
        <v>1887</v>
      </c>
      <c r="L17" s="348" t="s">
        <v>1892</v>
      </c>
      <c r="M17" s="33"/>
      <c r="N17" s="40"/>
    </row>
    <row r="18" spans="1:14" x14ac:dyDescent="0.2">
      <c r="A18" s="24"/>
      <c r="B18" s="435" t="s">
        <v>67</v>
      </c>
      <c r="C18" s="435"/>
      <c r="D18" s="435"/>
      <c r="E18" s="28"/>
      <c r="F18" s="28" t="s">
        <v>1180</v>
      </c>
      <c r="G18" s="28" t="s">
        <v>68</v>
      </c>
      <c r="H18" s="28" t="s">
        <v>702</v>
      </c>
      <c r="I18" s="28"/>
      <c r="J18" s="75">
        <f>51.5/ATHENS!O1*ATHENS!O2</f>
        <v>93.636363636363626</v>
      </c>
      <c r="K18" s="44">
        <f>62/ATHENS!O1*ATHENS!O2</f>
        <v>112.72727272727272</v>
      </c>
      <c r="L18" s="44">
        <f>80/ATHENS!O1*ATHENS!O2</f>
        <v>145.45454545454544</v>
      </c>
      <c r="M18" s="42"/>
      <c r="N18" s="42"/>
    </row>
    <row r="19" spans="1:14" x14ac:dyDescent="0.2">
      <c r="A19" s="24"/>
      <c r="B19" s="435" t="s">
        <v>67</v>
      </c>
      <c r="C19" s="435"/>
      <c r="D19" s="435"/>
      <c r="E19" s="28"/>
      <c r="F19" s="28" t="s">
        <v>1181</v>
      </c>
      <c r="G19" s="28" t="s">
        <v>68</v>
      </c>
      <c r="H19" s="28" t="s">
        <v>702</v>
      </c>
      <c r="I19" s="28"/>
      <c r="J19" s="75">
        <f>28.5/ATHENS!O1*ATHENS!O2</f>
        <v>51.818181818181813</v>
      </c>
      <c r="K19" s="44">
        <f>34/ATHENS!O1*ATHENS!O2</f>
        <v>61.818181818181813</v>
      </c>
      <c r="L19" s="44">
        <f>44/ATHENS!O1*ATHENS!O2</f>
        <v>80</v>
      </c>
      <c r="M19" s="44"/>
      <c r="N19" s="44"/>
    </row>
    <row r="20" spans="1:14" ht="13.5" thickBot="1" x14ac:dyDescent="0.25">
      <c r="A20" s="30"/>
      <c r="B20" s="443" t="s">
        <v>67</v>
      </c>
      <c r="C20" s="443"/>
      <c r="D20" s="443"/>
      <c r="E20" s="32"/>
      <c r="F20" s="32" t="s">
        <v>1182</v>
      </c>
      <c r="G20" s="32" t="s">
        <v>68</v>
      </c>
      <c r="H20" s="32" t="s">
        <v>702</v>
      </c>
      <c r="I20" s="32"/>
      <c r="J20" s="76">
        <f>20.5/ATHENS!O1*ATHENS!O2</f>
        <v>37.272727272727266</v>
      </c>
      <c r="K20" s="46">
        <f>25/ATHENS!O1*ATHENS!O2</f>
        <v>45.454545454545453</v>
      </c>
      <c r="L20" s="46">
        <f>34/ATHENS!O1*ATHENS!O2</f>
        <v>61.818181818181813</v>
      </c>
      <c r="M20" s="46"/>
      <c r="N20" s="46"/>
    </row>
  </sheetData>
  <customSheetViews>
    <customSheetView guid="{3C76061C-A85D-4390-B9DB-73E13038638C}" showPageBreaks="1" showGridLines="0" view="pageLayout" topLeftCell="A43">
      <selection activeCell="M51" sqref="M51"/>
      <pageMargins left="0.28125" right="0.25" top="0.6692913385826772" bottom="0.70866141732283472" header="0.23622047244094491" footer="0.47244094488188981"/>
      <printOptions horizontalCentered="1"/>
      <pageSetup paperSize="9" firstPageNumber="51"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5">
    <mergeCell ref="C6:N8"/>
    <mergeCell ref="B18:D18"/>
    <mergeCell ref="B19:D19"/>
    <mergeCell ref="B20:D20"/>
    <mergeCell ref="B3:M3"/>
  </mergeCells>
  <phoneticPr fontId="17" type="noConversion"/>
  <hyperlinks>
    <hyperlink ref="B3:M3" r:id="rId2" display="Epirus Palace &amp; Congress Center" xr:uid="{00000000-0004-0000-1100-000000000000}"/>
  </hyperlinks>
  <printOptions horizontalCentered="1"/>
  <pageMargins left="0.28125" right="0.25" top="0.6692913385826772" bottom="0.70866141732283472" header="0.23622047244094491" footer="0.47244094488188981"/>
  <pageSetup paperSize="9" firstPageNumber="51" orientation="portrait" useFirstPageNumber="1" horizontalDpi="300" verticalDpi="300" r:id="rId3"/>
  <headerFooter scaleWithDoc="0" alignWithMargins="0">
    <oddHeader xml:space="preserve">&amp;C TARIFF 2021
 (EURO)
</oddHeader>
    <oddFooter>&amp;LAll rates are in EURO&amp;C
TARIFF 2021
&amp;RPage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W62"/>
  <sheetViews>
    <sheetView showGridLines="0" view="pageLayout" topLeftCell="A46" zoomScaleSheetLayoutView="55" workbookViewId="0">
      <selection activeCell="M53" sqref="M53"/>
    </sheetView>
  </sheetViews>
  <sheetFormatPr defaultRowHeight="12.75" x14ac:dyDescent="0.2"/>
  <cols>
    <col min="1" max="1" width="1.85546875" style="98" customWidth="1"/>
    <col min="2" max="3" width="10.7109375" style="98" customWidth="1"/>
    <col min="4" max="9" width="3.7109375" style="98" customWidth="1"/>
    <col min="10" max="14" width="10.7109375" style="98" customWidth="1"/>
    <col min="15" max="15" width="9.5703125" style="98" customWidth="1"/>
    <col min="16" max="16" width="5.7109375" style="98" customWidth="1"/>
    <col min="17" max="17" width="2.7109375" style="98" customWidth="1"/>
    <col min="18" max="18" width="3.5703125" style="98" customWidth="1"/>
    <col min="19" max="19" width="4.140625" style="98" customWidth="1"/>
    <col min="20" max="20" width="3.85546875" style="98" customWidth="1"/>
    <col min="21" max="27" width="2.7109375" style="98" customWidth="1"/>
    <col min="28" max="16384" width="9.140625" style="98"/>
  </cols>
  <sheetData>
    <row r="1" spans="1:23" s="17" customFormat="1" x14ac:dyDescent="0.2">
      <c r="A1" s="20"/>
      <c r="B1" s="21"/>
      <c r="C1" s="21"/>
      <c r="D1" s="21"/>
      <c r="E1" s="22"/>
      <c r="F1" s="22"/>
      <c r="G1" s="22"/>
      <c r="H1" s="22"/>
      <c r="I1" s="22"/>
      <c r="J1" s="22"/>
      <c r="K1" s="22"/>
      <c r="L1" s="22"/>
      <c r="M1" s="22"/>
      <c r="N1" s="23"/>
      <c r="O1" s="91"/>
      <c r="P1" s="91"/>
      <c r="Q1" s="91"/>
      <c r="R1" s="91"/>
      <c r="S1" s="91"/>
      <c r="T1" s="91"/>
      <c r="U1" s="91"/>
      <c r="V1" s="91"/>
      <c r="W1" s="91"/>
    </row>
    <row r="2" spans="1:23" s="17" customFormat="1" ht="15" x14ac:dyDescent="0.2">
      <c r="A2" s="24"/>
      <c r="B2" s="440" t="s">
        <v>194</v>
      </c>
      <c r="C2" s="441"/>
      <c r="D2" s="441"/>
      <c r="E2" s="441"/>
      <c r="F2" s="441"/>
      <c r="G2" s="441"/>
      <c r="H2" s="441"/>
      <c r="I2" s="441"/>
      <c r="J2" s="441"/>
      <c r="K2" s="441"/>
      <c r="L2" s="441"/>
      <c r="M2" s="442"/>
      <c r="N2" s="25" t="s">
        <v>96</v>
      </c>
      <c r="O2" s="91"/>
      <c r="P2" s="91"/>
      <c r="Q2" s="91"/>
      <c r="R2" s="91"/>
      <c r="S2" s="91"/>
      <c r="T2" s="91"/>
      <c r="U2" s="91"/>
      <c r="V2" s="91"/>
      <c r="W2" s="91"/>
    </row>
    <row r="3" spans="1:23" s="17" customFormat="1" x14ac:dyDescent="0.2">
      <c r="A3" s="24"/>
      <c r="B3" s="26" t="s">
        <v>428</v>
      </c>
      <c r="C3" s="27" t="s">
        <v>1342</v>
      </c>
      <c r="D3" s="27"/>
      <c r="E3" s="28"/>
      <c r="F3" s="28"/>
      <c r="G3" s="28"/>
      <c r="H3" s="28"/>
      <c r="I3" s="28"/>
      <c r="J3" s="28"/>
      <c r="K3" s="28"/>
      <c r="L3" s="28"/>
      <c r="M3" s="28"/>
      <c r="N3" s="29"/>
      <c r="O3" s="91"/>
      <c r="P3" s="91"/>
      <c r="Q3" s="91"/>
      <c r="R3" s="91"/>
      <c r="S3" s="91"/>
      <c r="T3" s="91"/>
      <c r="U3" s="91"/>
      <c r="V3" s="91"/>
      <c r="W3" s="91"/>
    </row>
    <row r="4" spans="1:23" s="17" customFormat="1" x14ac:dyDescent="0.2">
      <c r="A4" s="24"/>
      <c r="B4" s="26" t="s">
        <v>429</v>
      </c>
      <c r="C4" s="27" t="s">
        <v>1143</v>
      </c>
      <c r="D4" s="27"/>
      <c r="E4" s="28"/>
      <c r="F4" s="28"/>
      <c r="G4" s="28"/>
      <c r="H4" s="28"/>
      <c r="I4" s="28"/>
      <c r="J4" s="28"/>
      <c r="K4" s="28"/>
      <c r="L4" s="28"/>
      <c r="M4" s="28"/>
      <c r="N4" s="29"/>
    </row>
    <row r="5" spans="1:23" s="17" customFormat="1" x14ac:dyDescent="0.2">
      <c r="A5" s="24"/>
      <c r="B5" s="26" t="s">
        <v>427</v>
      </c>
      <c r="C5" s="436" t="s">
        <v>1518</v>
      </c>
      <c r="D5" s="436"/>
      <c r="E5" s="436"/>
      <c r="F5" s="436"/>
      <c r="G5" s="436"/>
      <c r="H5" s="436"/>
      <c r="I5" s="436"/>
      <c r="J5" s="436"/>
      <c r="K5" s="436"/>
      <c r="L5" s="436"/>
      <c r="M5" s="436"/>
      <c r="N5" s="437"/>
    </row>
    <row r="6" spans="1:23" s="17" customFormat="1" x14ac:dyDescent="0.2">
      <c r="A6" s="24"/>
      <c r="B6" s="26"/>
      <c r="C6" s="436"/>
      <c r="D6" s="436"/>
      <c r="E6" s="436"/>
      <c r="F6" s="436"/>
      <c r="G6" s="436"/>
      <c r="H6" s="436"/>
      <c r="I6" s="436"/>
      <c r="J6" s="436"/>
      <c r="K6" s="436"/>
      <c r="L6" s="436"/>
      <c r="M6" s="436"/>
      <c r="N6" s="437"/>
    </row>
    <row r="7" spans="1:23" s="17" customFormat="1" x14ac:dyDescent="0.2">
      <c r="A7" s="24"/>
      <c r="B7" s="26"/>
      <c r="C7" s="438"/>
      <c r="D7" s="438"/>
      <c r="E7" s="438"/>
      <c r="F7" s="438"/>
      <c r="G7" s="438"/>
      <c r="H7" s="438"/>
      <c r="I7" s="438"/>
      <c r="J7" s="438"/>
      <c r="K7" s="438"/>
      <c r="L7" s="438"/>
      <c r="M7" s="438"/>
      <c r="N7" s="439"/>
    </row>
    <row r="8" spans="1:23" s="17" customFormat="1" x14ac:dyDescent="0.2">
      <c r="A8" s="24"/>
      <c r="B8" s="26" t="s">
        <v>426</v>
      </c>
      <c r="C8" s="27" t="s">
        <v>748</v>
      </c>
      <c r="D8" s="27"/>
      <c r="E8" s="28"/>
      <c r="F8" s="28"/>
      <c r="G8" s="28"/>
      <c r="H8" s="28"/>
      <c r="I8" s="28"/>
      <c r="J8" s="28"/>
      <c r="K8" s="28"/>
      <c r="L8" s="28"/>
      <c r="M8" s="28"/>
      <c r="N8" s="29"/>
    </row>
    <row r="9" spans="1:23" s="17" customFormat="1" ht="13.5" thickBot="1" x14ac:dyDescent="0.25">
      <c r="A9" s="24"/>
      <c r="B9" s="26" t="s">
        <v>430</v>
      </c>
      <c r="C9" s="27" t="s">
        <v>749</v>
      </c>
      <c r="D9" s="27"/>
      <c r="E9" s="28"/>
      <c r="F9" s="28"/>
      <c r="G9" s="28"/>
      <c r="H9" s="28"/>
      <c r="I9" s="28"/>
      <c r="J9" s="28"/>
      <c r="K9" s="28"/>
      <c r="L9" s="28"/>
      <c r="M9" s="28"/>
      <c r="N9" s="29"/>
    </row>
    <row r="10" spans="1:23" s="17" customFormat="1" x14ac:dyDescent="0.2">
      <c r="A10" s="20"/>
      <c r="B10" s="21" t="s">
        <v>263</v>
      </c>
      <c r="C10" s="21"/>
      <c r="D10" s="21"/>
      <c r="E10" s="22"/>
      <c r="F10" s="22"/>
      <c r="G10" s="22"/>
      <c r="H10" s="22"/>
      <c r="I10" s="22"/>
      <c r="J10" s="92" t="s">
        <v>2101</v>
      </c>
      <c r="K10" s="37" t="s">
        <v>2103</v>
      </c>
      <c r="L10" s="37"/>
      <c r="M10" s="37"/>
      <c r="N10" s="37"/>
    </row>
    <row r="11" spans="1:23" s="17" customFormat="1" ht="13.5" thickBot="1" x14ac:dyDescent="0.25">
      <c r="A11" s="30"/>
      <c r="B11" s="31"/>
      <c r="C11" s="31"/>
      <c r="D11" s="31"/>
      <c r="E11" s="32"/>
      <c r="F11" s="32"/>
      <c r="G11" s="32"/>
      <c r="H11" s="32"/>
      <c r="I11" s="32"/>
      <c r="J11" s="49" t="s">
        <v>2102</v>
      </c>
      <c r="K11" s="93" t="s">
        <v>273</v>
      </c>
      <c r="L11" s="93" t="s">
        <v>2104</v>
      </c>
      <c r="M11" s="93"/>
      <c r="N11" s="40"/>
    </row>
    <row r="12" spans="1:23" s="17" customFormat="1" x14ac:dyDescent="0.2">
      <c r="A12" s="20"/>
      <c r="B12" s="434" t="s">
        <v>67</v>
      </c>
      <c r="C12" s="434"/>
      <c r="D12" s="434"/>
      <c r="E12" s="22"/>
      <c r="F12" s="22" t="s">
        <v>1180</v>
      </c>
      <c r="G12" s="22" t="s">
        <v>68</v>
      </c>
      <c r="H12" s="22" t="s">
        <v>702</v>
      </c>
      <c r="I12" s="22"/>
      <c r="J12" s="74">
        <f>54.5/ATHENS!O1*ATHENS!O2</f>
        <v>99.090909090909079</v>
      </c>
      <c r="K12" s="74">
        <f>87.6/ATHENS!O1*ATHENS!O2</f>
        <v>159.27272727272725</v>
      </c>
      <c r="L12" s="74">
        <f>169.95/ATHENS!O1*ATHENS!O2</f>
        <v>308.99999999999994</v>
      </c>
      <c r="M12" s="42"/>
      <c r="N12" s="42"/>
    </row>
    <row r="13" spans="1:23" s="17" customFormat="1" x14ac:dyDescent="0.2">
      <c r="A13" s="24"/>
      <c r="B13" s="435" t="s">
        <v>67</v>
      </c>
      <c r="C13" s="435"/>
      <c r="D13" s="435"/>
      <c r="E13" s="28"/>
      <c r="F13" s="28" t="s">
        <v>1181</v>
      </c>
      <c r="G13" s="28" t="s">
        <v>68</v>
      </c>
      <c r="H13" s="28" t="s">
        <v>702</v>
      </c>
      <c r="I13" s="28"/>
      <c r="J13" s="75">
        <f>27.5/ATHENS!O1*ATHENS!O2</f>
        <v>49.999999999999993</v>
      </c>
      <c r="K13" s="75">
        <f>43.8/ATHENS!O1*ATHENS!O2</f>
        <v>79.636363636363626</v>
      </c>
      <c r="L13" s="75">
        <f>84.9/ATHENS!O1*ATHENS!O2</f>
        <v>154.36363636363637</v>
      </c>
      <c r="M13" s="44"/>
      <c r="N13" s="44"/>
    </row>
    <row r="14" spans="1:23" s="17" customFormat="1" ht="13.5" thickBot="1" x14ac:dyDescent="0.25">
      <c r="A14" s="30"/>
      <c r="B14" s="443" t="s">
        <v>67</v>
      </c>
      <c r="C14" s="443"/>
      <c r="D14" s="443"/>
      <c r="E14" s="32"/>
      <c r="F14" s="32" t="s">
        <v>1182</v>
      </c>
      <c r="G14" s="32" t="s">
        <v>68</v>
      </c>
      <c r="H14" s="32" t="s">
        <v>702</v>
      </c>
      <c r="I14" s="32"/>
      <c r="J14" s="76">
        <f>24.5/ATHENS!O1*ATHENS!O2</f>
        <v>44.54545454545454</v>
      </c>
      <c r="K14" s="76">
        <f>39.5/ATHENS!O1*ATHENS!O2</f>
        <v>71.818181818181813</v>
      </c>
      <c r="L14" s="76">
        <f>76.5/ATHENS!O1*ATHENS!O2</f>
        <v>139.09090909090909</v>
      </c>
      <c r="M14" s="46"/>
      <c r="N14" s="46"/>
    </row>
    <row r="15" spans="1:23" s="17" customFormat="1" ht="13.5" thickBot="1" x14ac:dyDescent="0.25">
      <c r="A15" s="84"/>
      <c r="B15" s="55" t="s">
        <v>1114</v>
      </c>
      <c r="C15" s="55"/>
      <c r="D15" s="55"/>
      <c r="E15" s="55"/>
      <c r="F15" s="55"/>
      <c r="G15" s="55"/>
      <c r="H15" s="55"/>
      <c r="I15" s="64"/>
      <c r="J15" s="64"/>
      <c r="K15" s="64"/>
      <c r="L15" s="64"/>
      <c r="M15" s="64"/>
      <c r="N15" s="66"/>
    </row>
    <row r="16" spans="1:23" s="17" customFormat="1" ht="13.5" thickBot="1" x14ac:dyDescent="0.25">
      <c r="A16" s="14"/>
      <c r="B16" s="15"/>
      <c r="C16" s="15"/>
      <c r="D16" s="15"/>
      <c r="E16" s="16"/>
      <c r="F16" s="16"/>
      <c r="G16" s="16"/>
      <c r="H16" s="16"/>
      <c r="I16" s="16"/>
      <c r="J16" s="16"/>
      <c r="K16" s="16"/>
      <c r="L16" s="16"/>
      <c r="M16" s="16"/>
      <c r="N16" s="16"/>
    </row>
    <row r="17" spans="1:14" s="17" customFormat="1" x14ac:dyDescent="0.2">
      <c r="A17" s="20"/>
      <c r="B17" s="21"/>
      <c r="C17" s="21"/>
      <c r="D17" s="21"/>
      <c r="E17" s="22"/>
      <c r="F17" s="22"/>
      <c r="G17" s="22"/>
      <c r="H17" s="22"/>
      <c r="I17" s="22"/>
      <c r="J17" s="22"/>
      <c r="K17" s="22"/>
      <c r="L17" s="22"/>
      <c r="M17" s="22"/>
      <c r="N17" s="23"/>
    </row>
    <row r="18" spans="1:14" s="17" customFormat="1" ht="15" x14ac:dyDescent="0.2">
      <c r="A18" s="24"/>
      <c r="B18" s="440" t="s">
        <v>925</v>
      </c>
      <c r="C18" s="441"/>
      <c r="D18" s="441"/>
      <c r="E18" s="441"/>
      <c r="F18" s="441"/>
      <c r="G18" s="441"/>
      <c r="H18" s="441"/>
      <c r="I18" s="441"/>
      <c r="J18" s="441"/>
      <c r="K18" s="441"/>
      <c r="L18" s="441"/>
      <c r="M18" s="442"/>
      <c r="N18" s="25" t="s">
        <v>685</v>
      </c>
    </row>
    <row r="19" spans="1:14" s="17" customFormat="1" x14ac:dyDescent="0.2">
      <c r="A19" s="24"/>
      <c r="B19" s="26" t="s">
        <v>428</v>
      </c>
      <c r="C19" s="27" t="s">
        <v>1342</v>
      </c>
      <c r="D19" s="27"/>
      <c r="E19" s="28"/>
      <c r="F19" s="28"/>
      <c r="G19" s="28"/>
      <c r="H19" s="28"/>
      <c r="I19" s="28"/>
      <c r="J19" s="28"/>
      <c r="K19" s="28"/>
      <c r="L19" s="28"/>
      <c r="M19" s="28"/>
      <c r="N19" s="29"/>
    </row>
    <row r="20" spans="1:14" s="17" customFormat="1" x14ac:dyDescent="0.2">
      <c r="A20" s="24"/>
      <c r="B20" s="26" t="s">
        <v>429</v>
      </c>
      <c r="C20" s="27" t="s">
        <v>394</v>
      </c>
      <c r="D20" s="27"/>
      <c r="E20" s="28"/>
      <c r="F20" s="28"/>
      <c r="G20" s="28"/>
      <c r="H20" s="28"/>
      <c r="I20" s="28"/>
      <c r="J20" s="28"/>
      <c r="K20" s="28"/>
      <c r="L20" s="28"/>
      <c r="M20" s="28"/>
      <c r="N20" s="29"/>
    </row>
    <row r="21" spans="1:14" s="17" customFormat="1" x14ac:dyDescent="0.2">
      <c r="A21" s="24"/>
      <c r="B21" s="26" t="s">
        <v>427</v>
      </c>
      <c r="C21" s="458" t="s">
        <v>1517</v>
      </c>
      <c r="D21" s="458"/>
      <c r="E21" s="458"/>
      <c r="F21" s="458"/>
      <c r="G21" s="458"/>
      <c r="H21" s="458"/>
      <c r="I21" s="458"/>
      <c r="J21" s="458"/>
      <c r="K21" s="458"/>
      <c r="L21" s="458"/>
      <c r="M21" s="458"/>
      <c r="N21" s="459"/>
    </row>
    <row r="22" spans="1:14" s="17" customFormat="1" x14ac:dyDescent="0.2">
      <c r="A22" s="24"/>
      <c r="B22" s="15"/>
      <c r="C22" s="458"/>
      <c r="D22" s="458"/>
      <c r="E22" s="458"/>
      <c r="F22" s="458"/>
      <c r="G22" s="458"/>
      <c r="H22" s="458"/>
      <c r="I22" s="458"/>
      <c r="J22" s="458"/>
      <c r="K22" s="458"/>
      <c r="L22" s="458"/>
      <c r="M22" s="458"/>
      <c r="N22" s="459"/>
    </row>
    <row r="23" spans="1:14" s="17" customFormat="1" x14ac:dyDescent="0.2">
      <c r="A23" s="24"/>
      <c r="B23" s="15"/>
      <c r="C23" s="458"/>
      <c r="D23" s="458"/>
      <c r="E23" s="458"/>
      <c r="F23" s="458"/>
      <c r="G23" s="458"/>
      <c r="H23" s="458"/>
      <c r="I23" s="458"/>
      <c r="J23" s="458"/>
      <c r="K23" s="458"/>
      <c r="L23" s="458"/>
      <c r="M23" s="458"/>
      <c r="N23" s="459"/>
    </row>
    <row r="24" spans="1:14" s="17" customFormat="1" ht="13.5" thickBot="1" x14ac:dyDescent="0.25">
      <c r="A24" s="24"/>
      <c r="B24" s="26" t="s">
        <v>426</v>
      </c>
      <c r="C24" s="27" t="s">
        <v>924</v>
      </c>
      <c r="D24" s="27"/>
      <c r="E24" s="28"/>
      <c r="F24" s="28"/>
      <c r="G24" s="28"/>
      <c r="H24" s="28"/>
      <c r="I24" s="28"/>
      <c r="J24" s="28"/>
      <c r="K24" s="28"/>
      <c r="L24" s="28"/>
      <c r="M24" s="28"/>
      <c r="N24" s="29"/>
    </row>
    <row r="25" spans="1:14" s="17" customFormat="1" x14ac:dyDescent="0.2">
      <c r="A25" s="20"/>
      <c r="B25" s="21" t="s">
        <v>263</v>
      </c>
      <c r="C25" s="21"/>
      <c r="D25" s="21"/>
      <c r="E25" s="22"/>
      <c r="F25" s="22"/>
      <c r="G25" s="22"/>
      <c r="H25" s="22"/>
      <c r="I25" s="22"/>
      <c r="J25" s="48" t="s">
        <v>2105</v>
      </c>
      <c r="K25" s="37" t="s">
        <v>2106</v>
      </c>
      <c r="L25" s="37" t="s">
        <v>396</v>
      </c>
      <c r="M25" s="37"/>
      <c r="N25" s="37"/>
    </row>
    <row r="26" spans="1:14" s="17" customFormat="1" ht="13.5" thickBot="1" x14ac:dyDescent="0.25">
      <c r="A26" s="30"/>
      <c r="B26" s="31"/>
      <c r="C26" s="31"/>
      <c r="D26" s="31"/>
      <c r="E26" s="32"/>
      <c r="F26" s="32"/>
      <c r="G26" s="32"/>
      <c r="H26" s="32"/>
      <c r="I26" s="32"/>
      <c r="J26" s="49" t="s">
        <v>481</v>
      </c>
      <c r="K26" s="40" t="s">
        <v>199</v>
      </c>
      <c r="L26" s="40" t="s">
        <v>200</v>
      </c>
      <c r="M26" s="40" t="s">
        <v>186</v>
      </c>
      <c r="N26" s="40"/>
    </row>
    <row r="27" spans="1:14" s="17" customFormat="1" x14ac:dyDescent="0.2">
      <c r="A27" s="24"/>
      <c r="B27" s="435" t="s">
        <v>67</v>
      </c>
      <c r="C27" s="435"/>
      <c r="D27" s="435"/>
      <c r="E27" s="28"/>
      <c r="F27" s="28" t="s">
        <v>1180</v>
      </c>
      <c r="G27" s="28" t="s">
        <v>68</v>
      </c>
      <c r="H27" s="28" t="s">
        <v>702</v>
      </c>
      <c r="I27" s="28"/>
      <c r="J27" s="75">
        <f>68.6/ATHENS!O1*ATHENS!O2</f>
        <v>124.72727272727271</v>
      </c>
      <c r="K27" s="75">
        <f>94.5/ATHENS!O1*ATHENS!O2</f>
        <v>171.81818181818181</v>
      </c>
      <c r="L27" s="75">
        <f>117.5/ATHENS!O1*ATHENS!O2</f>
        <v>213.63636363636363</v>
      </c>
      <c r="M27" s="44">
        <f>180/ATHENS!O1*ATHENS!O2</f>
        <v>327.27272727272725</v>
      </c>
      <c r="N27" s="44"/>
    </row>
    <row r="28" spans="1:14" s="17" customFormat="1" x14ac:dyDescent="0.2">
      <c r="A28" s="24"/>
      <c r="B28" s="435" t="s">
        <v>67</v>
      </c>
      <c r="C28" s="435"/>
      <c r="D28" s="435"/>
      <c r="E28" s="28"/>
      <c r="F28" s="28" t="s">
        <v>1181</v>
      </c>
      <c r="G28" s="28" t="s">
        <v>68</v>
      </c>
      <c r="H28" s="28" t="s">
        <v>702</v>
      </c>
      <c r="I28" s="28"/>
      <c r="J28" s="75">
        <f>25.5/ATHENS!O1*ATHENS!O2</f>
        <v>46.36363636363636</v>
      </c>
      <c r="K28" s="75">
        <f>52.5/ATHENS!O1*ATHENS!O2</f>
        <v>95.454545454545453</v>
      </c>
      <c r="L28" s="75">
        <f>65.5/ATHENS!O1*ATHENS!O2</f>
        <v>119.09090909090908</v>
      </c>
      <c r="M28" s="44">
        <f>100/ATHENS!O1*ATHENS!O2</f>
        <v>181.81818181818181</v>
      </c>
      <c r="N28" s="44"/>
    </row>
    <row r="29" spans="1:14" s="17" customFormat="1" ht="13.5" thickBot="1" x14ac:dyDescent="0.25">
      <c r="A29" s="30"/>
      <c r="B29" s="443" t="s">
        <v>67</v>
      </c>
      <c r="C29" s="443"/>
      <c r="D29" s="443"/>
      <c r="E29" s="32"/>
      <c r="F29" s="32" t="s">
        <v>1182</v>
      </c>
      <c r="G29" s="32" t="s">
        <v>68</v>
      </c>
      <c r="H29" s="32" t="s">
        <v>702</v>
      </c>
      <c r="I29" s="32"/>
      <c r="J29" s="76">
        <f>35.9/ATHENS!O1*ATHENS!O2</f>
        <v>65.272727272727266</v>
      </c>
      <c r="K29" s="76">
        <f>45.57/ATHENS!O1*ATHENS!O2</f>
        <v>82.854545454545445</v>
      </c>
      <c r="L29" s="76">
        <f>53.9/ATHENS!O1*ATHENS!O2</f>
        <v>97.999999999999986</v>
      </c>
      <c r="M29" s="46">
        <f>77/ATHENS!O1*ATHENS!O2</f>
        <v>140</v>
      </c>
      <c r="N29" s="46"/>
    </row>
    <row r="30" spans="1:14" s="17" customFormat="1" ht="13.5" thickBot="1" x14ac:dyDescent="0.25">
      <c r="A30" s="14"/>
      <c r="B30" s="15"/>
      <c r="C30" s="15"/>
      <c r="D30" s="15"/>
      <c r="E30" s="16"/>
      <c r="F30" s="16"/>
      <c r="G30" s="16"/>
      <c r="H30" s="16"/>
      <c r="I30" s="16"/>
      <c r="J30" s="16"/>
      <c r="K30" s="16"/>
      <c r="L30" s="16"/>
      <c r="M30" s="16"/>
      <c r="N30" s="16"/>
    </row>
    <row r="31" spans="1:14" s="17" customFormat="1" x14ac:dyDescent="0.2">
      <c r="A31" s="20"/>
      <c r="B31" s="21"/>
      <c r="C31" s="21"/>
      <c r="D31" s="21"/>
      <c r="E31" s="22"/>
      <c r="F31" s="22"/>
      <c r="G31" s="22"/>
      <c r="H31" s="22"/>
      <c r="I31" s="22"/>
      <c r="J31" s="22"/>
      <c r="K31" s="22"/>
      <c r="L31" s="22"/>
      <c r="M31" s="22"/>
      <c r="N31" s="23"/>
    </row>
    <row r="32" spans="1:14" s="17" customFormat="1" ht="15" x14ac:dyDescent="0.2">
      <c r="A32" s="24"/>
      <c r="B32" s="440" t="s">
        <v>750</v>
      </c>
      <c r="C32" s="441"/>
      <c r="D32" s="441"/>
      <c r="E32" s="441"/>
      <c r="F32" s="441"/>
      <c r="G32" s="441"/>
      <c r="H32" s="441"/>
      <c r="I32" s="441"/>
      <c r="J32" s="441"/>
      <c r="K32" s="441"/>
      <c r="L32" s="441"/>
      <c r="M32" s="442"/>
      <c r="N32" s="25" t="s">
        <v>685</v>
      </c>
    </row>
    <row r="33" spans="1:14" s="17" customFormat="1" x14ac:dyDescent="0.2">
      <c r="A33" s="24"/>
      <c r="B33" s="26" t="s">
        <v>428</v>
      </c>
      <c r="C33" s="27" t="s">
        <v>1342</v>
      </c>
      <c r="D33" s="27"/>
      <c r="E33" s="28"/>
      <c r="F33" s="28"/>
      <c r="G33" s="28"/>
      <c r="H33" s="28"/>
      <c r="I33" s="28"/>
      <c r="J33" s="28"/>
      <c r="K33" s="28"/>
      <c r="L33" s="28"/>
      <c r="M33" s="28"/>
      <c r="N33" s="29"/>
    </row>
    <row r="34" spans="1:14" s="17" customFormat="1" x14ac:dyDescent="0.2">
      <c r="A34" s="24"/>
      <c r="B34" s="26" t="s">
        <v>429</v>
      </c>
      <c r="C34" s="27" t="s">
        <v>1144</v>
      </c>
      <c r="D34" s="27"/>
      <c r="E34" s="28"/>
      <c r="F34" s="28"/>
      <c r="G34" s="28"/>
      <c r="H34" s="28"/>
      <c r="I34" s="28"/>
      <c r="J34" s="28"/>
      <c r="K34" s="28"/>
      <c r="L34" s="28"/>
      <c r="M34" s="28"/>
      <c r="N34" s="29"/>
    </row>
    <row r="35" spans="1:14" s="17" customFormat="1" x14ac:dyDescent="0.2">
      <c r="A35" s="24"/>
      <c r="B35" s="26" t="s">
        <v>427</v>
      </c>
      <c r="C35" s="436" t="s">
        <v>1635</v>
      </c>
      <c r="D35" s="436"/>
      <c r="E35" s="436"/>
      <c r="F35" s="436"/>
      <c r="G35" s="436"/>
      <c r="H35" s="436"/>
      <c r="I35" s="436"/>
      <c r="J35" s="436"/>
      <c r="K35" s="436"/>
      <c r="L35" s="436"/>
      <c r="M35" s="436"/>
      <c r="N35" s="437"/>
    </row>
    <row r="36" spans="1:14" s="17" customFormat="1" x14ac:dyDescent="0.2">
      <c r="A36" s="24"/>
      <c r="B36" s="26"/>
      <c r="C36" s="436"/>
      <c r="D36" s="436"/>
      <c r="E36" s="436"/>
      <c r="F36" s="436"/>
      <c r="G36" s="436"/>
      <c r="H36" s="436"/>
      <c r="I36" s="436"/>
      <c r="J36" s="436"/>
      <c r="K36" s="436"/>
      <c r="L36" s="436"/>
      <c r="M36" s="436"/>
      <c r="N36" s="437"/>
    </row>
    <row r="37" spans="1:14" s="17" customFormat="1" x14ac:dyDescent="0.2">
      <c r="A37" s="24"/>
      <c r="B37" s="26" t="s">
        <v>426</v>
      </c>
      <c r="C37" s="27" t="s">
        <v>920</v>
      </c>
      <c r="D37" s="27"/>
      <c r="E37" s="28"/>
      <c r="F37" s="28"/>
      <c r="G37" s="28"/>
      <c r="H37" s="28"/>
      <c r="I37" s="28"/>
      <c r="J37" s="28"/>
      <c r="K37" s="28"/>
      <c r="L37" s="28"/>
      <c r="M37" s="28"/>
      <c r="N37" s="29"/>
    </row>
    <row r="38" spans="1:14" s="17" customFormat="1" x14ac:dyDescent="0.2">
      <c r="A38" s="24"/>
      <c r="B38" s="26" t="s">
        <v>430</v>
      </c>
      <c r="C38" s="27" t="s">
        <v>921</v>
      </c>
      <c r="D38" s="27"/>
      <c r="E38" s="28"/>
      <c r="F38" s="28"/>
      <c r="G38" s="28"/>
      <c r="H38" s="28"/>
      <c r="I38" s="28"/>
      <c r="J38" s="28"/>
      <c r="K38" s="28"/>
      <c r="L38" s="28"/>
      <c r="M38" s="28"/>
      <c r="N38" s="29"/>
    </row>
    <row r="39" spans="1:14" s="17" customFormat="1" ht="13.5" thickBot="1" x14ac:dyDescent="0.25">
      <c r="A39" s="30"/>
      <c r="B39" s="31"/>
      <c r="C39" s="31" t="s">
        <v>922</v>
      </c>
      <c r="D39" s="31"/>
      <c r="E39" s="32"/>
      <c r="F39" s="32"/>
      <c r="G39" s="32"/>
      <c r="H39" s="32"/>
      <c r="I39" s="32"/>
      <c r="J39" s="32"/>
      <c r="K39" s="32"/>
      <c r="L39" s="32"/>
      <c r="M39" s="32"/>
      <c r="N39" s="33"/>
    </row>
    <row r="40" spans="1:14" s="17" customFormat="1" x14ac:dyDescent="0.2">
      <c r="A40" s="20"/>
      <c r="B40" s="21" t="s">
        <v>263</v>
      </c>
      <c r="C40" s="21"/>
      <c r="D40" s="21"/>
      <c r="E40" s="22"/>
      <c r="F40" s="22"/>
      <c r="G40" s="22"/>
      <c r="H40" s="22"/>
      <c r="I40" s="22"/>
      <c r="J40" s="48" t="s">
        <v>1507</v>
      </c>
      <c r="K40" s="37" t="s">
        <v>1582</v>
      </c>
      <c r="L40" s="37" t="s">
        <v>1914</v>
      </c>
      <c r="M40" s="37"/>
      <c r="N40" s="37"/>
    </row>
    <row r="41" spans="1:14" s="17" customFormat="1" ht="13.5" thickBot="1" x14ac:dyDescent="0.25">
      <c r="A41" s="30"/>
      <c r="B41" s="31"/>
      <c r="C41" s="31"/>
      <c r="D41" s="31"/>
      <c r="E41" s="32"/>
      <c r="F41" s="32"/>
      <c r="G41" s="32"/>
      <c r="H41" s="32"/>
      <c r="I41" s="32"/>
      <c r="J41" s="49" t="s">
        <v>1836</v>
      </c>
      <c r="K41" s="40" t="s">
        <v>1913</v>
      </c>
      <c r="L41" s="40" t="s">
        <v>804</v>
      </c>
      <c r="M41" s="40" t="s">
        <v>1419</v>
      </c>
      <c r="N41" s="40"/>
    </row>
    <row r="42" spans="1:14" s="17" customFormat="1" x14ac:dyDescent="0.2">
      <c r="A42" s="20"/>
      <c r="B42" s="434" t="s">
        <v>67</v>
      </c>
      <c r="C42" s="434"/>
      <c r="D42" s="434"/>
      <c r="E42" s="22"/>
      <c r="F42" s="22" t="s">
        <v>1180</v>
      </c>
      <c r="G42" s="22" t="s">
        <v>68</v>
      </c>
      <c r="H42" s="22" t="s">
        <v>702</v>
      </c>
      <c r="I42" s="22"/>
      <c r="J42" s="74">
        <f>38.5/ATHENS!O1*ATHENS!O2</f>
        <v>70</v>
      </c>
      <c r="K42" s="74">
        <f>50/ATHENS!O1*ATHENS!O2</f>
        <v>90.909090909090907</v>
      </c>
      <c r="L42" s="74">
        <f>71.5/ATHENS!O1*ATHENS!O2</f>
        <v>130</v>
      </c>
      <c r="M42" s="42">
        <f>94/ATHENS!O1*ATHENS!O2</f>
        <v>170.90909090909091</v>
      </c>
      <c r="N42" s="42"/>
    </row>
    <row r="43" spans="1:14" s="17" customFormat="1" x14ac:dyDescent="0.2">
      <c r="A43" s="24"/>
      <c r="B43" s="435" t="s">
        <v>67</v>
      </c>
      <c r="C43" s="435"/>
      <c r="D43" s="435"/>
      <c r="E43" s="28"/>
      <c r="F43" s="28" t="s">
        <v>1181</v>
      </c>
      <c r="G43" s="28" t="s">
        <v>68</v>
      </c>
      <c r="H43" s="28" t="s">
        <v>702</v>
      </c>
      <c r="I43" s="28"/>
      <c r="J43" s="75">
        <f>27.5/ATHENS!O1*ATHENS!O2</f>
        <v>49.999999999999993</v>
      </c>
      <c r="K43" s="75">
        <f>35.7/ATHENS!O1*ATHENS!O2</f>
        <v>64.909090909090907</v>
      </c>
      <c r="L43" s="75">
        <f>46.7/ATHENS!O1*ATHENS!O2</f>
        <v>84.909090909090907</v>
      </c>
      <c r="M43" s="44">
        <f>63/ATHENS!O1*ATHENS!O2</f>
        <v>114.54545454545453</v>
      </c>
      <c r="N43" s="44"/>
    </row>
    <row r="44" spans="1:14" s="17" customFormat="1" ht="13.5" thickBot="1" x14ac:dyDescent="0.25">
      <c r="A44" s="30"/>
      <c r="B44" s="443" t="s">
        <v>67</v>
      </c>
      <c r="C44" s="443"/>
      <c r="D44" s="443"/>
      <c r="E44" s="32"/>
      <c r="F44" s="32" t="s">
        <v>1182</v>
      </c>
      <c r="G44" s="32" t="s">
        <v>68</v>
      </c>
      <c r="H44" s="32" t="s">
        <v>702</v>
      </c>
      <c r="I44" s="32"/>
      <c r="J44" s="76">
        <f>23.8/ATHENS!O1*ATHENS!O2</f>
        <v>43.272727272727273</v>
      </c>
      <c r="K44" s="76">
        <f>31.5/ATHENS!O1*ATHENS!O2</f>
        <v>57.272727272727266</v>
      </c>
      <c r="L44" s="76">
        <f>40.5/ATHENS!O1*ATHENS!O2</f>
        <v>73.636363636363626</v>
      </c>
      <c r="M44" s="46">
        <f>52/ATHENS!O1*ATHENS!O2</f>
        <v>94.545454545454533</v>
      </c>
      <c r="N44" s="46"/>
    </row>
    <row r="45" spans="1:14" s="17" customFormat="1" ht="13.5" thickBot="1" x14ac:dyDescent="0.25">
      <c r="A45" s="84"/>
      <c r="B45" s="55" t="s">
        <v>1115</v>
      </c>
      <c r="C45" s="55"/>
      <c r="D45" s="55"/>
      <c r="E45" s="64"/>
      <c r="F45" s="64"/>
      <c r="G45" s="64"/>
      <c r="H45" s="64"/>
      <c r="I45" s="64"/>
      <c r="J45" s="64"/>
      <c r="K45" s="64"/>
      <c r="L45" s="64"/>
      <c r="M45" s="64"/>
      <c r="N45" s="66"/>
    </row>
    <row r="46" spans="1:14" s="17" customFormat="1" ht="13.5" thickBot="1" x14ac:dyDescent="0.25">
      <c r="A46" s="14"/>
      <c r="B46" s="15"/>
      <c r="C46" s="15"/>
      <c r="D46" s="15"/>
      <c r="E46" s="16"/>
      <c r="F46" s="16"/>
      <c r="G46" s="16"/>
      <c r="H46" s="16"/>
      <c r="I46" s="16"/>
      <c r="J46" s="16"/>
      <c r="K46" s="16"/>
      <c r="L46" s="16"/>
      <c r="M46" s="16"/>
      <c r="N46" s="16"/>
    </row>
    <row r="47" spans="1:14" s="17" customFormat="1" x14ac:dyDescent="0.2">
      <c r="A47" s="20"/>
      <c r="B47" s="21"/>
      <c r="C47" s="21"/>
      <c r="D47" s="21"/>
      <c r="E47" s="22"/>
      <c r="F47" s="22"/>
      <c r="G47" s="22"/>
      <c r="H47" s="22"/>
      <c r="I47" s="22"/>
      <c r="J47" s="22"/>
      <c r="K47" s="22"/>
      <c r="L47" s="22"/>
      <c r="M47" s="22"/>
      <c r="N47" s="23"/>
    </row>
    <row r="48" spans="1:14" s="17" customFormat="1" ht="15" x14ac:dyDescent="0.2">
      <c r="A48" s="24"/>
      <c r="B48" s="440" t="s">
        <v>923</v>
      </c>
      <c r="C48" s="441"/>
      <c r="D48" s="441"/>
      <c r="E48" s="441"/>
      <c r="F48" s="441"/>
      <c r="G48" s="441"/>
      <c r="H48" s="441"/>
      <c r="I48" s="441"/>
      <c r="J48" s="441"/>
      <c r="K48" s="441"/>
      <c r="L48" s="441"/>
      <c r="M48" s="442"/>
      <c r="N48" s="25" t="s">
        <v>685</v>
      </c>
    </row>
    <row r="49" spans="1:14" s="17" customFormat="1" x14ac:dyDescent="0.2">
      <c r="A49" s="24"/>
      <c r="B49" s="26" t="s">
        <v>428</v>
      </c>
      <c r="C49" s="27" t="s">
        <v>1342</v>
      </c>
      <c r="D49" s="27"/>
      <c r="E49" s="28"/>
      <c r="F49" s="28"/>
      <c r="G49" s="28"/>
      <c r="H49" s="28"/>
      <c r="I49" s="28"/>
      <c r="J49" s="28"/>
      <c r="K49" s="28"/>
      <c r="L49" s="28"/>
      <c r="M49" s="28"/>
      <c r="N49" s="29"/>
    </row>
    <row r="50" spans="1:14" s="17" customFormat="1" x14ac:dyDescent="0.2">
      <c r="A50" s="24"/>
      <c r="B50" s="26" t="s">
        <v>429</v>
      </c>
      <c r="C50" s="27" t="s">
        <v>1145</v>
      </c>
      <c r="D50" s="27"/>
      <c r="E50" s="28"/>
      <c r="F50" s="28"/>
      <c r="G50" s="28"/>
      <c r="H50" s="28"/>
      <c r="I50" s="28"/>
      <c r="J50" s="28"/>
      <c r="K50" s="28"/>
      <c r="L50" s="28"/>
      <c r="M50" s="28"/>
      <c r="N50" s="29"/>
    </row>
    <row r="51" spans="1:14" s="17" customFormat="1" x14ac:dyDescent="0.2">
      <c r="A51" s="24"/>
      <c r="B51" s="26" t="s">
        <v>427</v>
      </c>
      <c r="C51" s="458" t="s">
        <v>1516</v>
      </c>
      <c r="D51" s="458"/>
      <c r="E51" s="458"/>
      <c r="F51" s="458"/>
      <c r="G51" s="458"/>
      <c r="H51" s="458"/>
      <c r="I51" s="458"/>
      <c r="J51" s="458"/>
      <c r="K51" s="458"/>
      <c r="L51" s="458"/>
      <c r="M51" s="458"/>
      <c r="N51" s="459"/>
    </row>
    <row r="52" spans="1:14" s="17" customFormat="1" x14ac:dyDescent="0.2">
      <c r="A52" s="24"/>
      <c r="B52" s="26"/>
      <c r="C52" s="458"/>
      <c r="D52" s="458"/>
      <c r="E52" s="458"/>
      <c r="F52" s="458"/>
      <c r="G52" s="458"/>
      <c r="H52" s="458"/>
      <c r="I52" s="458"/>
      <c r="J52" s="458"/>
      <c r="K52" s="458"/>
      <c r="L52" s="458"/>
      <c r="M52" s="458"/>
      <c r="N52" s="459"/>
    </row>
    <row r="53" spans="1:14" s="17" customFormat="1" x14ac:dyDescent="0.2">
      <c r="A53" s="24"/>
      <c r="B53" s="26" t="s">
        <v>426</v>
      </c>
      <c r="C53" s="27" t="s">
        <v>924</v>
      </c>
      <c r="D53" s="27"/>
      <c r="E53" s="28"/>
      <c r="F53" s="28"/>
      <c r="G53" s="28"/>
      <c r="H53" s="28"/>
      <c r="I53" s="28"/>
      <c r="J53" s="28"/>
      <c r="K53" s="28"/>
      <c r="L53" s="28"/>
      <c r="M53" s="28"/>
      <c r="N53" s="29"/>
    </row>
    <row r="54" spans="1:14" s="17" customFormat="1" ht="13.5" thickBot="1" x14ac:dyDescent="0.25">
      <c r="A54" s="24"/>
      <c r="B54" s="26" t="s">
        <v>430</v>
      </c>
      <c r="C54" s="27" t="s">
        <v>1478</v>
      </c>
      <c r="D54" s="27"/>
      <c r="E54" s="28"/>
      <c r="F54" s="28"/>
      <c r="G54" s="28"/>
      <c r="H54" s="28"/>
      <c r="I54" s="28"/>
      <c r="J54" s="28"/>
      <c r="K54" s="28"/>
      <c r="L54" s="28"/>
      <c r="M54" s="28"/>
      <c r="N54" s="29"/>
    </row>
    <row r="55" spans="1:14" s="17" customFormat="1" x14ac:dyDescent="0.2">
      <c r="A55" s="20"/>
      <c r="B55" s="21" t="s">
        <v>263</v>
      </c>
      <c r="C55" s="21"/>
      <c r="D55" s="21"/>
      <c r="E55" s="22"/>
      <c r="F55" s="22"/>
      <c r="G55" s="22"/>
      <c r="H55" s="22"/>
      <c r="I55" s="22"/>
      <c r="J55" s="48" t="s">
        <v>1507</v>
      </c>
      <c r="K55" s="37" t="s">
        <v>1582</v>
      </c>
      <c r="L55" s="37" t="s">
        <v>1914</v>
      </c>
      <c r="M55" s="37"/>
      <c r="N55" s="37"/>
    </row>
    <row r="56" spans="1:14" s="17" customFormat="1" ht="13.5" thickBot="1" x14ac:dyDescent="0.25">
      <c r="A56" s="30"/>
      <c r="B56" s="31"/>
      <c r="C56" s="31"/>
      <c r="D56" s="31"/>
      <c r="E56" s="32"/>
      <c r="F56" s="32"/>
      <c r="G56" s="32"/>
      <c r="H56" s="32"/>
      <c r="I56" s="32"/>
      <c r="J56" s="49" t="s">
        <v>1836</v>
      </c>
      <c r="K56" s="40" t="s">
        <v>1913</v>
      </c>
      <c r="L56" s="40" t="s">
        <v>804</v>
      </c>
      <c r="M56" s="40" t="s">
        <v>1419</v>
      </c>
      <c r="N56" s="40"/>
    </row>
    <row r="57" spans="1:14" s="17" customFormat="1" x14ac:dyDescent="0.2">
      <c r="A57" s="20"/>
      <c r="B57" s="434" t="s">
        <v>901</v>
      </c>
      <c r="C57" s="434"/>
      <c r="D57" s="434"/>
      <c r="E57" s="22"/>
      <c r="F57" s="28" t="s">
        <v>1180</v>
      </c>
      <c r="G57" s="22" t="s">
        <v>68</v>
      </c>
      <c r="H57" s="22" t="s">
        <v>702</v>
      </c>
      <c r="I57" s="22"/>
      <c r="J57" s="74">
        <f>38.5/ATHENS!O1*ATHENS!O2</f>
        <v>70</v>
      </c>
      <c r="K57" s="74">
        <f>50/ATHENS!O1*ATHENS!O2</f>
        <v>90.909090909090907</v>
      </c>
      <c r="L57" s="74">
        <f>71.5/ATHENS!O1*ATHENS!O2</f>
        <v>130</v>
      </c>
      <c r="M57" s="42">
        <f>94/ATHENS!O1*ATHENS!O2</f>
        <v>170.90909090909091</v>
      </c>
      <c r="N57" s="42"/>
    </row>
    <row r="58" spans="1:14" s="17" customFormat="1" x14ac:dyDescent="0.2">
      <c r="A58" s="24"/>
      <c r="B58" s="435" t="s">
        <v>67</v>
      </c>
      <c r="C58" s="435"/>
      <c r="D58" s="435"/>
      <c r="E58" s="28"/>
      <c r="F58" s="28" t="s">
        <v>1181</v>
      </c>
      <c r="G58" s="28" t="s">
        <v>68</v>
      </c>
      <c r="H58" s="28" t="s">
        <v>702</v>
      </c>
      <c r="I58" s="28"/>
      <c r="J58" s="75">
        <f>27.5/ATHENS!O1*ATHENS!O2</f>
        <v>49.999999999999993</v>
      </c>
      <c r="K58" s="75">
        <f>35.7/ATHENS!O1*ATHENS!O2</f>
        <v>64.909090909090907</v>
      </c>
      <c r="L58" s="75">
        <f>46.7/ATHENS!O1*ATHENS!O2</f>
        <v>84.909090909090907</v>
      </c>
      <c r="M58" s="44">
        <f>63/ATHENS!O1*ATHENS!O2</f>
        <v>114.54545454545453</v>
      </c>
      <c r="N58" s="44"/>
    </row>
    <row r="59" spans="1:14" s="17" customFormat="1" x14ac:dyDescent="0.2">
      <c r="A59" s="24"/>
      <c r="B59" s="435" t="s">
        <v>67</v>
      </c>
      <c r="C59" s="435"/>
      <c r="D59" s="435"/>
      <c r="E59" s="28"/>
      <c r="F59" s="28" t="s">
        <v>1182</v>
      </c>
      <c r="G59" s="28" t="s">
        <v>68</v>
      </c>
      <c r="H59" s="28" t="s">
        <v>702</v>
      </c>
      <c r="I59" s="28"/>
      <c r="J59" s="75">
        <f>23.8/ATHENS!O1*ATHENS!O2</f>
        <v>43.272727272727273</v>
      </c>
      <c r="K59" s="75">
        <f>31.5/ATHENS!O1*ATHENS!O2</f>
        <v>57.272727272727266</v>
      </c>
      <c r="L59" s="75">
        <f>40.5/ATHENS!O1*ATHENS!O2</f>
        <v>73.636363636363626</v>
      </c>
      <c r="M59" s="44">
        <f>52/ATHENS!O1*ATHENS!O2</f>
        <v>94.545454545454533</v>
      </c>
      <c r="N59" s="44"/>
    </row>
    <row r="60" spans="1:14" s="17" customFormat="1" ht="13.5" thickBot="1" x14ac:dyDescent="0.25">
      <c r="A60" s="30"/>
      <c r="B60" s="443"/>
      <c r="C60" s="443"/>
      <c r="D60" s="443"/>
      <c r="E60" s="32"/>
      <c r="F60" s="94"/>
      <c r="G60" s="32"/>
      <c r="H60" s="32"/>
      <c r="I60" s="32"/>
      <c r="J60" s="76"/>
      <c r="K60" s="76"/>
      <c r="L60" s="76"/>
      <c r="M60" s="46"/>
      <c r="N60" s="46"/>
    </row>
    <row r="61" spans="1:14" s="17" customFormat="1" x14ac:dyDescent="0.2">
      <c r="A61" s="20"/>
      <c r="B61" s="21" t="s">
        <v>374</v>
      </c>
      <c r="C61" s="21"/>
      <c r="D61" s="21"/>
      <c r="E61" s="22"/>
      <c r="F61" s="22"/>
      <c r="G61" s="22"/>
      <c r="H61" s="22"/>
      <c r="I61" s="22"/>
      <c r="J61" s="22"/>
      <c r="K61" s="22"/>
      <c r="L61" s="22"/>
      <c r="M61" s="22"/>
      <c r="N61" s="23"/>
    </row>
    <row r="62" spans="1:14" s="17" customFormat="1" ht="13.5" thickBot="1" x14ac:dyDescent="0.25">
      <c r="A62" s="30"/>
      <c r="B62" s="31" t="s">
        <v>1116</v>
      </c>
      <c r="C62" s="31"/>
      <c r="D62" s="31"/>
      <c r="E62" s="32"/>
      <c r="F62" s="32"/>
      <c r="G62" s="32"/>
      <c r="H62" s="32"/>
      <c r="I62" s="32"/>
      <c r="J62" s="32"/>
      <c r="K62" s="32"/>
      <c r="L62" s="32"/>
      <c r="M62" s="32"/>
      <c r="N62" s="33"/>
    </row>
  </sheetData>
  <customSheetViews>
    <customSheetView guid="{3C76061C-A85D-4390-B9DB-73E13038638C}" showPageBreaks="1" showGridLines="0" view="pageLayout" topLeftCell="A46">
      <selection activeCell="M51" sqref="M51"/>
      <rowBreaks count="1" manualBreakCount="1">
        <brk id="46" max="16383" man="1"/>
      </rowBreaks>
      <pageMargins left="0.28125" right="0.25" top="0.6692913385826772" bottom="0.70866141732283472" header="0.23622047244094491" footer="0.47244094488188981"/>
      <printOptions horizontalCentered="1"/>
      <pageSetup paperSize="9" firstPageNumber="52"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 guid="{777CFE61-6F99-11D9-974B-0050BFD074B6}" showRuler="0">
      <selection activeCell="K14" sqref="K14:N18"/>
      <pageMargins left="0" right="0" top="0" bottom="0" header="0" footer="0"/>
      <pageSetup paperSize="9" orientation="portrait" horizontalDpi="4294967293" verticalDpi="300" r:id="rId2"/>
      <headerFooter alignWithMargins="0"/>
    </customSheetView>
  </customSheetViews>
  <mergeCells count="21">
    <mergeCell ref="C21:N23"/>
    <mergeCell ref="B27:D27"/>
    <mergeCell ref="B32:M32"/>
    <mergeCell ref="B28:D28"/>
    <mergeCell ref="B42:D42"/>
    <mergeCell ref="C35:N36"/>
    <mergeCell ref="B29:D29"/>
    <mergeCell ref="B2:M2"/>
    <mergeCell ref="B12:D12"/>
    <mergeCell ref="B13:D13"/>
    <mergeCell ref="C5:N7"/>
    <mergeCell ref="B18:M18"/>
    <mergeCell ref="B14:D14"/>
    <mergeCell ref="B60:D60"/>
    <mergeCell ref="B58:D58"/>
    <mergeCell ref="C51:N52"/>
    <mergeCell ref="B43:D43"/>
    <mergeCell ref="B48:M48"/>
    <mergeCell ref="B59:D59"/>
    <mergeCell ref="B57:D57"/>
    <mergeCell ref="B44:D44"/>
  </mergeCells>
  <phoneticPr fontId="0" type="noConversion"/>
  <hyperlinks>
    <hyperlink ref="B32:M32" r:id="rId3" display="Far Out" xr:uid="{00000000-0004-0000-1200-000000000000}"/>
    <hyperlink ref="B2:M2" r:id="rId4" display="Dionysos" xr:uid="{00000000-0004-0000-1200-000001000000}"/>
    <hyperlink ref="B18:M18" r:id="rId5" display="Ios Palace" xr:uid="{00000000-0004-0000-1200-000002000000}"/>
    <hyperlink ref="B48:M48" r:id="rId6" display="Far Out Village" xr:uid="{00000000-0004-0000-1200-000003000000}"/>
  </hyperlinks>
  <printOptions horizontalCentered="1"/>
  <pageMargins left="0.28125" right="0.25" top="0.6692913385826772" bottom="0.70866141732283472" header="0.23622047244094491" footer="0.47244094488188981"/>
  <pageSetup paperSize="9" firstPageNumber="52" orientation="portrait" useFirstPageNumber="1" horizontalDpi="300" verticalDpi="300" r:id="rId7"/>
  <headerFooter scaleWithDoc="0" alignWithMargins="0">
    <oddHeader xml:space="preserve">&amp;C TARIFF 2021
 (EURO)
</oddHeader>
    <oddFooter>&amp;LAll rates are in EURO&amp;C
TARIFF 2021
&amp;RPage &amp;P</oddFooter>
  </headerFooter>
  <rowBreaks count="1" manualBreakCount="1">
    <brk id="4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Φύλλο1"/>
  <dimension ref="A2:G49"/>
  <sheetViews>
    <sheetView showGridLines="0" view="pageLayout" workbookViewId="0">
      <selection activeCell="A53" sqref="A53"/>
    </sheetView>
  </sheetViews>
  <sheetFormatPr defaultRowHeight="12.75" x14ac:dyDescent="0.2"/>
  <cols>
    <col min="1" max="1" width="2.5703125" customWidth="1"/>
    <col min="7" max="7" width="11.7109375" style="152" bestFit="1" customWidth="1"/>
  </cols>
  <sheetData>
    <row r="2" spans="1:7" x14ac:dyDescent="0.2">
      <c r="B2" s="378"/>
      <c r="C2" s="378"/>
      <c r="D2" s="378"/>
      <c r="E2" s="378"/>
    </row>
    <row r="3" spans="1:7" x14ac:dyDescent="0.2">
      <c r="B3" s="378"/>
      <c r="C3" s="378"/>
      <c r="D3" s="378"/>
      <c r="E3" s="378"/>
    </row>
    <row r="8" spans="1:7" x14ac:dyDescent="0.2">
      <c r="G8" s="152" t="s">
        <v>673</v>
      </c>
    </row>
    <row r="9" spans="1:7" x14ac:dyDescent="0.2">
      <c r="A9" s="12" t="s">
        <v>102</v>
      </c>
      <c r="B9" t="s">
        <v>503</v>
      </c>
      <c r="G9" s="153" t="s">
        <v>670</v>
      </c>
    </row>
    <row r="10" spans="1:7" x14ac:dyDescent="0.2">
      <c r="A10" s="12" t="s">
        <v>102</v>
      </c>
      <c r="B10" t="s">
        <v>112</v>
      </c>
      <c r="G10" s="154" t="s">
        <v>675</v>
      </c>
    </row>
    <row r="11" spans="1:7" x14ac:dyDescent="0.2">
      <c r="A11" s="12" t="s">
        <v>102</v>
      </c>
      <c r="B11" t="s">
        <v>504</v>
      </c>
      <c r="G11" s="154" t="s">
        <v>676</v>
      </c>
    </row>
    <row r="12" spans="1:7" x14ac:dyDescent="0.2">
      <c r="A12" s="12" t="s">
        <v>102</v>
      </c>
      <c r="B12" t="s">
        <v>505</v>
      </c>
      <c r="G12" s="154" t="s">
        <v>669</v>
      </c>
    </row>
    <row r="13" spans="1:7" x14ac:dyDescent="0.2">
      <c r="A13" s="11"/>
      <c r="G13" s="155"/>
    </row>
    <row r="14" spans="1:7" ht="15.75" x14ac:dyDescent="0.25">
      <c r="A14" s="377" t="s">
        <v>674</v>
      </c>
      <c r="B14" s="377"/>
      <c r="C14" s="377"/>
      <c r="G14" s="155"/>
    </row>
    <row r="15" spans="1:7" x14ac:dyDescent="0.2">
      <c r="A15" s="12" t="s">
        <v>102</v>
      </c>
      <c r="B15" s="68" t="s">
        <v>113</v>
      </c>
      <c r="G15" s="250" t="s">
        <v>2219</v>
      </c>
    </row>
    <row r="16" spans="1:7" x14ac:dyDescent="0.2">
      <c r="A16" s="12" t="s">
        <v>102</v>
      </c>
      <c r="B16" s="68" t="s">
        <v>1129</v>
      </c>
      <c r="G16" s="154">
        <v>22</v>
      </c>
    </row>
    <row r="17" spans="1:7" x14ac:dyDescent="0.2">
      <c r="A17" s="12" t="s">
        <v>102</v>
      </c>
      <c r="B17" s="68" t="s">
        <v>1128</v>
      </c>
      <c r="G17" s="154">
        <v>23</v>
      </c>
    </row>
    <row r="18" spans="1:7" x14ac:dyDescent="0.2">
      <c r="A18" s="12" t="s">
        <v>102</v>
      </c>
      <c r="B18" s="68" t="s">
        <v>1130</v>
      </c>
      <c r="G18" s="262">
        <v>24</v>
      </c>
    </row>
    <row r="19" spans="1:7" x14ac:dyDescent="0.2">
      <c r="A19" s="12" t="s">
        <v>102</v>
      </c>
      <c r="B19" s="68" t="s">
        <v>1131</v>
      </c>
      <c r="G19" s="262">
        <v>26</v>
      </c>
    </row>
    <row r="20" spans="1:7" x14ac:dyDescent="0.2">
      <c r="A20" s="12" t="s">
        <v>102</v>
      </c>
      <c r="B20" t="s">
        <v>114</v>
      </c>
      <c r="G20" s="262" t="s">
        <v>2224</v>
      </c>
    </row>
    <row r="21" spans="1:7" x14ac:dyDescent="0.2">
      <c r="A21" s="12" t="s">
        <v>102</v>
      </c>
      <c r="B21" t="s">
        <v>115</v>
      </c>
      <c r="G21" s="262" t="s">
        <v>2225</v>
      </c>
    </row>
    <row r="22" spans="1:7" x14ac:dyDescent="0.2">
      <c r="A22" s="12" t="s">
        <v>102</v>
      </c>
      <c r="B22" t="s">
        <v>1132</v>
      </c>
      <c r="G22" s="262" t="s">
        <v>327</v>
      </c>
    </row>
    <row r="23" spans="1:7" x14ac:dyDescent="0.2">
      <c r="A23" s="12" t="s">
        <v>102</v>
      </c>
      <c r="B23" t="s">
        <v>1513</v>
      </c>
      <c r="G23" s="262">
        <v>48</v>
      </c>
    </row>
    <row r="24" spans="1:7" x14ac:dyDescent="0.2">
      <c r="A24" s="12"/>
      <c r="B24" t="s">
        <v>2221</v>
      </c>
      <c r="G24" s="262">
        <v>49</v>
      </c>
    </row>
    <row r="25" spans="1:7" x14ac:dyDescent="0.2">
      <c r="A25" s="12" t="s">
        <v>102</v>
      </c>
      <c r="B25" t="s">
        <v>1514</v>
      </c>
      <c r="G25" s="154">
        <v>50</v>
      </c>
    </row>
    <row r="26" spans="1:7" x14ac:dyDescent="0.2">
      <c r="A26" s="12" t="s">
        <v>102</v>
      </c>
      <c r="B26" t="s">
        <v>1515</v>
      </c>
      <c r="G26" s="154">
        <v>51</v>
      </c>
    </row>
    <row r="27" spans="1:7" x14ac:dyDescent="0.2">
      <c r="A27" s="12" t="s">
        <v>102</v>
      </c>
      <c r="B27" t="s">
        <v>116</v>
      </c>
      <c r="G27" s="262" t="s">
        <v>328</v>
      </c>
    </row>
    <row r="28" spans="1:7" x14ac:dyDescent="0.2">
      <c r="A28" s="12"/>
      <c r="B28" t="s">
        <v>2220</v>
      </c>
      <c r="G28" s="262">
        <v>54</v>
      </c>
    </row>
    <row r="29" spans="1:7" x14ac:dyDescent="0.2">
      <c r="A29" s="12" t="s">
        <v>102</v>
      </c>
      <c r="B29" t="s">
        <v>1519</v>
      </c>
      <c r="G29" s="262" t="s">
        <v>2226</v>
      </c>
    </row>
    <row r="30" spans="1:7" x14ac:dyDescent="0.2">
      <c r="A30" s="12" t="s">
        <v>102</v>
      </c>
      <c r="B30" t="s">
        <v>1520</v>
      </c>
      <c r="G30" s="154">
        <v>57</v>
      </c>
    </row>
    <row r="31" spans="1:7" x14ac:dyDescent="0.2">
      <c r="A31" s="12" t="s">
        <v>102</v>
      </c>
      <c r="B31" t="s">
        <v>117</v>
      </c>
      <c r="G31" s="262">
        <v>58</v>
      </c>
    </row>
    <row r="32" spans="1:7" x14ac:dyDescent="0.2">
      <c r="A32" s="12" t="s">
        <v>102</v>
      </c>
      <c r="B32" t="s">
        <v>1521</v>
      </c>
      <c r="G32" s="154">
        <v>59</v>
      </c>
    </row>
    <row r="33" spans="1:7" x14ac:dyDescent="0.2">
      <c r="A33" s="12" t="s">
        <v>102</v>
      </c>
      <c r="B33" t="s">
        <v>118</v>
      </c>
      <c r="G33" s="262" t="s">
        <v>329</v>
      </c>
    </row>
    <row r="34" spans="1:7" x14ac:dyDescent="0.2">
      <c r="A34" s="12" t="s">
        <v>102</v>
      </c>
      <c r="B34" t="s">
        <v>1522</v>
      </c>
      <c r="G34" s="262" t="s">
        <v>2227</v>
      </c>
    </row>
    <row r="35" spans="1:7" x14ac:dyDescent="0.2">
      <c r="A35" s="12" t="s">
        <v>102</v>
      </c>
      <c r="B35" s="68" t="s">
        <v>1523</v>
      </c>
      <c r="G35" s="262" t="s">
        <v>2228</v>
      </c>
    </row>
    <row r="36" spans="1:7" x14ac:dyDescent="0.2">
      <c r="A36" s="12" t="s">
        <v>102</v>
      </c>
      <c r="B36" s="68" t="s">
        <v>1524</v>
      </c>
      <c r="G36" s="262">
        <v>75</v>
      </c>
    </row>
    <row r="37" spans="1:7" x14ac:dyDescent="0.2">
      <c r="A37" s="12" t="s">
        <v>102</v>
      </c>
      <c r="B37" s="68" t="s">
        <v>1525</v>
      </c>
      <c r="G37" s="262">
        <v>77</v>
      </c>
    </row>
    <row r="38" spans="1:7" x14ac:dyDescent="0.2">
      <c r="A38" s="12" t="s">
        <v>102</v>
      </c>
      <c r="B38" t="s">
        <v>12</v>
      </c>
      <c r="G38" s="262" t="s">
        <v>2229</v>
      </c>
    </row>
    <row r="39" spans="1:7" x14ac:dyDescent="0.2">
      <c r="A39" s="12" t="s">
        <v>102</v>
      </c>
      <c r="B39" t="s">
        <v>1526</v>
      </c>
      <c r="G39" s="154">
        <v>84</v>
      </c>
    </row>
    <row r="40" spans="1:7" x14ac:dyDescent="0.2">
      <c r="A40" s="12" t="s">
        <v>102</v>
      </c>
      <c r="B40" t="s">
        <v>1527</v>
      </c>
      <c r="G40" s="154">
        <v>85</v>
      </c>
    </row>
    <row r="41" spans="1:7" x14ac:dyDescent="0.2">
      <c r="A41" s="12"/>
      <c r="B41" t="s">
        <v>2223</v>
      </c>
      <c r="G41" s="154">
        <v>86</v>
      </c>
    </row>
    <row r="42" spans="1:7" x14ac:dyDescent="0.2">
      <c r="A42" s="12" t="s">
        <v>102</v>
      </c>
      <c r="B42" t="s">
        <v>535</v>
      </c>
      <c r="G42" s="262" t="s">
        <v>2230</v>
      </c>
    </row>
    <row r="43" spans="1:7" x14ac:dyDescent="0.2">
      <c r="A43" s="12" t="s">
        <v>102</v>
      </c>
      <c r="B43" t="s">
        <v>9</v>
      </c>
      <c r="G43" s="262">
        <v>92</v>
      </c>
    </row>
    <row r="44" spans="1:7" x14ac:dyDescent="0.2">
      <c r="A44" s="12" t="s">
        <v>102</v>
      </c>
      <c r="B44" t="s">
        <v>10</v>
      </c>
      <c r="G44" s="262" t="s">
        <v>2231</v>
      </c>
    </row>
    <row r="45" spans="1:7" x14ac:dyDescent="0.2">
      <c r="A45" s="12" t="s">
        <v>102</v>
      </c>
      <c r="B45" t="s">
        <v>11</v>
      </c>
      <c r="G45" s="262" t="s">
        <v>2232</v>
      </c>
    </row>
    <row r="46" spans="1:7" x14ac:dyDescent="0.2">
      <c r="A46" s="12" t="s">
        <v>102</v>
      </c>
      <c r="B46" t="s">
        <v>1530</v>
      </c>
      <c r="G46" s="154" t="s">
        <v>2233</v>
      </c>
    </row>
    <row r="47" spans="1:7" x14ac:dyDescent="0.2">
      <c r="A47" s="12" t="s">
        <v>102</v>
      </c>
      <c r="B47" t="s">
        <v>2222</v>
      </c>
      <c r="G47" s="262">
        <v>111</v>
      </c>
    </row>
    <row r="48" spans="1:7" x14ac:dyDescent="0.2">
      <c r="A48" s="12" t="s">
        <v>102</v>
      </c>
      <c r="B48" s="68" t="s">
        <v>1531</v>
      </c>
      <c r="G48" s="262" t="s">
        <v>2234</v>
      </c>
    </row>
    <row r="49" spans="1:7" x14ac:dyDescent="0.2">
      <c r="A49" s="12" t="s">
        <v>102</v>
      </c>
      <c r="B49" s="68" t="s">
        <v>1532</v>
      </c>
      <c r="G49" s="262" t="s">
        <v>2235</v>
      </c>
    </row>
  </sheetData>
  <customSheetViews>
    <customSheetView guid="{3C76061C-A85D-4390-B9DB-73E13038638C}" showPageBreaks="1" showGridLines="0" view="pageLayout">
      <selection activeCell="C10" sqref="C10"/>
      <pageMargins left="0.28125" right="0.25" top="0.6692913385826772" bottom="0.70866141732283472" header="0.23622047244094491" footer="0.47244094488188981"/>
      <printOptions horizontalCentered="1"/>
      <pageSetup paperSize="9" orientation="portrait" r:id="rId1"/>
      <headerFooter scaleWithDoc="0" alignWithMargins="0">
        <oddHeader xml:space="preserve">&amp;C TARIFF 2019
 (EURO)
</oddHeader>
        <oddFooter>&amp;LAll rates are in EURO&amp;C
TARIFF 2019
&amp;RPage &amp;P</oddFooter>
      </headerFooter>
    </customSheetView>
    <customSheetView guid="{777CFE61-6F99-11D9-974B-0050BFD074B6}" showRuler="0">
      <selection activeCell="L11" sqref="L11"/>
      <pageMargins left="0.75" right="0.75" top="1" bottom="1" header="0.5" footer="0.5"/>
      <pageSetup paperSize="9" orientation="portrait" horizontalDpi="4294967293" r:id="rId2"/>
      <headerFooter alignWithMargins="0"/>
    </customSheetView>
    <customSheetView guid="{95D45CB7-1E39-11D6-AFD7-008048E20DDD}" showRuler="0" topLeftCell="A167">
      <selection activeCell="A167" sqref="A167"/>
      <pageMargins left="0.75" right="0.75" top="1" bottom="1" header="0.5" footer="0.5"/>
      <pageSetup paperSize="9" orientation="portrait" horizontalDpi="4294967293" r:id="rId3"/>
      <headerFooter alignWithMargins="0"/>
    </customSheetView>
  </customSheetViews>
  <mergeCells count="2">
    <mergeCell ref="A14:C14"/>
    <mergeCell ref="B2:E3"/>
  </mergeCells>
  <phoneticPr fontId="0" type="noConversion"/>
  <hyperlinks>
    <hyperlink ref="G9" location="INFO!A1" display="I" xr:uid="{00000000-0004-0000-0100-000000000000}"/>
    <hyperlink ref="G10" location="PAY!A1" display="II" xr:uid="{00000000-0004-0000-0100-000001000000}"/>
    <hyperlink ref="G11" location="GLOSSARY!A1" display="III" xr:uid="{00000000-0004-0000-0100-000002000000}"/>
    <hyperlink ref="G12" location="TRANSFERS!A1" display="IV – V – VI" xr:uid="{00000000-0004-0000-0100-000003000000}"/>
    <hyperlink ref="G15" location="ATHENS!A1" display="01 – 17" xr:uid="{00000000-0004-0000-0100-000004000000}"/>
    <hyperlink ref="G20" location="CORFU!A1" display="30 - 34" xr:uid="{00000000-0004-0000-0100-000005000000}"/>
    <hyperlink ref="G21" location="CRETE!A1" display="35 – 45" xr:uid="{00000000-0004-0000-0100-000006000000}"/>
    <hyperlink ref="G27" location="IOS!A1" display="53 - 54" xr:uid="{00000000-0004-0000-0100-000007000000}"/>
    <hyperlink ref="G31" location="KOS!A1" display="KOS!A1" xr:uid="{00000000-0004-0000-0100-000008000000}"/>
    <hyperlink ref="G33" location="MYCONOS!A1" display="61 - 70" xr:uid="{00000000-0004-0000-0100-000009000000}"/>
    <hyperlink ref="G38" location="PAROS!A1" display="80 - 81" xr:uid="{00000000-0004-0000-0100-00000A000000}"/>
    <hyperlink ref="G42" location="RHODES!A1" display="84 - 91" xr:uid="{00000000-0004-0000-0100-00000B000000}"/>
    <hyperlink ref="G43" location="SAMOS!A1" display="92 - 93" xr:uid="{00000000-0004-0000-0100-00000C000000}"/>
    <hyperlink ref="G44" location="SANTORINI!A1" display="94 - 105" xr:uid="{00000000-0004-0000-0100-00000D000000}"/>
    <hyperlink ref="G45" location="SKIATHOS!A1" display="106 -108" xr:uid="{00000000-0004-0000-0100-00000E000000}"/>
    <hyperlink ref="G17" location="ARACHOVA!A1" display="ARACHOVA!A1" xr:uid="{00000000-0004-0000-0100-00000F000000}"/>
    <hyperlink ref="G16" location="AEGINA!A1" display="AEGINA!A1" xr:uid="{00000000-0004-0000-0100-000010000000}"/>
    <hyperlink ref="G18" location="CEPHALONIA!A1" display="CEPHALONIA!A1" xr:uid="{00000000-0004-0000-0100-000011000000}"/>
    <hyperlink ref="G19" location="CHALKIDIKI!A1" display="27 - 28" xr:uid="{00000000-0004-0000-0100-000012000000}"/>
    <hyperlink ref="G22" location="DELPHI!A1" display="DELPHI!A1" xr:uid="{00000000-0004-0000-0100-000013000000}"/>
    <hyperlink ref="G23" location="EVIA!A1" display="EVIA!A1" xr:uid="{00000000-0004-0000-0100-000014000000}"/>
    <hyperlink ref="G25" location="HYDRA!A1" display="HYDRA!A1" xr:uid="{00000000-0004-0000-0100-000015000000}"/>
    <hyperlink ref="G26" location="IOANNINA!A1" display="IOANNINA!A1" xr:uid="{00000000-0004-0000-0100-000016000000}"/>
    <hyperlink ref="G29" location="KALAMBAKA!A1" display="55 - 56" xr:uid="{00000000-0004-0000-0100-000017000000}"/>
    <hyperlink ref="G30" location="KAVALA!A1" display="KAVALA!A1" xr:uid="{00000000-0004-0000-0100-000018000000}"/>
    <hyperlink ref="G32" location="LOUTRAKI!A1" display="LOUTRAKI!A1" xr:uid="{00000000-0004-0000-0100-000019000000}"/>
    <hyperlink ref="G34" location="NAFPLIO!A1" display="71 - 73" xr:uid="{00000000-0004-0000-0100-00001A000000}"/>
    <hyperlink ref="G35" location="NAXOS!A1" display="74 - 75" xr:uid="{00000000-0004-0000-0100-00001B000000}"/>
    <hyperlink ref="G36" location="OLYMPIA!A1" display="76 - 77" xr:uid="{00000000-0004-0000-0100-00001C000000}"/>
    <hyperlink ref="G37" location="PATRA!A1" display="76 - 77" xr:uid="{00000000-0004-0000-0100-00001D000000}"/>
    <hyperlink ref="G39" location="PATMOS!A1" display="PATMOS!A1" xr:uid="{00000000-0004-0000-0100-00001E000000}"/>
    <hyperlink ref="G40" location="POROS!A1" display="POROS!A1" xr:uid="{00000000-0004-0000-0100-00001F000000}"/>
    <hyperlink ref="G48" location="THESSALONIKI!A1" display="111 - 115" xr:uid="{00000000-0004-0000-0100-000020000000}"/>
    <hyperlink ref="G46" location="SKOPELOS!A1" display="106 -108" xr:uid="{00000000-0004-0000-0100-000021000000}"/>
    <hyperlink ref="G47" location="SPARTI!A1" display="SPARTI!A1" xr:uid="{00000000-0004-0000-0100-000022000000}"/>
    <hyperlink ref="G49" location="ZAKYNTHOS!A1" display="106 -108" xr:uid="{00000000-0004-0000-0100-000023000000}"/>
  </hyperlinks>
  <printOptions horizontalCentered="1"/>
  <pageMargins left="0.28125" right="0.25" top="0.6692913385826772" bottom="0.70866141732283472" header="0.23622047244094491" footer="0.47244094488188981"/>
  <pageSetup paperSize="9" orientation="portrait" r:id="rId4"/>
  <headerFooter scaleWithDoc="0" alignWithMargins="0">
    <oddHeader xml:space="preserve">&amp;C TARIFF 2021
 (EURO)
</oddHeader>
    <oddFooter>&amp;LAll rates are in EURO&amp;C
TARIFF 2021
&amp;RPage &amp;P</oddFooter>
  </headerFooter>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3:N32"/>
  <sheetViews>
    <sheetView view="pageLayout" topLeftCell="A46" zoomScaleNormal="100" workbookViewId="0">
      <selection activeCell="M53" sqref="M53"/>
    </sheetView>
  </sheetViews>
  <sheetFormatPr defaultRowHeight="12.75" x14ac:dyDescent="0.2"/>
  <cols>
    <col min="1" max="1" width="3.85546875" customWidth="1"/>
    <col min="2" max="2" width="7.140625" customWidth="1"/>
    <col min="3" max="3" width="4.42578125" customWidth="1"/>
    <col min="4" max="4" width="3.42578125" customWidth="1"/>
    <col min="5" max="5" width="2" customWidth="1"/>
    <col min="6" max="6" width="3.42578125" customWidth="1"/>
    <col min="7" max="7" width="4.5703125" customWidth="1"/>
    <col min="8" max="8" width="3" customWidth="1"/>
    <col min="9" max="9" width="2.140625" customWidth="1"/>
    <col min="10" max="10" width="10.5703125" customWidth="1"/>
    <col min="11" max="11" width="10.7109375" customWidth="1"/>
    <col min="12" max="12" width="10.140625" customWidth="1"/>
    <col min="13" max="13" width="10.28515625" customWidth="1"/>
    <col min="14" max="14" width="10.5703125" customWidth="1"/>
  </cols>
  <sheetData>
    <row r="3" spans="1:14" ht="13.5" thickBot="1" x14ac:dyDescent="0.25"/>
    <row r="4" spans="1:14" x14ac:dyDescent="0.2">
      <c r="A4" s="20"/>
      <c r="B4" s="21"/>
      <c r="C4" s="21"/>
      <c r="D4" s="21"/>
      <c r="E4" s="22"/>
      <c r="F4" s="22"/>
      <c r="G4" s="22"/>
      <c r="H4" s="22"/>
      <c r="I4" s="22"/>
      <c r="J4" s="22"/>
      <c r="K4" s="22"/>
      <c r="L4" s="22"/>
      <c r="M4" s="22"/>
      <c r="N4" s="23"/>
    </row>
    <row r="5" spans="1:14" ht="15" x14ac:dyDescent="0.2">
      <c r="A5" s="24"/>
      <c r="B5" s="440" t="s">
        <v>1688</v>
      </c>
      <c r="C5" s="441"/>
      <c r="D5" s="441"/>
      <c r="E5" s="441"/>
      <c r="F5" s="441"/>
      <c r="G5" s="441"/>
      <c r="H5" s="441"/>
      <c r="I5" s="441"/>
      <c r="J5" s="441"/>
      <c r="K5" s="441"/>
      <c r="L5" s="441"/>
      <c r="M5" s="442"/>
      <c r="N5" s="25" t="s">
        <v>96</v>
      </c>
    </row>
    <row r="6" spans="1:14" x14ac:dyDescent="0.2">
      <c r="A6" s="24"/>
      <c r="B6" s="26" t="s">
        <v>428</v>
      </c>
      <c r="C6" s="27" t="s">
        <v>1689</v>
      </c>
      <c r="D6" s="27"/>
      <c r="E6" s="28"/>
      <c r="F6" s="28"/>
      <c r="G6" s="28"/>
      <c r="H6" s="28"/>
      <c r="I6" s="28"/>
      <c r="J6" s="28"/>
      <c r="K6" s="28"/>
      <c r="L6" s="28"/>
      <c r="M6" s="28"/>
      <c r="N6" s="29"/>
    </row>
    <row r="7" spans="1:14" x14ac:dyDescent="0.2">
      <c r="A7" s="24"/>
      <c r="B7" s="26" t="s">
        <v>429</v>
      </c>
      <c r="C7" s="27" t="s">
        <v>1820</v>
      </c>
      <c r="D7" s="27"/>
      <c r="E7" s="28"/>
      <c r="F7" s="28"/>
      <c r="G7" s="28"/>
      <c r="H7" s="28"/>
      <c r="I7" s="28"/>
      <c r="J7" s="28"/>
      <c r="K7" s="28"/>
      <c r="L7" s="28"/>
      <c r="M7" s="28"/>
      <c r="N7" s="29"/>
    </row>
    <row r="8" spans="1:14" x14ac:dyDescent="0.2">
      <c r="A8" s="24"/>
      <c r="B8" s="26" t="s">
        <v>427</v>
      </c>
      <c r="C8" s="436" t="s">
        <v>1691</v>
      </c>
      <c r="D8" s="436"/>
      <c r="E8" s="436"/>
      <c r="F8" s="436"/>
      <c r="G8" s="436"/>
      <c r="H8" s="436"/>
      <c r="I8" s="436"/>
      <c r="J8" s="436"/>
      <c r="K8" s="436"/>
      <c r="L8" s="436"/>
      <c r="M8" s="436"/>
      <c r="N8" s="437"/>
    </row>
    <row r="9" spans="1:14" x14ac:dyDescent="0.2">
      <c r="A9" s="24"/>
      <c r="B9" s="27"/>
      <c r="C9" s="436"/>
      <c r="D9" s="436"/>
      <c r="E9" s="436"/>
      <c r="F9" s="436"/>
      <c r="G9" s="436"/>
      <c r="H9" s="436"/>
      <c r="I9" s="436"/>
      <c r="J9" s="436"/>
      <c r="K9" s="436"/>
      <c r="L9" s="436"/>
      <c r="M9" s="436"/>
      <c r="N9" s="437"/>
    </row>
    <row r="10" spans="1:14" x14ac:dyDescent="0.2">
      <c r="A10" s="24"/>
      <c r="B10" s="26" t="s">
        <v>426</v>
      </c>
      <c r="C10" s="27" t="s">
        <v>1690</v>
      </c>
      <c r="D10" s="27"/>
      <c r="E10" s="28"/>
      <c r="F10" s="28"/>
      <c r="G10" s="28"/>
      <c r="H10" s="28"/>
      <c r="I10" s="28"/>
      <c r="J10" s="28"/>
      <c r="K10" s="28"/>
      <c r="L10" s="28"/>
      <c r="M10" s="28"/>
      <c r="N10" s="29"/>
    </row>
    <row r="11" spans="1:14" ht="13.5" thickBot="1" x14ac:dyDescent="0.25">
      <c r="A11" s="30"/>
      <c r="B11" s="26" t="s">
        <v>430</v>
      </c>
      <c r="C11" s="31"/>
      <c r="D11" s="31"/>
      <c r="E11" s="32"/>
      <c r="F11" s="32"/>
      <c r="G11" s="32"/>
      <c r="H11" s="32"/>
      <c r="I11" s="32"/>
      <c r="J11" s="32"/>
      <c r="K11" s="32"/>
      <c r="L11" s="32"/>
      <c r="M11" s="32"/>
      <c r="N11" s="33"/>
    </row>
    <row r="12" spans="1:14" x14ac:dyDescent="0.2">
      <c r="A12" s="24"/>
      <c r="B12" s="21" t="s">
        <v>263</v>
      </c>
      <c r="C12" s="27"/>
      <c r="D12" s="27"/>
      <c r="E12" s="28"/>
      <c r="F12" s="28"/>
      <c r="G12" s="28"/>
      <c r="H12" s="28"/>
      <c r="I12" s="28"/>
      <c r="J12" s="67" t="s">
        <v>1814</v>
      </c>
      <c r="K12" s="63" t="s">
        <v>1815</v>
      </c>
      <c r="L12" s="63" t="s">
        <v>347</v>
      </c>
      <c r="M12" s="63" t="s">
        <v>1817</v>
      </c>
      <c r="N12" s="63"/>
    </row>
    <row r="13" spans="1:14" ht="13.5" thickBot="1" x14ac:dyDescent="0.25">
      <c r="A13" s="30"/>
      <c r="B13" s="31"/>
      <c r="C13" s="31"/>
      <c r="D13" s="31"/>
      <c r="E13" s="32"/>
      <c r="F13" s="32"/>
      <c r="G13" s="32"/>
      <c r="H13" s="32"/>
      <c r="I13" s="32"/>
      <c r="J13" s="49" t="s">
        <v>512</v>
      </c>
      <c r="K13" s="40" t="s">
        <v>168</v>
      </c>
      <c r="L13" s="40" t="s">
        <v>1816</v>
      </c>
      <c r="M13" s="40" t="s">
        <v>1818</v>
      </c>
      <c r="N13" s="40" t="s">
        <v>1819</v>
      </c>
    </row>
    <row r="14" spans="1:14" x14ac:dyDescent="0.2">
      <c r="A14" s="20"/>
      <c r="B14" s="434" t="s">
        <v>67</v>
      </c>
      <c r="C14" s="434"/>
      <c r="D14" s="434"/>
      <c r="E14" s="22"/>
      <c r="F14" s="22" t="s">
        <v>1180</v>
      </c>
      <c r="G14" s="22" t="s">
        <v>68</v>
      </c>
      <c r="H14" s="22" t="s">
        <v>702</v>
      </c>
      <c r="I14" s="28"/>
      <c r="J14" s="75">
        <f>40/ATHENS!O1*ATHENS!O2</f>
        <v>72.72727272727272</v>
      </c>
      <c r="K14" s="75">
        <f>55/ATHENS!O1*ATHENS!O2</f>
        <v>99.999999999999986</v>
      </c>
      <c r="L14" s="44">
        <f>70/ATHENS!O1*ATHENS!O2</f>
        <v>127.27272727272727</v>
      </c>
      <c r="M14" s="42">
        <f>90/ATHENS!O1*ATHENS!O2</f>
        <v>163.63636363636363</v>
      </c>
      <c r="N14" s="42">
        <f>110/ATHENS!O1*ATHENS!O2</f>
        <v>199.99999999999997</v>
      </c>
    </row>
    <row r="15" spans="1:14" x14ac:dyDescent="0.2">
      <c r="A15" s="24"/>
      <c r="B15" s="435" t="s">
        <v>67</v>
      </c>
      <c r="C15" s="435"/>
      <c r="D15" s="435"/>
      <c r="E15" s="28"/>
      <c r="F15" s="28" t="s">
        <v>1181</v>
      </c>
      <c r="G15" s="28" t="s">
        <v>68</v>
      </c>
      <c r="H15" s="28" t="s">
        <v>702</v>
      </c>
      <c r="I15" s="28"/>
      <c r="J15" s="75">
        <f>27/ATHENS!O1*ATHENS!O2</f>
        <v>49.090909090909086</v>
      </c>
      <c r="K15" s="75">
        <f>37.5/ATHENS!O1*ATHENS!O2</f>
        <v>68.181818181818173</v>
      </c>
      <c r="L15" s="44">
        <f>44/ATHENS!O1*ATHENS!O2</f>
        <v>80</v>
      </c>
      <c r="M15" s="44">
        <f>50/ATHENS!O1*ATHENS!O2</f>
        <v>90.909090909090907</v>
      </c>
      <c r="N15" s="44">
        <f>60/ATHENS!O1*ATHENS!O2</f>
        <v>109.09090909090908</v>
      </c>
    </row>
    <row r="16" spans="1:14" x14ac:dyDescent="0.2">
      <c r="A16" s="24"/>
      <c r="B16" s="68"/>
      <c r="C16" s="27"/>
      <c r="D16" s="27"/>
      <c r="E16" s="28"/>
      <c r="F16" s="28" t="s">
        <v>1182</v>
      </c>
      <c r="G16" s="28" t="s">
        <v>68</v>
      </c>
      <c r="H16" s="28" t="s">
        <v>702</v>
      </c>
      <c r="I16" s="28"/>
      <c r="J16" s="75">
        <f>23.5/ATHENS!O1*ATHENS!O2</f>
        <v>42.727272727272727</v>
      </c>
      <c r="K16" s="75">
        <f>30/ATHENS!O1*ATHENS!O2</f>
        <v>54.54545454545454</v>
      </c>
      <c r="L16" s="44">
        <f>35/ATHENS!O1*ATHENS!O2</f>
        <v>63.636363636363633</v>
      </c>
      <c r="M16" s="44">
        <f>40/ATHENS!O1*ATHENS!O2</f>
        <v>72.72727272727272</v>
      </c>
      <c r="N16" s="44">
        <f>47/ATHENS!O1*ATHENS!O2</f>
        <v>85.454545454545453</v>
      </c>
    </row>
    <row r="17" spans="1:14" ht="13.5" thickBot="1" x14ac:dyDescent="0.25">
      <c r="A17" s="30"/>
      <c r="B17" s="443"/>
      <c r="C17" s="443"/>
      <c r="D17" s="443"/>
      <c r="E17" s="32"/>
      <c r="F17" s="89"/>
      <c r="G17" s="89"/>
      <c r="H17" s="32"/>
      <c r="I17" s="32"/>
      <c r="J17" s="76"/>
      <c r="K17" s="76"/>
      <c r="L17" s="46"/>
      <c r="M17" s="46"/>
      <c r="N17" s="46"/>
    </row>
    <row r="19" spans="1:14" ht="13.5" thickBot="1" x14ac:dyDescent="0.25"/>
    <row r="20" spans="1:14" x14ac:dyDescent="0.2">
      <c r="A20" s="20"/>
      <c r="B20" s="21"/>
      <c r="C20" s="21"/>
      <c r="D20" s="21"/>
      <c r="E20" s="22"/>
      <c r="F20" s="22"/>
      <c r="G20" s="22"/>
      <c r="H20" s="22"/>
      <c r="I20" s="22"/>
      <c r="J20" s="22"/>
      <c r="K20" s="22"/>
      <c r="L20" s="22"/>
      <c r="M20" s="22"/>
      <c r="N20" s="23"/>
    </row>
    <row r="21" spans="1:14" ht="15" x14ac:dyDescent="0.2">
      <c r="A21" s="24"/>
      <c r="B21" s="440" t="s">
        <v>1745</v>
      </c>
      <c r="C21" s="441"/>
      <c r="D21" s="441"/>
      <c r="E21" s="441"/>
      <c r="F21" s="441"/>
      <c r="G21" s="441"/>
      <c r="H21" s="441"/>
      <c r="I21" s="441"/>
      <c r="J21" s="441"/>
      <c r="K21" s="441"/>
      <c r="L21" s="441"/>
      <c r="M21" s="442"/>
      <c r="N21" s="25" t="s">
        <v>91</v>
      </c>
    </row>
    <row r="22" spans="1:14" x14ac:dyDescent="0.2">
      <c r="A22" s="24"/>
      <c r="B22" s="26" t="s">
        <v>428</v>
      </c>
      <c r="C22" s="27" t="s">
        <v>1747</v>
      </c>
      <c r="D22" s="27"/>
      <c r="E22" s="28"/>
      <c r="F22" s="28"/>
      <c r="G22" s="28"/>
      <c r="H22" s="28"/>
      <c r="I22" s="28"/>
      <c r="J22" s="28"/>
      <c r="K22" s="28"/>
      <c r="L22" s="28"/>
      <c r="M22" s="28"/>
      <c r="N22" s="29"/>
    </row>
    <row r="23" spans="1:14" x14ac:dyDescent="0.2">
      <c r="A23" s="24"/>
      <c r="B23" s="26" t="s">
        <v>429</v>
      </c>
      <c r="C23" s="27" t="s">
        <v>1746</v>
      </c>
      <c r="D23" s="27"/>
      <c r="E23" s="28"/>
      <c r="F23" s="28"/>
      <c r="G23" s="28"/>
      <c r="H23" s="28"/>
      <c r="I23" s="28"/>
      <c r="J23" s="28"/>
      <c r="K23" s="28"/>
      <c r="L23" s="28"/>
      <c r="M23" s="28"/>
      <c r="N23" s="29"/>
    </row>
    <row r="24" spans="1:14" x14ac:dyDescent="0.2">
      <c r="A24" s="24"/>
      <c r="B24" s="26" t="s">
        <v>427</v>
      </c>
      <c r="C24" s="436" t="s">
        <v>1748</v>
      </c>
      <c r="D24" s="436"/>
      <c r="E24" s="436"/>
      <c r="F24" s="436"/>
      <c r="G24" s="436"/>
      <c r="H24" s="436"/>
      <c r="I24" s="436"/>
      <c r="J24" s="436"/>
      <c r="K24" s="436"/>
      <c r="L24" s="436"/>
      <c r="M24" s="436"/>
      <c r="N24" s="437"/>
    </row>
    <row r="25" spans="1:14" x14ac:dyDescent="0.2">
      <c r="A25" s="24"/>
      <c r="B25" s="27"/>
      <c r="C25" s="436"/>
      <c r="D25" s="436"/>
      <c r="E25" s="436"/>
      <c r="F25" s="436"/>
      <c r="G25" s="436"/>
      <c r="H25" s="436"/>
      <c r="I25" s="436"/>
      <c r="J25" s="436"/>
      <c r="K25" s="436"/>
      <c r="L25" s="436"/>
      <c r="M25" s="436"/>
      <c r="N25" s="437"/>
    </row>
    <row r="26" spans="1:14" x14ac:dyDescent="0.2">
      <c r="A26" s="24"/>
      <c r="B26" s="26" t="s">
        <v>426</v>
      </c>
      <c r="C26" s="27"/>
      <c r="D26" s="27"/>
      <c r="E26" s="28"/>
      <c r="F26" s="28"/>
      <c r="G26" s="28"/>
      <c r="H26" s="28"/>
      <c r="I26" s="28"/>
      <c r="J26" s="28"/>
      <c r="K26" s="28"/>
      <c r="L26" s="28"/>
      <c r="M26" s="28"/>
      <c r="N26" s="29"/>
    </row>
    <row r="27" spans="1:14" ht="13.5" thickBot="1" x14ac:dyDescent="0.25">
      <c r="A27" s="30"/>
      <c r="B27" s="26" t="s">
        <v>430</v>
      </c>
      <c r="C27" s="31"/>
      <c r="D27" s="31"/>
      <c r="E27" s="32"/>
      <c r="F27" s="32"/>
      <c r="G27" s="32"/>
      <c r="H27" s="32"/>
      <c r="I27" s="32"/>
      <c r="J27" s="32"/>
      <c r="K27" s="32"/>
      <c r="L27" s="32"/>
      <c r="M27" s="32"/>
      <c r="N27" s="33"/>
    </row>
    <row r="28" spans="1:14" x14ac:dyDescent="0.2">
      <c r="A28" s="24"/>
      <c r="B28" s="21" t="s">
        <v>263</v>
      </c>
      <c r="C28" s="27"/>
      <c r="D28" s="27"/>
      <c r="E28" s="28"/>
      <c r="F28" s="28"/>
      <c r="G28" s="28"/>
      <c r="H28" s="28"/>
      <c r="I28" s="28"/>
      <c r="J28" s="67" t="s">
        <v>244</v>
      </c>
      <c r="K28" s="63" t="s">
        <v>617</v>
      </c>
      <c r="L28" s="63" t="s">
        <v>1771</v>
      </c>
      <c r="M28" s="63"/>
      <c r="N28" s="63"/>
    </row>
    <row r="29" spans="1:14" ht="13.5" thickBot="1" x14ac:dyDescent="0.25">
      <c r="A29" s="30"/>
      <c r="B29" s="31"/>
      <c r="C29" s="31"/>
      <c r="D29" s="31"/>
      <c r="E29" s="32"/>
      <c r="F29" s="32"/>
      <c r="G29" s="32"/>
      <c r="H29" s="32"/>
      <c r="I29" s="32"/>
      <c r="J29" s="49" t="s">
        <v>1769</v>
      </c>
      <c r="K29" s="40" t="s">
        <v>1770</v>
      </c>
      <c r="L29" s="40" t="s">
        <v>1772</v>
      </c>
      <c r="M29" s="40" t="s">
        <v>1773</v>
      </c>
      <c r="N29" s="40"/>
    </row>
    <row r="30" spans="1:14" x14ac:dyDescent="0.2">
      <c r="A30" s="20"/>
      <c r="B30" s="434" t="s">
        <v>67</v>
      </c>
      <c r="C30" s="434"/>
      <c r="D30" s="434"/>
      <c r="E30" s="22"/>
      <c r="F30" s="22" t="s">
        <v>1180</v>
      </c>
      <c r="G30" s="22" t="s">
        <v>68</v>
      </c>
      <c r="H30" s="22" t="s">
        <v>702</v>
      </c>
      <c r="I30" s="28"/>
      <c r="J30" s="75">
        <f>89/ATHENS!O1*ATHENS!O2</f>
        <v>161.81818181818181</v>
      </c>
      <c r="K30" s="75">
        <f>108/ATHENS!O1*ATHENS!O2</f>
        <v>196.36363636363635</v>
      </c>
      <c r="L30" s="44">
        <f>135/ATHENS!O1*ATHENS!O2</f>
        <v>245.45454545454544</v>
      </c>
      <c r="M30" s="42">
        <f>154/ATHENS!O1*ATHENS!O2</f>
        <v>280</v>
      </c>
      <c r="N30" s="42"/>
    </row>
    <row r="31" spans="1:14" x14ac:dyDescent="0.2">
      <c r="A31" s="24"/>
      <c r="B31" s="435" t="s">
        <v>67</v>
      </c>
      <c r="C31" s="435"/>
      <c r="D31" s="435"/>
      <c r="E31" s="28"/>
      <c r="F31" s="28" t="s">
        <v>1181</v>
      </c>
      <c r="G31" s="28" t="s">
        <v>68</v>
      </c>
      <c r="H31" s="28" t="s">
        <v>702</v>
      </c>
      <c r="I31" s="28"/>
      <c r="J31" s="75">
        <f>44.5/ATHENS!O1*ATHENS!O2</f>
        <v>80.909090909090907</v>
      </c>
      <c r="K31" s="75">
        <f>54/ATHENS!O1*ATHENS!O2</f>
        <v>98.181818181818173</v>
      </c>
      <c r="L31" s="44">
        <f>67.5/ATHENS!O1*ATHENS!O2</f>
        <v>122.72727272727272</v>
      </c>
      <c r="M31" s="44">
        <f>77/ATHENS!O1*ATHENS!O2</f>
        <v>140</v>
      </c>
      <c r="N31" s="44"/>
    </row>
    <row r="32" spans="1:14" ht="13.5" thickBot="1" x14ac:dyDescent="0.25">
      <c r="A32" s="30"/>
      <c r="B32" s="443" t="s">
        <v>902</v>
      </c>
      <c r="C32" s="443"/>
      <c r="D32" s="443"/>
      <c r="E32" s="32"/>
      <c r="F32" s="89"/>
      <c r="G32" s="89"/>
      <c r="H32" s="32" t="s">
        <v>702</v>
      </c>
      <c r="I32" s="32"/>
      <c r="J32" s="76">
        <f>18/ATHENS!O1*ATHENS!O2</f>
        <v>32.727272727272727</v>
      </c>
      <c r="K32" s="76">
        <f>18/ATHENS!O1*ATHENS!O2</f>
        <v>32.727272727272727</v>
      </c>
      <c r="L32" s="46">
        <f>18/ATHENS!O1*ATHENS!O2</f>
        <v>32.727272727272727</v>
      </c>
      <c r="M32" s="46">
        <f>18/ATHENS!O1*ATHENS!O2</f>
        <v>32.727272727272727</v>
      </c>
      <c r="N32" s="46"/>
    </row>
  </sheetData>
  <customSheetViews>
    <customSheetView guid="{3C76061C-A85D-4390-B9DB-73E13038638C}" showPageBreaks="1" view="pageLayout" topLeftCell="A46">
      <selection activeCell="M51" sqref="M51"/>
      <pageMargins left="0.28125" right="0.25" top="0.6692913385826772" bottom="0.70866141732283472" header="0.23622047244094491" footer="0.47244094488188981"/>
      <pageSetup paperSize="9" orientation="portrait" horizontalDpi="4294967293" verticalDpi="4294967293" r:id="rId1"/>
      <headerFooter scaleWithDoc="0" alignWithMargins="0">
        <oddHeader>&amp;C TARIFF 2019
 (EURO)
Accommodation in &amp;A</oddHeader>
        <oddFooter>&amp;LAll rates are in EURO&amp;C
TARIFF 2019
&amp;RPage &amp;P</oddFooter>
      </headerFooter>
    </customSheetView>
  </customSheetViews>
  <mergeCells count="10">
    <mergeCell ref="C24:N25"/>
    <mergeCell ref="B30:D30"/>
    <mergeCell ref="B31:D31"/>
    <mergeCell ref="B32:D32"/>
    <mergeCell ref="B5:M5"/>
    <mergeCell ref="C8:N9"/>
    <mergeCell ref="B14:D14"/>
    <mergeCell ref="B15:D15"/>
    <mergeCell ref="B17:D17"/>
    <mergeCell ref="B21:M21"/>
  </mergeCells>
  <hyperlinks>
    <hyperlink ref="B5:M5" r:id="rId2" display="Akti Taygetos" xr:uid="{00000000-0004-0000-1300-000000000000}"/>
    <hyperlink ref="B21:M21" r:id="rId3" display="Filoxenia" xr:uid="{00000000-0004-0000-1300-000001000000}"/>
  </hyperlinks>
  <pageMargins left="0.28125" right="0.25" top="0.6692913385826772" bottom="0.70866141732283472" header="0.23622047244094491" footer="0.47244094488188981"/>
  <pageSetup paperSize="9" orientation="portrait" horizontalDpi="4294967293" verticalDpi="4294967293" r:id="rId4"/>
  <headerFooter scaleWithDoc="0" alignWithMargins="0">
    <oddHeader xml:space="preserve">&amp;C TARIFF 2021
 (EURO)
</oddHeader>
    <oddFooter>&amp;LAll rates are in EURO&amp;C
TARIFF 2021
&amp;RPage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N62"/>
  <sheetViews>
    <sheetView showGridLines="0" view="pageLayout" workbookViewId="0">
      <selection activeCell="C53" sqref="C53:N54"/>
    </sheetView>
  </sheetViews>
  <sheetFormatPr defaultRowHeight="12.75" x14ac:dyDescent="0.2"/>
  <cols>
    <col min="1" max="1" width="1.85546875" style="141" customWidth="1"/>
    <col min="2" max="3" width="10.7109375" style="141" customWidth="1"/>
    <col min="4" max="9" width="3.7109375" style="141" customWidth="1"/>
    <col min="10" max="14" width="10.7109375" style="141" customWidth="1"/>
    <col min="15" max="16384" width="9.140625" style="141"/>
  </cols>
  <sheetData>
    <row r="1" spans="1:14" ht="13.5" thickBot="1" x14ac:dyDescent="0.25"/>
    <row r="2" spans="1:14" x14ac:dyDescent="0.2">
      <c r="A2" s="112"/>
      <c r="B2" s="113"/>
      <c r="C2" s="113"/>
      <c r="D2" s="113"/>
      <c r="E2" s="114"/>
      <c r="F2" s="114"/>
      <c r="G2" s="114"/>
      <c r="H2" s="114"/>
      <c r="I2" s="114"/>
      <c r="J2" s="114"/>
      <c r="K2" s="114"/>
      <c r="L2" s="114"/>
      <c r="M2" s="114"/>
      <c r="N2" s="115"/>
    </row>
    <row r="3" spans="1:14" ht="15" x14ac:dyDescent="0.2">
      <c r="A3" s="116"/>
      <c r="B3" s="462" t="s">
        <v>1016</v>
      </c>
      <c r="C3" s="463"/>
      <c r="D3" s="463"/>
      <c r="E3" s="463"/>
      <c r="F3" s="463"/>
      <c r="G3" s="463"/>
      <c r="H3" s="463"/>
      <c r="I3" s="463"/>
      <c r="J3" s="463"/>
      <c r="K3" s="463"/>
      <c r="L3" s="463"/>
      <c r="M3" s="464"/>
      <c r="N3" s="117" t="s">
        <v>1104</v>
      </c>
    </row>
    <row r="4" spans="1:14" x14ac:dyDescent="0.2">
      <c r="A4" s="116"/>
      <c r="B4" s="118" t="s">
        <v>428</v>
      </c>
      <c r="C4" s="119" t="s">
        <v>945</v>
      </c>
      <c r="D4" s="119"/>
      <c r="E4" s="120"/>
      <c r="F4" s="120"/>
      <c r="G4" s="120"/>
      <c r="H4" s="120"/>
      <c r="I4" s="120"/>
      <c r="J4" s="120"/>
      <c r="K4" s="120"/>
      <c r="L4" s="120"/>
      <c r="M4" s="120"/>
      <c r="N4" s="101"/>
    </row>
    <row r="5" spans="1:14" x14ac:dyDescent="0.2">
      <c r="A5" s="116"/>
      <c r="B5" s="118" t="s">
        <v>429</v>
      </c>
      <c r="C5" s="119" t="s">
        <v>946</v>
      </c>
      <c r="D5" s="119"/>
      <c r="E5" s="120"/>
      <c r="F5" s="120"/>
      <c r="G5" s="120"/>
      <c r="H5" s="120"/>
      <c r="I5" s="120"/>
      <c r="J5" s="120"/>
      <c r="K5" s="120"/>
      <c r="L5" s="120"/>
      <c r="M5" s="120"/>
      <c r="N5" s="101"/>
    </row>
    <row r="6" spans="1:14" x14ac:dyDescent="0.2">
      <c r="A6" s="116"/>
      <c r="B6" s="118" t="s">
        <v>427</v>
      </c>
      <c r="C6" s="465" t="s">
        <v>1636</v>
      </c>
      <c r="D6" s="465"/>
      <c r="E6" s="465"/>
      <c r="F6" s="465"/>
      <c r="G6" s="465"/>
      <c r="H6" s="465"/>
      <c r="I6" s="465"/>
      <c r="J6" s="465"/>
      <c r="K6" s="465"/>
      <c r="L6" s="465"/>
      <c r="M6" s="465"/>
      <c r="N6" s="466"/>
    </row>
    <row r="7" spans="1:14" x14ac:dyDescent="0.2">
      <c r="A7" s="116"/>
      <c r="B7" s="109"/>
      <c r="C7" s="465"/>
      <c r="D7" s="465"/>
      <c r="E7" s="465"/>
      <c r="F7" s="465"/>
      <c r="G7" s="465"/>
      <c r="H7" s="465"/>
      <c r="I7" s="465"/>
      <c r="J7" s="465"/>
      <c r="K7" s="465"/>
      <c r="L7" s="465"/>
      <c r="M7" s="465"/>
      <c r="N7" s="466"/>
    </row>
    <row r="8" spans="1:14" x14ac:dyDescent="0.2">
      <c r="A8" s="116"/>
      <c r="B8" s="109"/>
      <c r="C8" s="468"/>
      <c r="D8" s="468"/>
      <c r="E8" s="468"/>
      <c r="F8" s="468"/>
      <c r="G8" s="468"/>
      <c r="H8" s="468"/>
      <c r="I8" s="468"/>
      <c r="J8" s="468"/>
      <c r="K8" s="468"/>
      <c r="L8" s="468"/>
      <c r="M8" s="468"/>
      <c r="N8" s="469"/>
    </row>
    <row r="9" spans="1:14" ht="13.5" thickBot="1" x14ac:dyDescent="0.25">
      <c r="A9" s="121"/>
      <c r="B9" s="118" t="s">
        <v>430</v>
      </c>
      <c r="C9" s="122"/>
      <c r="D9" s="122"/>
      <c r="E9" s="123"/>
      <c r="F9" s="123"/>
      <c r="G9" s="123"/>
      <c r="H9" s="123"/>
      <c r="I9" s="123"/>
      <c r="J9" s="123"/>
      <c r="K9" s="123"/>
      <c r="L9" s="123"/>
      <c r="M9" s="123"/>
      <c r="N9" s="104"/>
    </row>
    <row r="10" spans="1:14" x14ac:dyDescent="0.2">
      <c r="A10" s="112"/>
      <c r="B10" s="113" t="s">
        <v>263</v>
      </c>
      <c r="C10" s="113"/>
      <c r="D10" s="113"/>
      <c r="E10" s="114"/>
      <c r="F10" s="114"/>
      <c r="G10" s="114"/>
      <c r="H10" s="114"/>
      <c r="I10" s="114"/>
      <c r="J10" s="127"/>
      <c r="K10" s="126"/>
      <c r="L10" s="126"/>
      <c r="M10" s="126"/>
      <c r="N10" s="126"/>
    </row>
    <row r="11" spans="1:14" ht="13.5" thickBot="1" x14ac:dyDescent="0.25">
      <c r="A11" s="121"/>
      <c r="B11" s="119"/>
      <c r="C11" s="119"/>
      <c r="D11" s="119"/>
      <c r="E11" s="120"/>
      <c r="F11" s="120"/>
      <c r="G11" s="120"/>
      <c r="H11" s="120"/>
      <c r="I11" s="120"/>
      <c r="J11" s="124" t="s">
        <v>229</v>
      </c>
      <c r="K11" s="100"/>
      <c r="L11" s="100"/>
      <c r="M11" s="100"/>
      <c r="N11" s="100"/>
    </row>
    <row r="12" spans="1:14" x14ac:dyDescent="0.2">
      <c r="A12" s="112"/>
      <c r="B12" s="471" t="s">
        <v>67</v>
      </c>
      <c r="C12" s="472"/>
      <c r="D12" s="472"/>
      <c r="E12" s="354"/>
      <c r="F12" s="354" t="s">
        <v>1180</v>
      </c>
      <c r="G12" s="354" t="s">
        <v>68</v>
      </c>
      <c r="H12" s="354" t="s">
        <v>702</v>
      </c>
      <c r="I12" s="354"/>
      <c r="J12" s="355">
        <f>63/ATHENS!O1*ATHENS!O2</f>
        <v>114.54545454545453</v>
      </c>
      <c r="K12" s="355"/>
      <c r="L12" s="355"/>
      <c r="M12" s="355"/>
      <c r="N12" s="356"/>
    </row>
    <row r="13" spans="1:14" x14ac:dyDescent="0.2">
      <c r="A13" s="116"/>
      <c r="B13" s="473" t="s">
        <v>67</v>
      </c>
      <c r="C13" s="461"/>
      <c r="D13" s="461"/>
      <c r="E13" s="120"/>
      <c r="F13" s="120" t="s">
        <v>1181</v>
      </c>
      <c r="G13" s="120" t="s">
        <v>68</v>
      </c>
      <c r="H13" s="120" t="s">
        <v>702</v>
      </c>
      <c r="I13" s="120"/>
      <c r="J13" s="100">
        <f>35/ATHENS!O1*ATHENS!O2</f>
        <v>63.636363636363633</v>
      </c>
      <c r="K13" s="100"/>
      <c r="L13" s="100"/>
      <c r="M13" s="100"/>
      <c r="N13" s="357"/>
    </row>
    <row r="14" spans="1:14" ht="13.5" thickBot="1" x14ac:dyDescent="0.25">
      <c r="A14" s="116"/>
      <c r="B14" s="470" t="s">
        <v>67</v>
      </c>
      <c r="C14" s="460"/>
      <c r="D14" s="460"/>
      <c r="E14" s="123"/>
      <c r="F14" s="123" t="s">
        <v>1182</v>
      </c>
      <c r="G14" s="123" t="s">
        <v>68</v>
      </c>
      <c r="H14" s="123" t="s">
        <v>702</v>
      </c>
      <c r="I14" s="120"/>
      <c r="J14" s="100">
        <f>26.6/ATHENS!O1*ATHENS!O2</f>
        <v>48.36363636363636</v>
      </c>
      <c r="K14" s="100"/>
      <c r="L14" s="100"/>
      <c r="M14" s="100"/>
      <c r="N14" s="357"/>
    </row>
    <row r="15" spans="1:14" ht="13.5" thickBot="1" x14ac:dyDescent="0.25">
      <c r="A15" s="121"/>
      <c r="B15" s="358" t="s">
        <v>902</v>
      </c>
      <c r="C15" s="359"/>
      <c r="D15" s="359"/>
      <c r="E15" s="359"/>
      <c r="F15" s="359"/>
      <c r="G15" s="359"/>
      <c r="H15" s="359"/>
      <c r="I15" s="360"/>
      <c r="J15" s="361">
        <f>15/ATHENS!O1*ATHENS!O2</f>
        <v>27.27272727272727</v>
      </c>
      <c r="K15" s="361"/>
      <c r="L15" s="361"/>
      <c r="M15" s="361"/>
      <c r="N15" s="362"/>
    </row>
    <row r="16" spans="1:14" ht="13.5" thickBot="1" x14ac:dyDescent="0.25">
      <c r="A16" s="108"/>
      <c r="B16" s="109"/>
      <c r="C16" s="109"/>
      <c r="D16" s="109"/>
      <c r="E16" s="110"/>
      <c r="F16" s="110"/>
      <c r="G16" s="110"/>
      <c r="H16" s="110"/>
      <c r="I16" s="110"/>
      <c r="J16" s="110"/>
      <c r="K16" s="110"/>
      <c r="L16" s="110"/>
      <c r="M16" s="110"/>
      <c r="N16" s="110"/>
    </row>
    <row r="17" spans="1:14" x14ac:dyDescent="0.2">
      <c r="A17" s="112"/>
      <c r="B17" s="113"/>
      <c r="C17" s="113"/>
      <c r="D17" s="113"/>
      <c r="E17" s="114"/>
      <c r="F17" s="114"/>
      <c r="G17" s="114"/>
      <c r="H17" s="114"/>
      <c r="I17" s="114"/>
      <c r="J17" s="114"/>
      <c r="K17" s="114"/>
      <c r="L17" s="114"/>
      <c r="M17" s="114"/>
      <c r="N17" s="115"/>
    </row>
    <row r="18" spans="1:14" ht="15" x14ac:dyDescent="0.2">
      <c r="A18" s="116"/>
      <c r="B18" s="462" t="s">
        <v>903</v>
      </c>
      <c r="C18" s="463"/>
      <c r="D18" s="463"/>
      <c r="E18" s="463"/>
      <c r="F18" s="463"/>
      <c r="G18" s="463"/>
      <c r="H18" s="463"/>
      <c r="I18" s="463"/>
      <c r="J18" s="463"/>
      <c r="K18" s="463"/>
      <c r="L18" s="463"/>
      <c r="M18" s="464"/>
      <c r="N18" s="117" t="s">
        <v>1103</v>
      </c>
    </row>
    <row r="19" spans="1:14" x14ac:dyDescent="0.2">
      <c r="A19" s="116"/>
      <c r="B19" s="118" t="s">
        <v>428</v>
      </c>
      <c r="C19" s="119" t="s">
        <v>1017</v>
      </c>
      <c r="D19" s="119"/>
      <c r="E19" s="120"/>
      <c r="F19" s="120"/>
      <c r="G19" s="120"/>
      <c r="H19" s="120"/>
      <c r="I19" s="120"/>
      <c r="J19" s="120"/>
      <c r="K19" s="120"/>
      <c r="L19" s="120"/>
      <c r="M19" s="120"/>
      <c r="N19" s="101"/>
    </row>
    <row r="20" spans="1:14" x14ac:dyDescent="0.2">
      <c r="A20" s="116"/>
      <c r="B20" s="118" t="s">
        <v>429</v>
      </c>
      <c r="C20" s="119" t="s">
        <v>947</v>
      </c>
      <c r="D20" s="119"/>
      <c r="E20" s="120"/>
      <c r="F20" s="120"/>
      <c r="G20" s="120"/>
      <c r="H20" s="120"/>
      <c r="I20" s="120"/>
      <c r="J20" s="120"/>
      <c r="K20" s="120"/>
      <c r="L20" s="120"/>
      <c r="M20" s="120"/>
      <c r="N20" s="101"/>
    </row>
    <row r="21" spans="1:14" x14ac:dyDescent="0.2">
      <c r="A21" s="116"/>
      <c r="B21" s="118" t="s">
        <v>427</v>
      </c>
      <c r="C21" s="465" t="s">
        <v>1303</v>
      </c>
      <c r="D21" s="465"/>
      <c r="E21" s="465"/>
      <c r="F21" s="465"/>
      <c r="G21" s="465"/>
      <c r="H21" s="465"/>
      <c r="I21" s="465"/>
      <c r="J21" s="465"/>
      <c r="K21" s="465"/>
      <c r="L21" s="465"/>
      <c r="M21" s="465"/>
      <c r="N21" s="466"/>
    </row>
    <row r="22" spans="1:14" x14ac:dyDescent="0.2">
      <c r="A22" s="116"/>
      <c r="B22" s="109"/>
      <c r="C22" s="465"/>
      <c r="D22" s="465"/>
      <c r="E22" s="465"/>
      <c r="F22" s="465"/>
      <c r="G22" s="465"/>
      <c r="H22" s="465"/>
      <c r="I22" s="465"/>
      <c r="J22" s="465"/>
      <c r="K22" s="465"/>
      <c r="L22" s="465"/>
      <c r="M22" s="465"/>
      <c r="N22" s="466"/>
    </row>
    <row r="23" spans="1:14" x14ac:dyDescent="0.2">
      <c r="A23" s="116"/>
      <c r="B23" s="109"/>
      <c r="C23" s="468"/>
      <c r="D23" s="468"/>
      <c r="E23" s="468"/>
      <c r="F23" s="468"/>
      <c r="G23" s="468"/>
      <c r="H23" s="468"/>
      <c r="I23" s="468"/>
      <c r="J23" s="468"/>
      <c r="K23" s="468"/>
      <c r="L23" s="468"/>
      <c r="M23" s="468"/>
      <c r="N23" s="469"/>
    </row>
    <row r="24" spans="1:14" x14ac:dyDescent="0.2">
      <c r="A24" s="116"/>
      <c r="B24" s="118" t="s">
        <v>426</v>
      </c>
      <c r="C24" s="119"/>
      <c r="D24" s="119"/>
      <c r="E24" s="120"/>
      <c r="F24" s="120"/>
      <c r="G24" s="120"/>
      <c r="H24" s="119"/>
      <c r="I24" s="120"/>
      <c r="J24" s="119"/>
      <c r="K24" s="120"/>
      <c r="L24" s="120"/>
      <c r="M24" s="120"/>
      <c r="N24" s="101"/>
    </row>
    <row r="25" spans="1:14" ht="13.5" thickBot="1" x14ac:dyDescent="0.25">
      <c r="A25" s="121"/>
      <c r="B25" s="118" t="s">
        <v>430</v>
      </c>
      <c r="C25" s="122"/>
      <c r="D25" s="122"/>
      <c r="E25" s="123"/>
      <c r="F25" s="123"/>
      <c r="G25" s="123"/>
      <c r="H25" s="123"/>
      <c r="I25" s="123"/>
      <c r="J25" s="123"/>
      <c r="K25" s="123"/>
      <c r="L25" s="123"/>
      <c r="M25" s="123"/>
      <c r="N25" s="104"/>
    </row>
    <row r="26" spans="1:14" ht="13.5" thickBot="1" x14ac:dyDescent="0.25">
      <c r="A26" s="121"/>
      <c r="B26" s="135" t="s">
        <v>263</v>
      </c>
      <c r="C26" s="122"/>
      <c r="D26" s="122"/>
      <c r="E26" s="123"/>
      <c r="F26" s="123"/>
      <c r="G26" s="123"/>
      <c r="H26" s="123"/>
      <c r="I26" s="123"/>
      <c r="J26" s="125" t="s">
        <v>907</v>
      </c>
      <c r="K26" s="105" t="s">
        <v>611</v>
      </c>
      <c r="L26" s="105"/>
      <c r="M26" s="105"/>
      <c r="N26" s="105"/>
    </row>
    <row r="27" spans="1:14" x14ac:dyDescent="0.2">
      <c r="A27" s="112"/>
      <c r="B27" s="467" t="s">
        <v>67</v>
      </c>
      <c r="C27" s="467"/>
      <c r="D27" s="467"/>
      <c r="E27" s="114"/>
      <c r="F27" s="114" t="s">
        <v>1180</v>
      </c>
      <c r="G27" s="114" t="s">
        <v>68</v>
      </c>
      <c r="H27" s="114" t="s">
        <v>702</v>
      </c>
      <c r="I27" s="114"/>
      <c r="J27" s="126">
        <f>58/ATHENS!O1*ATHENS!O2</f>
        <v>105.45454545454544</v>
      </c>
      <c r="K27" s="126">
        <f>75/ATHENS!O1*ATHENS!O2</f>
        <v>136.36363636363635</v>
      </c>
      <c r="L27" s="126"/>
      <c r="M27" s="126"/>
      <c r="N27" s="126"/>
    </row>
    <row r="28" spans="1:14" x14ac:dyDescent="0.2">
      <c r="A28" s="116"/>
      <c r="B28" s="461" t="s">
        <v>67</v>
      </c>
      <c r="C28" s="461"/>
      <c r="D28" s="461"/>
      <c r="E28" s="120"/>
      <c r="F28" s="120" t="s">
        <v>1181</v>
      </c>
      <c r="G28" s="120" t="s">
        <v>68</v>
      </c>
      <c r="H28" s="120" t="s">
        <v>702</v>
      </c>
      <c r="I28" s="120"/>
      <c r="J28" s="100">
        <f>33.5/ATHENS!O1*ATHENS!O2</f>
        <v>60.909090909090907</v>
      </c>
      <c r="K28" s="100">
        <f>41.5/ATHENS!O1*ATHENS!O2</f>
        <v>75.454545454545453</v>
      </c>
      <c r="L28" s="100"/>
      <c r="M28" s="100"/>
      <c r="N28" s="100"/>
    </row>
    <row r="29" spans="1:14" x14ac:dyDescent="0.2">
      <c r="A29" s="116"/>
      <c r="B29" s="461" t="s">
        <v>67</v>
      </c>
      <c r="C29" s="461"/>
      <c r="D29" s="461"/>
      <c r="E29" s="120"/>
      <c r="F29" s="120" t="s">
        <v>1182</v>
      </c>
      <c r="G29" s="120" t="s">
        <v>68</v>
      </c>
      <c r="H29" s="120" t="s">
        <v>702</v>
      </c>
      <c r="I29" s="120"/>
      <c r="J29" s="100">
        <f>25/ATHENS!O1*ATHENS!O2</f>
        <v>45.454545454545453</v>
      </c>
      <c r="K29" s="100">
        <f>32.6/ATHENS!O1*ATHENS!O2</f>
        <v>59.272727272727273</v>
      </c>
      <c r="L29" s="100"/>
      <c r="M29" s="100"/>
      <c r="N29" s="100"/>
    </row>
    <row r="30" spans="1:14" ht="13.5" thickBot="1" x14ac:dyDescent="0.25">
      <c r="A30" s="121"/>
      <c r="B30" s="460"/>
      <c r="C30" s="460"/>
      <c r="D30" s="460"/>
      <c r="E30" s="123"/>
      <c r="F30" s="123"/>
      <c r="G30" s="123"/>
      <c r="H30" s="123"/>
      <c r="I30" s="123"/>
      <c r="J30" s="105"/>
      <c r="K30" s="105"/>
      <c r="L30" s="105"/>
      <c r="M30" s="105"/>
      <c r="N30" s="105"/>
    </row>
    <row r="31" spans="1:14" ht="13.5" thickBot="1" x14ac:dyDescent="0.25">
      <c r="A31" s="108"/>
      <c r="B31" s="109"/>
      <c r="C31" s="109"/>
      <c r="D31" s="109"/>
      <c r="E31" s="110"/>
      <c r="F31" s="110"/>
      <c r="G31" s="110"/>
      <c r="H31" s="110"/>
      <c r="I31" s="110"/>
      <c r="J31" s="110"/>
      <c r="K31" s="110"/>
      <c r="L31" s="110"/>
      <c r="M31" s="110"/>
      <c r="N31" s="110"/>
    </row>
    <row r="32" spans="1:14" x14ac:dyDescent="0.2">
      <c r="A32" s="112"/>
      <c r="B32" s="113"/>
      <c r="C32" s="113"/>
      <c r="D32" s="113"/>
      <c r="E32" s="114"/>
      <c r="F32" s="114"/>
      <c r="G32" s="114"/>
      <c r="H32" s="114"/>
      <c r="I32" s="114"/>
      <c r="J32" s="114"/>
      <c r="K32" s="114"/>
      <c r="L32" s="114"/>
      <c r="M32" s="114"/>
      <c r="N32" s="115"/>
    </row>
    <row r="33" spans="1:14" ht="15" x14ac:dyDescent="0.2">
      <c r="A33" s="116"/>
      <c r="B33" s="462" t="s">
        <v>502</v>
      </c>
      <c r="C33" s="463"/>
      <c r="D33" s="463"/>
      <c r="E33" s="463"/>
      <c r="F33" s="463"/>
      <c r="G33" s="463"/>
      <c r="H33" s="463"/>
      <c r="I33" s="463"/>
      <c r="J33" s="463"/>
      <c r="K33" s="463"/>
      <c r="L33" s="463"/>
      <c r="M33" s="464"/>
      <c r="N33" s="117" t="s">
        <v>1103</v>
      </c>
    </row>
    <row r="34" spans="1:14" x14ac:dyDescent="0.2">
      <c r="A34" s="116"/>
      <c r="B34" s="118" t="s">
        <v>428</v>
      </c>
      <c r="C34" s="119" t="s">
        <v>948</v>
      </c>
      <c r="D34" s="119"/>
      <c r="E34" s="120"/>
      <c r="F34" s="120"/>
      <c r="G34" s="120"/>
      <c r="H34" s="120"/>
      <c r="I34" s="120"/>
      <c r="J34" s="120"/>
      <c r="K34" s="120"/>
      <c r="L34" s="120"/>
      <c r="M34" s="120"/>
      <c r="N34" s="101"/>
    </row>
    <row r="35" spans="1:14" x14ac:dyDescent="0.2">
      <c r="A35" s="116"/>
      <c r="B35" s="118" t="s">
        <v>429</v>
      </c>
      <c r="C35" s="119" t="s">
        <v>949</v>
      </c>
      <c r="D35" s="119"/>
      <c r="E35" s="120"/>
      <c r="F35" s="120"/>
      <c r="G35" s="120"/>
      <c r="H35" s="120"/>
      <c r="I35" s="120"/>
      <c r="J35" s="120"/>
      <c r="K35" s="120"/>
      <c r="L35" s="120"/>
      <c r="M35" s="120"/>
      <c r="N35" s="101"/>
    </row>
    <row r="36" spans="1:14" x14ac:dyDescent="0.2">
      <c r="A36" s="116"/>
      <c r="B36" s="118" t="s">
        <v>427</v>
      </c>
      <c r="C36" s="465" t="s">
        <v>1304</v>
      </c>
      <c r="D36" s="465"/>
      <c r="E36" s="465"/>
      <c r="F36" s="465"/>
      <c r="G36" s="465"/>
      <c r="H36" s="465"/>
      <c r="I36" s="465"/>
      <c r="J36" s="465"/>
      <c r="K36" s="465"/>
      <c r="L36" s="465"/>
      <c r="M36" s="465"/>
      <c r="N36" s="466"/>
    </row>
    <row r="37" spans="1:14" x14ac:dyDescent="0.2">
      <c r="A37" s="116"/>
      <c r="B37" s="109"/>
      <c r="C37" s="465"/>
      <c r="D37" s="465"/>
      <c r="E37" s="465"/>
      <c r="F37" s="465"/>
      <c r="G37" s="465"/>
      <c r="H37" s="465"/>
      <c r="I37" s="465"/>
      <c r="J37" s="465"/>
      <c r="K37" s="465"/>
      <c r="L37" s="465"/>
      <c r="M37" s="465"/>
      <c r="N37" s="466"/>
    </row>
    <row r="38" spans="1:14" x14ac:dyDescent="0.2">
      <c r="A38" s="116"/>
      <c r="B38" s="109"/>
      <c r="C38" s="468"/>
      <c r="D38" s="468"/>
      <c r="E38" s="468"/>
      <c r="F38" s="468"/>
      <c r="G38" s="468"/>
      <c r="H38" s="468"/>
      <c r="I38" s="468"/>
      <c r="J38" s="468"/>
      <c r="K38" s="468"/>
      <c r="L38" s="468"/>
      <c r="M38" s="468"/>
      <c r="N38" s="469"/>
    </row>
    <row r="39" spans="1:14" ht="13.5" thickBot="1" x14ac:dyDescent="0.25">
      <c r="A39" s="121"/>
      <c r="B39" s="118" t="s">
        <v>430</v>
      </c>
      <c r="C39" s="122"/>
      <c r="D39" s="122"/>
      <c r="E39" s="123"/>
      <c r="F39" s="123"/>
      <c r="G39" s="123"/>
      <c r="H39" s="123"/>
      <c r="I39" s="123"/>
      <c r="J39" s="123"/>
      <c r="K39" s="123"/>
      <c r="L39" s="123"/>
      <c r="M39" s="123"/>
      <c r="N39" s="104"/>
    </row>
    <row r="40" spans="1:14" ht="13.5" thickBot="1" x14ac:dyDescent="0.25">
      <c r="A40" s="121"/>
      <c r="B40" s="118" t="s">
        <v>263</v>
      </c>
      <c r="C40" s="122"/>
      <c r="D40" s="122"/>
      <c r="E40" s="123"/>
      <c r="F40" s="123"/>
      <c r="G40" s="123"/>
      <c r="H40" s="123"/>
      <c r="I40" s="123"/>
      <c r="J40" s="123" t="s">
        <v>1827</v>
      </c>
      <c r="K40" s="123"/>
      <c r="L40" s="123"/>
      <c r="M40" s="123"/>
      <c r="N40" s="104"/>
    </row>
    <row r="41" spans="1:14" ht="13.5" thickBot="1" x14ac:dyDescent="0.25">
      <c r="A41" s="121"/>
      <c r="B41" s="135" t="s">
        <v>263</v>
      </c>
      <c r="C41" s="122"/>
      <c r="D41" s="122"/>
      <c r="E41" s="123"/>
      <c r="F41" s="123"/>
      <c r="G41" s="123"/>
      <c r="H41" s="123"/>
      <c r="I41" s="123"/>
      <c r="J41" s="125" t="s">
        <v>1828</v>
      </c>
      <c r="K41" s="105" t="s">
        <v>611</v>
      </c>
      <c r="L41" s="105"/>
      <c r="M41" s="105"/>
      <c r="N41" s="105"/>
    </row>
    <row r="42" spans="1:14" x14ac:dyDescent="0.2">
      <c r="A42" s="112"/>
      <c r="B42" s="467" t="s">
        <v>67</v>
      </c>
      <c r="C42" s="467"/>
      <c r="D42" s="467"/>
      <c r="E42" s="114"/>
      <c r="F42" s="114" t="s">
        <v>1180</v>
      </c>
      <c r="G42" s="114" t="s">
        <v>68</v>
      </c>
      <c r="H42" s="114" t="s">
        <v>702</v>
      </c>
      <c r="I42" s="114"/>
      <c r="J42" s="126">
        <f>86/ATHENS!O1*ATHENS!O2</f>
        <v>156.36363636363635</v>
      </c>
      <c r="K42" s="126">
        <f>105/ATHENS!O1*ATHENS!O2</f>
        <v>190.90909090909091</v>
      </c>
      <c r="L42" s="126"/>
      <c r="M42" s="126"/>
      <c r="N42" s="126"/>
    </row>
    <row r="43" spans="1:14" x14ac:dyDescent="0.2">
      <c r="A43" s="116"/>
      <c r="B43" s="461" t="s">
        <v>67</v>
      </c>
      <c r="C43" s="461"/>
      <c r="D43" s="461"/>
      <c r="E43" s="120"/>
      <c r="F43" s="120" t="s">
        <v>1181</v>
      </c>
      <c r="G43" s="120" t="s">
        <v>68</v>
      </c>
      <c r="H43" s="120" t="s">
        <v>702</v>
      </c>
      <c r="I43" s="120"/>
      <c r="J43" s="100">
        <f>48/ATHENS!O1*ATHENS!O2</f>
        <v>87.272727272727266</v>
      </c>
      <c r="K43" s="100">
        <f>57.5/ATHENS!O1*ATHENS!O2</f>
        <v>104.54545454545453</v>
      </c>
      <c r="L43" s="100"/>
      <c r="M43" s="100"/>
      <c r="N43" s="100"/>
    </row>
    <row r="44" spans="1:14" ht="13.5" thickBot="1" x14ac:dyDescent="0.25">
      <c r="A44" s="116"/>
      <c r="B44" s="460" t="s">
        <v>67</v>
      </c>
      <c r="C44" s="460"/>
      <c r="D44" s="460"/>
      <c r="E44" s="123"/>
      <c r="F44" s="123" t="s">
        <v>1182</v>
      </c>
      <c r="G44" s="123" t="s">
        <v>68</v>
      </c>
      <c r="H44" s="123" t="s">
        <v>702</v>
      </c>
      <c r="I44" s="120"/>
      <c r="J44" s="100">
        <f>39/ATHENS!O1*ATHENS!O2</f>
        <v>70.909090909090907</v>
      </c>
      <c r="K44" s="100">
        <f>44/ATHENS!O1*ATHENS!O2</f>
        <v>80</v>
      </c>
      <c r="L44" s="100"/>
      <c r="M44" s="100"/>
      <c r="N44" s="100"/>
    </row>
    <row r="45" spans="1:14" ht="13.5" thickBot="1" x14ac:dyDescent="0.25">
      <c r="A45" s="116"/>
      <c r="B45" s="141" t="s">
        <v>902</v>
      </c>
      <c r="H45" s="141" t="s">
        <v>702</v>
      </c>
      <c r="I45" s="123"/>
      <c r="J45" s="105">
        <f>23/ATHENS!O1*ATHENS!O2</f>
        <v>41.818181818181813</v>
      </c>
      <c r="K45" s="105">
        <f>23/ATHENS!O1*ATHENS!O2</f>
        <v>41.818181818181813</v>
      </c>
      <c r="L45" s="100"/>
      <c r="M45" s="100"/>
      <c r="N45" s="100"/>
    </row>
    <row r="46" spans="1:14" x14ac:dyDescent="0.2">
      <c r="A46" s="239"/>
      <c r="B46" s="119"/>
      <c r="C46" s="119"/>
      <c r="D46" s="119"/>
      <c r="E46" s="120"/>
      <c r="F46" s="120"/>
      <c r="G46" s="120"/>
      <c r="H46" s="120"/>
      <c r="I46" s="120"/>
      <c r="J46" s="120"/>
      <c r="K46" s="120"/>
      <c r="L46" s="120"/>
      <c r="M46" s="120"/>
      <c r="N46" s="120"/>
    </row>
    <row r="47" spans="1:14" x14ac:dyDescent="0.2">
      <c r="A47" s="108"/>
      <c r="B47" s="109"/>
      <c r="C47" s="109"/>
      <c r="D47" s="109"/>
      <c r="E47" s="110"/>
      <c r="F47" s="110"/>
      <c r="G47" s="110"/>
      <c r="H47" s="110"/>
      <c r="I47" s="110"/>
      <c r="J47" s="110"/>
      <c r="K47" s="110"/>
      <c r="L47" s="110"/>
      <c r="M47" s="110"/>
      <c r="N47" s="110"/>
    </row>
    <row r="48" spans="1:14" ht="13.5" thickBot="1" x14ac:dyDescent="0.25">
      <c r="A48" s="108"/>
      <c r="B48" s="109"/>
      <c r="C48" s="109"/>
      <c r="D48" s="109"/>
      <c r="E48" s="110"/>
      <c r="F48" s="110"/>
      <c r="G48" s="110"/>
      <c r="H48" s="110"/>
      <c r="I48" s="110"/>
      <c r="J48" s="110"/>
      <c r="K48" s="110"/>
      <c r="L48" s="110"/>
      <c r="M48" s="110"/>
      <c r="N48" s="110"/>
    </row>
    <row r="49" spans="1:14" x14ac:dyDescent="0.2">
      <c r="A49" s="112"/>
      <c r="B49" s="113"/>
      <c r="C49" s="113"/>
      <c r="D49" s="113"/>
      <c r="E49" s="114"/>
      <c r="F49" s="114"/>
      <c r="G49" s="114"/>
      <c r="H49" s="114"/>
      <c r="I49" s="114"/>
      <c r="J49" s="114"/>
      <c r="K49" s="114"/>
      <c r="L49" s="114"/>
      <c r="M49" s="114"/>
      <c r="N49" s="115"/>
    </row>
    <row r="50" spans="1:14" ht="15" x14ac:dyDescent="0.2">
      <c r="A50" s="116"/>
      <c r="B50" s="462" t="s">
        <v>248</v>
      </c>
      <c r="C50" s="463"/>
      <c r="D50" s="463"/>
      <c r="E50" s="463"/>
      <c r="F50" s="463"/>
      <c r="G50" s="463"/>
      <c r="H50" s="463"/>
      <c r="I50" s="463"/>
      <c r="J50" s="463"/>
      <c r="K50" s="463"/>
      <c r="L50" s="463"/>
      <c r="M50" s="464"/>
      <c r="N50" s="117" t="s">
        <v>1102</v>
      </c>
    </row>
    <row r="51" spans="1:14" x14ac:dyDescent="0.2">
      <c r="A51" s="116"/>
      <c r="B51" s="118" t="s">
        <v>428</v>
      </c>
      <c r="C51" s="119" t="s">
        <v>13</v>
      </c>
      <c r="D51" s="119"/>
      <c r="E51" s="120"/>
      <c r="F51" s="120"/>
      <c r="G51" s="120"/>
      <c r="H51" s="120"/>
      <c r="I51" s="120"/>
      <c r="J51" s="120"/>
      <c r="K51" s="120"/>
      <c r="L51" s="120"/>
      <c r="M51" s="120"/>
      <c r="N51" s="101"/>
    </row>
    <row r="52" spans="1:14" x14ac:dyDescent="0.2">
      <c r="A52" s="116"/>
      <c r="B52" s="118" t="s">
        <v>429</v>
      </c>
      <c r="C52" s="119" t="s">
        <v>14</v>
      </c>
      <c r="D52" s="119"/>
      <c r="E52" s="120"/>
      <c r="F52" s="120"/>
      <c r="G52" s="120"/>
      <c r="H52" s="120"/>
      <c r="I52" s="120"/>
      <c r="J52" s="120"/>
      <c r="K52" s="120"/>
      <c r="L52" s="120"/>
      <c r="M52" s="120"/>
      <c r="N52" s="101"/>
    </row>
    <row r="53" spans="1:14" x14ac:dyDescent="0.2">
      <c r="A53" s="116"/>
      <c r="B53" s="118" t="s">
        <v>427</v>
      </c>
      <c r="C53" s="465" t="s">
        <v>644</v>
      </c>
      <c r="D53" s="465"/>
      <c r="E53" s="465"/>
      <c r="F53" s="465"/>
      <c r="G53" s="465"/>
      <c r="H53" s="465"/>
      <c r="I53" s="465"/>
      <c r="J53" s="465"/>
      <c r="K53" s="465"/>
      <c r="L53" s="465"/>
      <c r="M53" s="465"/>
      <c r="N53" s="466"/>
    </row>
    <row r="54" spans="1:14" x14ac:dyDescent="0.2">
      <c r="A54" s="116"/>
      <c r="B54" s="109"/>
      <c r="C54" s="465"/>
      <c r="D54" s="465"/>
      <c r="E54" s="465"/>
      <c r="F54" s="465"/>
      <c r="G54" s="465"/>
      <c r="H54" s="465"/>
      <c r="I54" s="465"/>
      <c r="J54" s="465"/>
      <c r="K54" s="465"/>
      <c r="L54" s="465"/>
      <c r="M54" s="465"/>
      <c r="N54" s="466"/>
    </row>
    <row r="55" spans="1:14" x14ac:dyDescent="0.2">
      <c r="A55" s="116"/>
      <c r="B55" s="118" t="s">
        <v>426</v>
      </c>
      <c r="C55" s="119"/>
      <c r="D55" s="119"/>
      <c r="E55" s="120"/>
      <c r="F55" s="120"/>
      <c r="G55" s="120"/>
      <c r="H55" s="119"/>
      <c r="I55" s="120"/>
      <c r="J55" s="119"/>
      <c r="K55" s="120"/>
      <c r="L55" s="120"/>
      <c r="M55" s="120"/>
      <c r="N55" s="101"/>
    </row>
    <row r="56" spans="1:14" ht="13.5" thickBot="1" x14ac:dyDescent="0.25">
      <c r="A56" s="121"/>
      <c r="B56" s="118" t="s">
        <v>430</v>
      </c>
      <c r="C56" s="122"/>
      <c r="D56" s="122"/>
      <c r="E56" s="123"/>
      <c r="F56" s="123"/>
      <c r="G56" s="123"/>
      <c r="H56" s="123"/>
      <c r="I56" s="123"/>
      <c r="J56" s="123"/>
      <c r="K56" s="123"/>
      <c r="L56" s="123"/>
      <c r="M56" s="123"/>
      <c r="N56" s="104"/>
    </row>
    <row r="57" spans="1:14" ht="13.5" thickBot="1" x14ac:dyDescent="0.25">
      <c r="A57" s="121"/>
      <c r="B57" s="135" t="s">
        <v>263</v>
      </c>
      <c r="C57" s="122"/>
      <c r="D57" s="122"/>
      <c r="E57" s="123"/>
      <c r="F57" s="123"/>
      <c r="G57" s="123"/>
      <c r="H57" s="123"/>
      <c r="I57" s="123"/>
      <c r="J57" s="125" t="s">
        <v>907</v>
      </c>
      <c r="K57" s="105" t="s">
        <v>611</v>
      </c>
      <c r="L57" s="105"/>
      <c r="M57" s="105"/>
      <c r="N57" s="105"/>
    </row>
    <row r="58" spans="1:14" x14ac:dyDescent="0.2">
      <c r="A58" s="112"/>
      <c r="B58" s="467" t="s">
        <v>67</v>
      </c>
      <c r="C58" s="467"/>
      <c r="D58" s="467"/>
      <c r="E58" s="114"/>
      <c r="F58" s="114" t="s">
        <v>1180</v>
      </c>
      <c r="G58" s="114" t="s">
        <v>68</v>
      </c>
      <c r="H58" s="114" t="s">
        <v>702</v>
      </c>
      <c r="I58" s="114"/>
      <c r="J58" s="126">
        <f>45/ATHENS!O1*ATHENS!O2</f>
        <v>81.818181818181813</v>
      </c>
      <c r="K58" s="126">
        <f>46/ATHENS!O1*ATHENS!O2</f>
        <v>83.636363636363626</v>
      </c>
      <c r="L58" s="126"/>
      <c r="M58" s="126"/>
      <c r="N58" s="126"/>
    </row>
    <row r="59" spans="1:14" x14ac:dyDescent="0.2">
      <c r="A59" s="116"/>
      <c r="B59" s="461" t="s">
        <v>67</v>
      </c>
      <c r="C59" s="461"/>
      <c r="D59" s="461"/>
      <c r="E59" s="120"/>
      <c r="F59" s="120" t="s">
        <v>1181</v>
      </c>
      <c r="G59" s="120" t="s">
        <v>68</v>
      </c>
      <c r="H59" s="120" t="s">
        <v>702</v>
      </c>
      <c r="I59" s="120"/>
      <c r="J59" s="100">
        <f>28.5/ATHENS!O1*ATHENS!O2</f>
        <v>51.818181818181813</v>
      </c>
      <c r="K59" s="100">
        <f>30/ATHENS!O1*ATHENS!O2</f>
        <v>54.54545454545454</v>
      </c>
      <c r="L59" s="100"/>
      <c r="M59" s="100"/>
      <c r="N59" s="100"/>
    </row>
    <row r="60" spans="1:14" x14ac:dyDescent="0.2">
      <c r="A60" s="116"/>
      <c r="B60" s="461" t="s">
        <v>67</v>
      </c>
      <c r="C60" s="461"/>
      <c r="D60" s="461"/>
      <c r="E60" s="120"/>
      <c r="F60" s="120" t="s">
        <v>1182</v>
      </c>
      <c r="G60" s="120" t="s">
        <v>68</v>
      </c>
      <c r="H60" s="120" t="s">
        <v>702</v>
      </c>
      <c r="I60" s="120"/>
      <c r="J60" s="100">
        <f>27/ATHENS!O1*ATHENS!O2</f>
        <v>49.090909090909086</v>
      </c>
      <c r="K60" s="100">
        <f>27/ATHENS!O1*ATHENS!O2</f>
        <v>49.090909090909086</v>
      </c>
      <c r="L60" s="100"/>
      <c r="M60" s="100"/>
      <c r="N60" s="100"/>
    </row>
    <row r="61" spans="1:14" ht="13.5" thickBot="1" x14ac:dyDescent="0.25">
      <c r="A61" s="121"/>
      <c r="B61" s="460"/>
      <c r="C61" s="460"/>
      <c r="D61" s="460"/>
      <c r="E61" s="123"/>
      <c r="F61" s="123"/>
      <c r="G61" s="123"/>
      <c r="H61" s="123"/>
      <c r="I61" s="123"/>
      <c r="J61" s="105"/>
      <c r="K61" s="105"/>
      <c r="L61" s="105"/>
      <c r="M61" s="105"/>
      <c r="N61" s="105"/>
    </row>
    <row r="62" spans="1:14" x14ac:dyDescent="0.2">
      <c r="A62" s="108"/>
      <c r="B62" s="109"/>
      <c r="C62" s="109"/>
      <c r="D62" s="109"/>
      <c r="E62" s="110"/>
      <c r="F62" s="110"/>
      <c r="G62" s="110"/>
      <c r="H62" s="110"/>
      <c r="I62" s="110"/>
      <c r="J62" s="110"/>
      <c r="K62" s="110"/>
      <c r="L62" s="110"/>
      <c r="M62" s="110"/>
      <c r="N62" s="110"/>
    </row>
  </sheetData>
  <customSheetViews>
    <customSheetView guid="{3C76061C-A85D-4390-B9DB-73E13038638C}" showPageBreaks="1" showGridLines="0" view="pageLayout">
      <selection activeCell="M51" sqref="M51"/>
      <rowBreaks count="1" manualBreakCount="1">
        <brk id="46" max="16383" man="1"/>
      </rowBreaks>
      <pageMargins left="0.28125" right="0.25" top="0.6692913385826772" bottom="0.70866141732283472" header="0.23622047244094491" footer="0.47244094488188981"/>
      <printOptions horizontalCentered="1"/>
      <pageSetup paperSize="9" firstPageNumber="54"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22">
    <mergeCell ref="B14:D14"/>
    <mergeCell ref="B18:M18"/>
    <mergeCell ref="B3:M3"/>
    <mergeCell ref="B12:D12"/>
    <mergeCell ref="B13:D13"/>
    <mergeCell ref="C6:N8"/>
    <mergeCell ref="C21:N23"/>
    <mergeCell ref="B33:M33"/>
    <mergeCell ref="B42:D42"/>
    <mergeCell ref="B43:D43"/>
    <mergeCell ref="B27:D27"/>
    <mergeCell ref="B28:D28"/>
    <mergeCell ref="B29:D29"/>
    <mergeCell ref="B30:D30"/>
    <mergeCell ref="C36:N38"/>
    <mergeCell ref="B44:D44"/>
    <mergeCell ref="B60:D60"/>
    <mergeCell ref="B61:D61"/>
    <mergeCell ref="B50:M50"/>
    <mergeCell ref="C53:N54"/>
    <mergeCell ref="B58:D58"/>
    <mergeCell ref="B59:D59"/>
  </mergeCells>
  <phoneticPr fontId="17" type="noConversion"/>
  <hyperlinks>
    <hyperlink ref="B3:M3" r:id="rId2" display="Meteora" xr:uid="{00000000-0004-0000-1400-000000000000}"/>
    <hyperlink ref="B18:M18" r:id="rId3" display="Amalia" xr:uid="{00000000-0004-0000-1400-000001000000}"/>
    <hyperlink ref="B33:M33" r:id="rId4" display="Divani" xr:uid="{00000000-0004-0000-1400-000002000000}"/>
    <hyperlink ref="B50:M50" r:id="rId5" display="Orfeas" xr:uid="{00000000-0004-0000-1400-000003000000}"/>
  </hyperlinks>
  <printOptions horizontalCentered="1"/>
  <pageMargins left="0.28125" right="0.25" top="0.6692913385826772" bottom="0.70866141732283472" header="0.23622047244094491" footer="0.47244094488188981"/>
  <pageSetup paperSize="9" firstPageNumber="54" orientation="portrait" useFirstPageNumber="1" horizontalDpi="300" verticalDpi="300" r:id="rId6"/>
  <headerFooter scaleWithDoc="0" alignWithMargins="0">
    <oddHeader xml:space="preserve">&amp;C TARIFF 2021
 (EURO)
</oddHeader>
    <oddFooter>&amp;LAll rates are in EURO&amp;C
TARIFF 2021
&amp;RPage &amp;P</oddFooter>
  </headerFooter>
  <rowBreaks count="1" manualBreakCount="1">
    <brk id="4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N17"/>
  <sheetViews>
    <sheetView showGridLines="0" view="pageLayout" workbookViewId="0">
      <selection activeCell="M53" sqref="M53"/>
    </sheetView>
  </sheetViews>
  <sheetFormatPr defaultRowHeight="12.75" x14ac:dyDescent="0.2"/>
  <cols>
    <col min="1" max="1" width="1.85546875" style="141" customWidth="1"/>
    <col min="2" max="3" width="10.7109375" style="141" customWidth="1"/>
    <col min="4" max="9" width="3.7109375" style="141" customWidth="1"/>
    <col min="10" max="14" width="10.7109375" style="141" customWidth="1"/>
    <col min="15" max="16384" width="9.140625" style="141"/>
  </cols>
  <sheetData>
    <row r="1" spans="1:14" ht="13.5" thickBot="1" x14ac:dyDescent="0.25">
      <c r="A1" s="108"/>
      <c r="B1" s="109"/>
      <c r="C1" s="109"/>
      <c r="D1" s="109"/>
      <c r="E1" s="110"/>
      <c r="F1" s="110"/>
      <c r="G1" s="110"/>
      <c r="H1" s="110"/>
      <c r="I1" s="110"/>
      <c r="J1" s="110"/>
      <c r="K1" s="110"/>
      <c r="L1" s="110"/>
      <c r="M1" s="110"/>
      <c r="N1" s="110"/>
    </row>
    <row r="2" spans="1:14" x14ac:dyDescent="0.2">
      <c r="A2" s="112"/>
      <c r="B2" s="113"/>
      <c r="C2" s="113"/>
      <c r="D2" s="113"/>
      <c r="E2" s="114"/>
      <c r="F2" s="114"/>
      <c r="G2" s="114"/>
      <c r="H2" s="114"/>
      <c r="I2" s="114"/>
      <c r="J2" s="114"/>
      <c r="K2" s="114"/>
      <c r="L2" s="114"/>
      <c r="M2" s="114"/>
      <c r="N2" s="115"/>
    </row>
    <row r="3" spans="1:14" ht="15" x14ac:dyDescent="0.2">
      <c r="A3" s="116"/>
      <c r="B3" s="462" t="s">
        <v>815</v>
      </c>
      <c r="C3" s="463"/>
      <c r="D3" s="463"/>
      <c r="E3" s="463"/>
      <c r="F3" s="463"/>
      <c r="G3" s="463"/>
      <c r="H3" s="463"/>
      <c r="I3" s="463"/>
      <c r="J3" s="463"/>
      <c r="K3" s="463"/>
      <c r="L3" s="463"/>
      <c r="M3" s="464"/>
      <c r="N3" s="117" t="s">
        <v>1103</v>
      </c>
    </row>
    <row r="4" spans="1:14" x14ac:dyDescent="0.2">
      <c r="A4" s="116"/>
      <c r="B4" s="118" t="s">
        <v>428</v>
      </c>
      <c r="C4" s="119" t="s">
        <v>816</v>
      </c>
      <c r="D4" s="119"/>
      <c r="E4" s="120"/>
      <c r="F4" s="120"/>
      <c r="G4" s="120"/>
      <c r="H4" s="120"/>
      <c r="I4" s="120"/>
      <c r="J4" s="120"/>
      <c r="K4" s="120"/>
      <c r="L4" s="120"/>
      <c r="M4" s="120"/>
      <c r="N4" s="101"/>
    </row>
    <row r="5" spans="1:14" x14ac:dyDescent="0.2">
      <c r="A5" s="116"/>
      <c r="B5" s="118" t="s">
        <v>429</v>
      </c>
      <c r="C5" s="119" t="s">
        <v>15</v>
      </c>
      <c r="D5" s="119"/>
      <c r="E5" s="120"/>
      <c r="F5" s="120"/>
      <c r="G5" s="120"/>
      <c r="H5" s="120"/>
      <c r="I5" s="120"/>
      <c r="J5" s="120"/>
      <c r="K5" s="120"/>
      <c r="L5" s="120"/>
      <c r="M5" s="120"/>
      <c r="N5" s="101"/>
    </row>
    <row r="6" spans="1:14" x14ac:dyDescent="0.2">
      <c r="A6" s="116"/>
      <c r="B6" s="118" t="s">
        <v>427</v>
      </c>
      <c r="C6" s="465" t="s">
        <v>645</v>
      </c>
      <c r="D6" s="465"/>
      <c r="E6" s="465"/>
      <c r="F6" s="465"/>
      <c r="G6" s="465"/>
      <c r="H6" s="465"/>
      <c r="I6" s="465"/>
      <c r="J6" s="465"/>
      <c r="K6" s="465"/>
      <c r="L6" s="465"/>
      <c r="M6" s="465"/>
      <c r="N6" s="466"/>
    </row>
    <row r="7" spans="1:14" x14ac:dyDescent="0.2">
      <c r="A7" s="116"/>
      <c r="B7" s="109"/>
      <c r="C7" s="465"/>
      <c r="D7" s="465"/>
      <c r="E7" s="465"/>
      <c r="F7" s="465"/>
      <c r="G7" s="465"/>
      <c r="H7" s="465"/>
      <c r="I7" s="465"/>
      <c r="J7" s="465"/>
      <c r="K7" s="465"/>
      <c r="L7" s="465"/>
      <c r="M7" s="465"/>
      <c r="N7" s="466"/>
    </row>
    <row r="8" spans="1:14" x14ac:dyDescent="0.2">
      <c r="A8" s="116"/>
      <c r="B8" s="109"/>
      <c r="C8" s="468"/>
      <c r="D8" s="468"/>
      <c r="E8" s="468"/>
      <c r="F8" s="468"/>
      <c r="G8" s="468"/>
      <c r="H8" s="468"/>
      <c r="I8" s="468"/>
      <c r="J8" s="468"/>
      <c r="K8" s="468"/>
      <c r="L8" s="468"/>
      <c r="M8" s="468"/>
      <c r="N8" s="469"/>
    </row>
    <row r="9" spans="1:14" x14ac:dyDescent="0.2">
      <c r="A9" s="116"/>
      <c r="B9" s="118" t="s">
        <v>426</v>
      </c>
      <c r="C9" s="119"/>
      <c r="D9" s="119"/>
      <c r="E9" s="120"/>
      <c r="F9" s="120"/>
      <c r="G9" s="120"/>
      <c r="H9" s="119"/>
      <c r="I9" s="120"/>
      <c r="J9" s="119"/>
      <c r="K9" s="120"/>
      <c r="L9" s="120"/>
      <c r="M9" s="120"/>
      <c r="N9" s="101"/>
    </row>
    <row r="10" spans="1:14" ht="13.5" thickBot="1" x14ac:dyDescent="0.25">
      <c r="A10" s="121"/>
      <c r="B10" s="118" t="s">
        <v>430</v>
      </c>
      <c r="C10" s="122"/>
      <c r="D10" s="122"/>
      <c r="E10" s="123"/>
      <c r="F10" s="123"/>
      <c r="G10" s="123"/>
      <c r="H10" s="123"/>
      <c r="I10" s="123"/>
      <c r="J10" s="123"/>
      <c r="K10" s="123"/>
      <c r="L10" s="123"/>
      <c r="M10" s="123"/>
      <c r="N10" s="104"/>
    </row>
    <row r="11" spans="1:14" ht="13.5" thickBot="1" x14ac:dyDescent="0.25">
      <c r="A11" s="121"/>
      <c r="B11" s="135" t="s">
        <v>263</v>
      </c>
      <c r="C11" s="122"/>
      <c r="D11" s="122"/>
      <c r="E11" s="123"/>
      <c r="F11" s="123"/>
      <c r="G11" s="123"/>
      <c r="H11" s="123"/>
      <c r="I11" s="123"/>
      <c r="J11" s="123" t="s">
        <v>385</v>
      </c>
      <c r="K11" s="123"/>
      <c r="L11" s="123"/>
      <c r="M11" s="123"/>
      <c r="N11" s="104"/>
    </row>
    <row r="12" spans="1:14" ht="13.5" thickBot="1" x14ac:dyDescent="0.25">
      <c r="A12" s="121"/>
      <c r="C12" s="122"/>
      <c r="D12" s="122"/>
      <c r="E12" s="123"/>
      <c r="F12" s="123"/>
      <c r="G12" s="123"/>
      <c r="H12" s="123"/>
      <c r="I12" s="123"/>
      <c r="J12" s="125" t="s">
        <v>1918</v>
      </c>
      <c r="K12" s="105" t="s">
        <v>1919</v>
      </c>
      <c r="L12" s="105"/>
      <c r="M12" s="105"/>
      <c r="N12" s="105"/>
    </row>
    <row r="13" spans="1:14" x14ac:dyDescent="0.2">
      <c r="A13" s="112"/>
      <c r="B13" s="467" t="s">
        <v>67</v>
      </c>
      <c r="C13" s="467"/>
      <c r="D13" s="467"/>
      <c r="E13" s="114"/>
      <c r="F13" s="114" t="s">
        <v>1180</v>
      </c>
      <c r="G13" s="114" t="s">
        <v>68</v>
      </c>
      <c r="H13" s="114" t="s">
        <v>702</v>
      </c>
      <c r="I13" s="114"/>
      <c r="J13" s="126">
        <f>46/ATHENS!O1*ATHENS!O2</f>
        <v>83.636363636363626</v>
      </c>
      <c r="K13" s="126">
        <f>47/ATHENS!O1*ATHENS!O2</f>
        <v>85.454545454545453</v>
      </c>
      <c r="L13" s="126"/>
      <c r="M13" s="126"/>
      <c r="N13" s="126"/>
    </row>
    <row r="14" spans="1:14" x14ac:dyDescent="0.2">
      <c r="A14" s="116"/>
      <c r="B14" s="461" t="s">
        <v>67</v>
      </c>
      <c r="C14" s="461"/>
      <c r="D14" s="461"/>
      <c r="E14" s="120"/>
      <c r="F14" s="120" t="s">
        <v>1181</v>
      </c>
      <c r="G14" s="120" t="s">
        <v>68</v>
      </c>
      <c r="H14" s="120" t="s">
        <v>702</v>
      </c>
      <c r="I14" s="120"/>
      <c r="J14" s="100">
        <f>27.5/ATHENS!O1*ATHENS!O2</f>
        <v>49.999999999999993</v>
      </c>
      <c r="K14" s="100">
        <f>29/ATHENS!O1*ATHENS!O2</f>
        <v>52.72727272727272</v>
      </c>
      <c r="L14" s="100"/>
      <c r="M14" s="100"/>
      <c r="N14" s="100"/>
    </row>
    <row r="15" spans="1:14" x14ac:dyDescent="0.2">
      <c r="A15" s="116"/>
      <c r="B15" s="461" t="s">
        <v>67</v>
      </c>
      <c r="C15" s="461"/>
      <c r="D15" s="461"/>
      <c r="E15" s="120"/>
      <c r="F15" s="120" t="s">
        <v>1182</v>
      </c>
      <c r="G15" s="120" t="s">
        <v>68</v>
      </c>
      <c r="H15" s="120" t="s">
        <v>702</v>
      </c>
      <c r="I15" s="120"/>
      <c r="J15" s="100">
        <f>28.5/ATHENS!O1*ATHENS!O2</f>
        <v>51.818181818181813</v>
      </c>
      <c r="K15" s="100">
        <f>28.6/ATHENS!O1*ATHENS!O2</f>
        <v>52</v>
      </c>
      <c r="L15" s="100"/>
      <c r="M15" s="100"/>
      <c r="N15" s="100"/>
    </row>
    <row r="16" spans="1:14" ht="13.5" thickBot="1" x14ac:dyDescent="0.25">
      <c r="A16" s="121"/>
      <c r="B16" s="460"/>
      <c r="C16" s="460"/>
      <c r="D16" s="460"/>
      <c r="E16" s="123"/>
      <c r="F16" s="123"/>
      <c r="G16" s="123"/>
      <c r="H16" s="123"/>
      <c r="I16" s="123"/>
      <c r="J16" s="105"/>
      <c r="K16" s="105"/>
      <c r="L16" s="105"/>
      <c r="M16" s="105"/>
      <c r="N16" s="105"/>
    </row>
    <row r="17" spans="1:14" x14ac:dyDescent="0.2">
      <c r="A17" s="108"/>
      <c r="B17" s="109"/>
      <c r="C17" s="109"/>
      <c r="D17" s="109"/>
      <c r="E17" s="110"/>
      <c r="F17" s="110"/>
      <c r="G17" s="110"/>
      <c r="H17" s="110"/>
      <c r="I17" s="110"/>
      <c r="J17" s="110"/>
      <c r="K17" s="110"/>
      <c r="L17" s="110"/>
      <c r="M17" s="110"/>
      <c r="N17" s="110"/>
    </row>
  </sheetData>
  <customSheetViews>
    <customSheetView guid="{3C76061C-A85D-4390-B9DB-73E13038638C}" showPageBreaks="1" showGridLines="0" view="pageLayout">
      <selection activeCell="M51" sqref="M51"/>
      <pageMargins left="0.28125" right="0.25" top="0.6692913385826772" bottom="0.70866141732283472" header="0.23622047244094491" footer="0.47244094488188981"/>
      <printOptions horizontalCentered="1"/>
      <pageSetup paperSize="9" firstPageNumber="56"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6">
    <mergeCell ref="C6:N8"/>
    <mergeCell ref="B15:D15"/>
    <mergeCell ref="B16:D16"/>
    <mergeCell ref="B3:M3"/>
    <mergeCell ref="B13:D13"/>
    <mergeCell ref="B14:D14"/>
  </mergeCells>
  <phoneticPr fontId="17" type="noConversion"/>
  <hyperlinks>
    <hyperlink ref="B3:M3" r:id="rId2" display="Egnatia" xr:uid="{00000000-0004-0000-1500-000000000000}"/>
  </hyperlinks>
  <printOptions horizontalCentered="1"/>
  <pageMargins left="0.28125" right="0.25" top="0.6692913385826772" bottom="0.70866141732283472" header="0.23622047244094491" footer="0.47244094488188981"/>
  <pageSetup paperSize="9" firstPageNumber="56" orientation="portrait" useFirstPageNumber="1" horizontalDpi="300" verticalDpi="300" r:id="rId3"/>
  <headerFooter scaleWithDoc="0" alignWithMargins="0">
    <oddHeader xml:space="preserve">&amp;C TARIFF 2021
 (EURO)
</oddHeader>
    <oddFooter>&amp;LAll rates are in EURO&amp;C
TARIFF 2021
&amp;RPage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dimension ref="A1:Q20"/>
  <sheetViews>
    <sheetView showGridLines="0" view="pageLayout" topLeftCell="A46" workbookViewId="0">
      <selection activeCell="M53" sqref="M53"/>
    </sheetView>
  </sheetViews>
  <sheetFormatPr defaultRowHeight="12.75" x14ac:dyDescent="0.2"/>
  <cols>
    <col min="1" max="1" width="1.85546875" style="140" customWidth="1"/>
    <col min="2" max="3" width="10.7109375" style="140" customWidth="1"/>
    <col min="4" max="9" width="3.7109375" style="140" customWidth="1"/>
    <col min="10" max="14" width="10.7109375" style="140" customWidth="1"/>
    <col min="15" max="15" width="9.5703125" style="140" customWidth="1"/>
    <col min="16" max="27" width="2.7109375" style="140" customWidth="1"/>
    <col min="28" max="16384" width="9.140625" style="140"/>
  </cols>
  <sheetData>
    <row r="1" spans="1:17" s="111" customFormat="1" x14ac:dyDescent="0.2">
      <c r="A1" s="108"/>
      <c r="B1" s="109"/>
      <c r="C1" s="109"/>
      <c r="D1" s="109"/>
      <c r="E1" s="110"/>
      <c r="F1" s="110"/>
      <c r="G1" s="110"/>
      <c r="H1" s="110"/>
      <c r="I1" s="110"/>
      <c r="J1" s="110"/>
      <c r="K1" s="110"/>
      <c r="L1" s="110"/>
      <c r="M1" s="110"/>
      <c r="N1" s="110"/>
      <c r="P1" s="143"/>
      <c r="Q1" s="143"/>
    </row>
    <row r="2" spans="1:17" s="111" customFormat="1" ht="13.5" thickBot="1" x14ac:dyDescent="0.25">
      <c r="A2" s="108"/>
      <c r="B2" s="109"/>
      <c r="C2" s="109"/>
      <c r="D2" s="109"/>
      <c r="E2" s="110"/>
      <c r="F2" s="110"/>
      <c r="G2" s="110"/>
      <c r="H2" s="110"/>
      <c r="I2" s="110"/>
      <c r="J2" s="110"/>
      <c r="K2" s="110"/>
      <c r="L2" s="110"/>
      <c r="M2" s="110"/>
      <c r="N2" s="110"/>
    </row>
    <row r="3" spans="1:17" s="111" customFormat="1" x14ac:dyDescent="0.2">
      <c r="A3" s="112"/>
      <c r="B3" s="113"/>
      <c r="C3" s="113"/>
      <c r="D3" s="113"/>
      <c r="E3" s="114"/>
      <c r="F3" s="114"/>
      <c r="G3" s="114"/>
      <c r="H3" s="114"/>
      <c r="I3" s="114"/>
      <c r="J3" s="114"/>
      <c r="K3" s="114"/>
      <c r="L3" s="114"/>
      <c r="M3" s="114"/>
      <c r="N3" s="115"/>
    </row>
    <row r="4" spans="1:17" s="111" customFormat="1" ht="15" x14ac:dyDescent="0.2">
      <c r="A4" s="116"/>
      <c r="B4" s="462" t="s">
        <v>456</v>
      </c>
      <c r="C4" s="463"/>
      <c r="D4" s="463"/>
      <c r="E4" s="463"/>
      <c r="F4" s="463"/>
      <c r="G4" s="463"/>
      <c r="H4" s="463"/>
      <c r="I4" s="463"/>
      <c r="J4" s="463"/>
      <c r="K4" s="463"/>
      <c r="L4" s="463"/>
      <c r="M4" s="464"/>
      <c r="N4" s="117" t="s">
        <v>96</v>
      </c>
    </row>
    <row r="5" spans="1:17" s="111" customFormat="1" x14ac:dyDescent="0.2">
      <c r="A5" s="116"/>
      <c r="B5" s="118" t="s">
        <v>428</v>
      </c>
      <c r="C5" s="119" t="s">
        <v>1642</v>
      </c>
      <c r="D5" s="119"/>
      <c r="E5" s="120"/>
      <c r="F5" s="120"/>
      <c r="G5" s="120"/>
      <c r="H5" s="120"/>
      <c r="I5" s="120"/>
      <c r="J5" s="120"/>
      <c r="K5" s="120"/>
      <c r="L5" s="120"/>
      <c r="M5" s="120"/>
      <c r="N5" s="101"/>
    </row>
    <row r="6" spans="1:17" s="111" customFormat="1" x14ac:dyDescent="0.2">
      <c r="A6" s="116"/>
      <c r="B6" s="118" t="s">
        <v>429</v>
      </c>
      <c r="C6" s="119" t="s">
        <v>1091</v>
      </c>
      <c r="D6" s="119"/>
      <c r="E6" s="120"/>
      <c r="F6" s="120"/>
      <c r="G6" s="120"/>
      <c r="H6" s="120"/>
      <c r="I6" s="120"/>
      <c r="J6" s="120"/>
      <c r="K6" s="120"/>
      <c r="L6" s="120"/>
      <c r="M6" s="120"/>
      <c r="N6" s="101"/>
    </row>
    <row r="7" spans="1:17" s="111" customFormat="1" x14ac:dyDescent="0.2">
      <c r="A7" s="116"/>
      <c r="B7" s="118" t="s">
        <v>427</v>
      </c>
      <c r="C7" s="465" t="s">
        <v>646</v>
      </c>
      <c r="D7" s="465"/>
      <c r="E7" s="465"/>
      <c r="F7" s="465"/>
      <c r="G7" s="465"/>
      <c r="H7" s="465"/>
      <c r="I7" s="465"/>
      <c r="J7" s="465"/>
      <c r="K7" s="465"/>
      <c r="L7" s="465"/>
      <c r="M7" s="465"/>
      <c r="N7" s="466"/>
    </row>
    <row r="8" spans="1:17" s="111" customFormat="1" x14ac:dyDescent="0.2">
      <c r="A8" s="116"/>
      <c r="B8" s="109"/>
      <c r="C8" s="465"/>
      <c r="D8" s="465"/>
      <c r="E8" s="465"/>
      <c r="F8" s="465"/>
      <c r="G8" s="465"/>
      <c r="H8" s="465"/>
      <c r="I8" s="465"/>
      <c r="J8" s="465"/>
      <c r="K8" s="465"/>
      <c r="L8" s="465"/>
      <c r="M8" s="465"/>
      <c r="N8" s="466"/>
    </row>
    <row r="9" spans="1:17" s="111" customFormat="1" x14ac:dyDescent="0.2">
      <c r="A9" s="116"/>
      <c r="B9" s="109"/>
      <c r="C9" s="465"/>
      <c r="D9" s="465"/>
      <c r="E9" s="465"/>
      <c r="F9" s="465"/>
      <c r="G9" s="465"/>
      <c r="H9" s="465"/>
      <c r="I9" s="465"/>
      <c r="J9" s="465"/>
      <c r="K9" s="465"/>
      <c r="L9" s="465"/>
      <c r="M9" s="465"/>
      <c r="N9" s="466"/>
    </row>
    <row r="10" spans="1:17" s="111" customFormat="1" x14ac:dyDescent="0.2">
      <c r="A10" s="116"/>
      <c r="B10" s="109"/>
      <c r="C10" s="468"/>
      <c r="D10" s="468"/>
      <c r="E10" s="468"/>
      <c r="F10" s="468"/>
      <c r="G10" s="468"/>
      <c r="H10" s="468"/>
      <c r="I10" s="468"/>
      <c r="J10" s="468"/>
      <c r="K10" s="468"/>
      <c r="L10" s="468"/>
      <c r="M10" s="468"/>
      <c r="N10" s="469"/>
    </row>
    <row r="11" spans="1:17" s="111" customFormat="1" x14ac:dyDescent="0.2">
      <c r="A11" s="116"/>
      <c r="B11" s="109"/>
      <c r="C11" s="468"/>
      <c r="D11" s="468"/>
      <c r="E11" s="468"/>
      <c r="F11" s="468"/>
      <c r="G11" s="468"/>
      <c r="H11" s="468"/>
      <c r="I11" s="468"/>
      <c r="J11" s="468"/>
      <c r="K11" s="468"/>
      <c r="L11" s="468"/>
      <c r="M11" s="468"/>
      <c r="N11" s="469"/>
    </row>
    <row r="12" spans="1:17" s="111" customFormat="1" x14ac:dyDescent="0.2">
      <c r="A12" s="116"/>
      <c r="B12" s="109"/>
      <c r="C12" s="468"/>
      <c r="D12" s="468"/>
      <c r="E12" s="468"/>
      <c r="F12" s="468"/>
      <c r="G12" s="468"/>
      <c r="H12" s="468"/>
      <c r="I12" s="468"/>
      <c r="J12" s="468"/>
      <c r="K12" s="468"/>
      <c r="L12" s="468"/>
      <c r="M12" s="468"/>
      <c r="N12" s="469"/>
    </row>
    <row r="13" spans="1:17" s="111" customFormat="1" x14ac:dyDescent="0.2">
      <c r="A13" s="116"/>
      <c r="B13" s="118" t="s">
        <v>426</v>
      </c>
      <c r="C13" s="119" t="s">
        <v>860</v>
      </c>
      <c r="D13" s="119"/>
      <c r="E13" s="120"/>
      <c r="F13" s="120"/>
      <c r="G13" s="120"/>
      <c r="H13" s="120"/>
      <c r="I13" s="120"/>
      <c r="J13" s="120"/>
      <c r="K13" s="120"/>
      <c r="L13" s="120"/>
      <c r="M13" s="120"/>
      <c r="N13" s="101"/>
    </row>
    <row r="14" spans="1:17" s="111" customFormat="1" ht="13.5" thickBot="1" x14ac:dyDescent="0.25">
      <c r="A14" s="116"/>
      <c r="B14" s="118" t="s">
        <v>430</v>
      </c>
      <c r="C14" s="119" t="s">
        <v>8</v>
      </c>
      <c r="D14" s="119"/>
      <c r="E14" s="120"/>
      <c r="F14" s="120"/>
      <c r="G14" s="120"/>
      <c r="H14" s="120"/>
      <c r="I14" s="120"/>
      <c r="J14" s="120"/>
      <c r="K14" s="120"/>
      <c r="L14" s="120"/>
      <c r="M14" s="120"/>
      <c r="N14" s="101"/>
    </row>
    <row r="15" spans="1:17" s="111" customFormat="1" x14ac:dyDescent="0.2">
      <c r="A15" s="112"/>
      <c r="B15" s="113" t="s">
        <v>263</v>
      </c>
      <c r="C15" s="113"/>
      <c r="D15" s="113"/>
      <c r="E15" s="114"/>
      <c r="F15" s="114"/>
      <c r="G15" s="114"/>
      <c r="H15" s="114"/>
      <c r="I15" s="114"/>
      <c r="J15" s="126" t="s">
        <v>1959</v>
      </c>
      <c r="K15" s="144" t="s">
        <v>1431</v>
      </c>
      <c r="L15" s="144"/>
      <c r="M15" s="126"/>
      <c r="N15" s="126"/>
    </row>
    <row r="16" spans="1:17" s="111" customFormat="1" ht="13.5" thickBot="1" x14ac:dyDescent="0.25">
      <c r="A16" s="121"/>
      <c r="B16" s="119"/>
      <c r="C16" s="122"/>
      <c r="D16" s="122"/>
      <c r="E16" s="123"/>
      <c r="F16" s="123"/>
      <c r="G16" s="123"/>
      <c r="H16" s="123"/>
      <c r="I16" s="123"/>
      <c r="J16" s="125" t="s">
        <v>294</v>
      </c>
      <c r="K16" s="105" t="s">
        <v>1432</v>
      </c>
      <c r="L16" s="105" t="s">
        <v>1152</v>
      </c>
      <c r="M16" s="105"/>
      <c r="N16" s="105"/>
    </row>
    <row r="17" spans="1:14" s="111" customFormat="1" x14ac:dyDescent="0.2">
      <c r="A17" s="112"/>
      <c r="B17" s="467" t="s">
        <v>67</v>
      </c>
      <c r="C17" s="467"/>
      <c r="D17" s="467"/>
      <c r="E17" s="114"/>
      <c r="F17" s="114" t="s">
        <v>1180</v>
      </c>
      <c r="G17" s="114" t="s">
        <v>1487</v>
      </c>
      <c r="H17" s="114" t="s">
        <v>702</v>
      </c>
      <c r="I17" s="114"/>
      <c r="J17" s="126">
        <f>78/ATHENS!O1*ATHENS!O2</f>
        <v>141.81818181818181</v>
      </c>
      <c r="K17" s="126">
        <f>118.5/ATHENS!O1*ATHENS!O2</f>
        <v>215.45454545454544</v>
      </c>
      <c r="L17" s="126">
        <f>175/ATHENS!O1*ATHENS!O2</f>
        <v>318.18181818181813</v>
      </c>
      <c r="M17" s="126"/>
      <c r="N17" s="126"/>
    </row>
    <row r="18" spans="1:14" s="111" customFormat="1" x14ac:dyDescent="0.2">
      <c r="A18" s="116"/>
      <c r="B18" s="461" t="s">
        <v>67</v>
      </c>
      <c r="C18" s="461"/>
      <c r="D18" s="461"/>
      <c r="E18" s="120"/>
      <c r="F18" s="120" t="s">
        <v>1181</v>
      </c>
      <c r="G18" s="120" t="s">
        <v>1487</v>
      </c>
      <c r="H18" s="120" t="s">
        <v>702</v>
      </c>
      <c r="I18" s="120"/>
      <c r="J18" s="100">
        <f>52/ATHENS!O1*ATHENS!O2</f>
        <v>94.545454545454533</v>
      </c>
      <c r="K18" s="100">
        <f>74/ATHENS!O1*ATHENS!O2</f>
        <v>134.54545454545453</v>
      </c>
      <c r="L18" s="100">
        <f>109/ATHENS!O1*ATHENS!O2</f>
        <v>198.18181818181816</v>
      </c>
      <c r="M18" s="100"/>
      <c r="N18" s="100"/>
    </row>
    <row r="19" spans="1:14" s="111" customFormat="1" ht="13.5" thickBot="1" x14ac:dyDescent="0.25">
      <c r="A19" s="121"/>
      <c r="B19" s="460" t="s">
        <v>67</v>
      </c>
      <c r="C19" s="460"/>
      <c r="D19" s="460"/>
      <c r="E19" s="123"/>
      <c r="F19" s="123" t="s">
        <v>1182</v>
      </c>
      <c r="G19" s="123" t="s">
        <v>1487</v>
      </c>
      <c r="H19" s="123" t="s">
        <v>702</v>
      </c>
      <c r="I19" s="123"/>
      <c r="J19" s="105">
        <f>46.8/ATHENS!O1*ATHENS!O2</f>
        <v>85.090909090909079</v>
      </c>
      <c r="K19" s="105">
        <f>66.6/ATHENS!O1*ATHENS!O2</f>
        <v>121.09090909090907</v>
      </c>
      <c r="L19" s="105">
        <f>98.5/ATHENS!O1*ATHENS!O2</f>
        <v>179.09090909090907</v>
      </c>
      <c r="M19" s="105"/>
      <c r="N19" s="105"/>
    </row>
    <row r="20" spans="1:14" s="111" customFormat="1" x14ac:dyDescent="0.2">
      <c r="A20" s="108"/>
      <c r="B20" s="109"/>
      <c r="C20" s="109"/>
      <c r="D20" s="109"/>
      <c r="E20" s="110"/>
      <c r="F20" s="110"/>
      <c r="G20" s="110"/>
      <c r="H20" s="110"/>
      <c r="I20" s="110"/>
      <c r="J20" s="110"/>
      <c r="K20" s="110"/>
      <c r="L20" s="110"/>
      <c r="M20" s="110"/>
      <c r="N20" s="110"/>
    </row>
  </sheetData>
  <customSheetViews>
    <customSheetView guid="{3C76061C-A85D-4390-B9DB-73E13038638C}" showPageBreaks="1" showGridLines="0" view="pageLayout" topLeftCell="A46">
      <selection activeCell="M51" sqref="M51"/>
      <pageMargins left="0.28125" right="0.25" top="0.6692913385826772" bottom="0.70866141732283472" header="0.23622047244094491" footer="0.47244094488188981"/>
      <printOptions horizontalCentered="1"/>
      <pageSetup paperSize="9" firstPageNumber="57"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 guid="{777CFE61-6F99-11D9-974B-0050BFD074B6}" showRuler="0">
      <selection activeCell="K14" sqref="K14:N18"/>
      <pageMargins left="0" right="0" top="0" bottom="0" header="0" footer="0"/>
      <pageSetup paperSize="9" orientation="portrait" horizontalDpi="4294967293" verticalDpi="300" r:id="rId2"/>
      <headerFooter alignWithMargins="0"/>
    </customSheetView>
  </customSheetViews>
  <mergeCells count="5">
    <mergeCell ref="B19:D19"/>
    <mergeCell ref="B17:D17"/>
    <mergeCell ref="B18:D18"/>
    <mergeCell ref="B4:M4"/>
    <mergeCell ref="C7:N12"/>
  </mergeCells>
  <phoneticPr fontId="0" type="noConversion"/>
  <hyperlinks>
    <hyperlink ref="B4:M4" r:id="rId3" display="Kipriotis Village" xr:uid="{00000000-0004-0000-1600-000000000000}"/>
  </hyperlinks>
  <printOptions horizontalCentered="1"/>
  <pageMargins left="0.28125" right="0.25" top="0.6692913385826772" bottom="0.70866141732283472" header="0.23622047244094491" footer="0.47244094488188981"/>
  <pageSetup paperSize="9" firstPageNumber="57" orientation="portrait" useFirstPageNumber="1" horizontalDpi="300" verticalDpi="300" r:id="rId4"/>
  <headerFooter scaleWithDoc="0" alignWithMargins="0">
    <oddHeader xml:space="preserve">&amp;C TARIFF 2021
 (EURO)
</oddHeader>
    <oddFooter>&amp;LAll rates are in EURO&amp;C
TARIFF 2021
&amp;RPage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38"/>
  <sheetViews>
    <sheetView showGridLines="0" view="pageLayout" workbookViewId="0">
      <selection activeCell="M53" sqref="M53"/>
    </sheetView>
  </sheetViews>
  <sheetFormatPr defaultRowHeight="12.75" x14ac:dyDescent="0.2"/>
  <cols>
    <col min="1" max="1" width="2.140625" style="141" customWidth="1"/>
    <col min="2" max="3" width="10.7109375" style="141" customWidth="1"/>
    <col min="4" max="9" width="3.7109375" style="141" customWidth="1"/>
    <col min="10" max="14" width="10.7109375" style="141" customWidth="1"/>
    <col min="15" max="16384" width="9.140625" style="141"/>
  </cols>
  <sheetData>
    <row r="1" spans="1:14" ht="13.5" thickBot="1" x14ac:dyDescent="0.25">
      <c r="A1" s="108"/>
      <c r="B1" s="138"/>
      <c r="C1" s="138"/>
      <c r="D1" s="138"/>
      <c r="E1" s="139"/>
      <c r="F1" s="139"/>
      <c r="G1" s="139"/>
      <c r="H1" s="139"/>
      <c r="I1" s="139"/>
      <c r="J1" s="139"/>
      <c r="K1" s="139"/>
      <c r="L1" s="139"/>
      <c r="M1" s="139"/>
      <c r="N1" s="139"/>
    </row>
    <row r="2" spans="1:14" x14ac:dyDescent="0.2">
      <c r="A2" s="112"/>
      <c r="B2" s="113"/>
      <c r="C2" s="113"/>
      <c r="D2" s="113"/>
      <c r="E2" s="114"/>
      <c r="F2" s="114"/>
      <c r="G2" s="114"/>
      <c r="H2" s="114"/>
      <c r="I2" s="114"/>
      <c r="J2" s="114"/>
      <c r="K2" s="114"/>
      <c r="L2" s="114"/>
      <c r="M2" s="114"/>
      <c r="N2" s="115"/>
    </row>
    <row r="3" spans="1:14" ht="15" x14ac:dyDescent="0.2">
      <c r="A3" s="116"/>
      <c r="B3" s="462" t="s">
        <v>602</v>
      </c>
      <c r="C3" s="463"/>
      <c r="D3" s="463"/>
      <c r="E3" s="463"/>
      <c r="F3" s="463"/>
      <c r="G3" s="463"/>
      <c r="H3" s="463"/>
      <c r="I3" s="463"/>
      <c r="J3" s="463"/>
      <c r="K3" s="463"/>
      <c r="L3" s="463"/>
      <c r="M3" s="464"/>
      <c r="N3" s="117" t="s">
        <v>91</v>
      </c>
    </row>
    <row r="4" spans="1:14" x14ac:dyDescent="0.2">
      <c r="A4" s="116"/>
      <c r="B4" s="118" t="s">
        <v>428</v>
      </c>
      <c r="C4" s="119" t="s">
        <v>604</v>
      </c>
      <c r="D4" s="119"/>
      <c r="E4" s="120"/>
      <c r="F4" s="120"/>
      <c r="G4" s="120"/>
      <c r="H4" s="120"/>
      <c r="I4" s="120"/>
      <c r="J4" s="120"/>
      <c r="K4" s="120"/>
      <c r="L4" s="120"/>
      <c r="M4" s="120"/>
      <c r="N4" s="101"/>
    </row>
    <row r="5" spans="1:14" x14ac:dyDescent="0.2">
      <c r="A5" s="116"/>
      <c r="B5" s="118" t="s">
        <v>429</v>
      </c>
      <c r="C5" s="119" t="s">
        <v>16</v>
      </c>
      <c r="D5" s="119"/>
      <c r="E5" s="120"/>
      <c r="F5" s="120"/>
      <c r="G5" s="120"/>
      <c r="H5" s="120"/>
      <c r="I5" s="120"/>
      <c r="J5" s="120"/>
      <c r="K5" s="120"/>
      <c r="L5" s="120"/>
      <c r="M5" s="120"/>
      <c r="N5" s="101"/>
    </row>
    <row r="6" spans="1:14" x14ac:dyDescent="0.2">
      <c r="A6" s="116"/>
      <c r="B6" s="118" t="s">
        <v>427</v>
      </c>
      <c r="C6" s="465" t="s">
        <v>1276</v>
      </c>
      <c r="D6" s="465"/>
      <c r="E6" s="465"/>
      <c r="F6" s="465"/>
      <c r="G6" s="465"/>
      <c r="H6" s="465"/>
      <c r="I6" s="465"/>
      <c r="J6" s="465"/>
      <c r="K6" s="465"/>
      <c r="L6" s="465"/>
      <c r="M6" s="465"/>
      <c r="N6" s="466"/>
    </row>
    <row r="7" spans="1:14" x14ac:dyDescent="0.2">
      <c r="A7" s="116"/>
      <c r="B7" s="119"/>
      <c r="C7" s="465"/>
      <c r="D7" s="465"/>
      <c r="E7" s="465"/>
      <c r="F7" s="465"/>
      <c r="G7" s="465"/>
      <c r="H7" s="465"/>
      <c r="I7" s="465"/>
      <c r="J7" s="465"/>
      <c r="K7" s="465"/>
      <c r="L7" s="465"/>
      <c r="M7" s="465"/>
      <c r="N7" s="466"/>
    </row>
    <row r="8" spans="1:14" x14ac:dyDescent="0.2">
      <c r="A8" s="116"/>
      <c r="B8" s="119"/>
      <c r="C8" s="468"/>
      <c r="D8" s="468"/>
      <c r="E8" s="468"/>
      <c r="F8" s="468"/>
      <c r="G8" s="468"/>
      <c r="H8" s="468"/>
      <c r="I8" s="468"/>
      <c r="J8" s="468"/>
      <c r="K8" s="468"/>
      <c r="L8" s="468"/>
      <c r="M8" s="468"/>
      <c r="N8" s="469"/>
    </row>
    <row r="9" spans="1:14" x14ac:dyDescent="0.2">
      <c r="A9" s="116"/>
      <c r="B9" s="119"/>
      <c r="C9" s="468"/>
      <c r="D9" s="468"/>
      <c r="E9" s="468"/>
      <c r="F9" s="468"/>
      <c r="G9" s="468"/>
      <c r="H9" s="468"/>
      <c r="I9" s="468"/>
      <c r="J9" s="468"/>
      <c r="K9" s="468"/>
      <c r="L9" s="468"/>
      <c r="M9" s="468"/>
      <c r="N9" s="469"/>
    </row>
    <row r="10" spans="1:14" x14ac:dyDescent="0.2">
      <c r="A10" s="116"/>
      <c r="B10" s="119"/>
      <c r="C10" s="468"/>
      <c r="D10" s="468"/>
      <c r="E10" s="468"/>
      <c r="F10" s="468"/>
      <c r="G10" s="468"/>
      <c r="H10" s="468"/>
      <c r="I10" s="468"/>
      <c r="J10" s="468"/>
      <c r="K10" s="468"/>
      <c r="L10" s="468"/>
      <c r="M10" s="468"/>
      <c r="N10" s="469"/>
    </row>
    <row r="11" spans="1:14" x14ac:dyDescent="0.2">
      <c r="A11" s="116"/>
      <c r="B11" s="119"/>
      <c r="C11" s="468"/>
      <c r="D11" s="468"/>
      <c r="E11" s="468"/>
      <c r="F11" s="468"/>
      <c r="G11" s="468"/>
      <c r="H11" s="468"/>
      <c r="I11" s="468"/>
      <c r="J11" s="468"/>
      <c r="K11" s="468"/>
      <c r="L11" s="468"/>
      <c r="M11" s="468"/>
      <c r="N11" s="469"/>
    </row>
    <row r="12" spans="1:14" x14ac:dyDescent="0.2">
      <c r="A12" s="116"/>
      <c r="B12" s="118" t="s">
        <v>426</v>
      </c>
      <c r="C12" s="119"/>
      <c r="D12" s="119"/>
      <c r="E12" s="120"/>
      <c r="F12" s="120"/>
      <c r="G12" s="120"/>
      <c r="H12" s="120"/>
      <c r="I12" s="120"/>
      <c r="J12" s="120"/>
      <c r="K12" s="120"/>
      <c r="L12" s="120"/>
      <c r="M12" s="120"/>
      <c r="N12" s="101"/>
    </row>
    <row r="13" spans="1:14" ht="13.5" thickBot="1" x14ac:dyDescent="0.25">
      <c r="A13" s="121"/>
      <c r="B13" s="118" t="s">
        <v>430</v>
      </c>
      <c r="C13" s="122"/>
      <c r="D13" s="122"/>
      <c r="E13" s="123"/>
      <c r="F13" s="123"/>
      <c r="G13" s="123"/>
      <c r="H13" s="123"/>
      <c r="I13" s="123"/>
      <c r="J13" s="123"/>
      <c r="K13" s="123"/>
      <c r="L13" s="123"/>
      <c r="M13" s="123"/>
      <c r="N13" s="104"/>
    </row>
    <row r="14" spans="1:14" x14ac:dyDescent="0.2">
      <c r="A14" s="116"/>
      <c r="B14" s="113" t="s">
        <v>263</v>
      </c>
      <c r="C14" s="119"/>
      <c r="D14" s="119"/>
      <c r="E14" s="120"/>
      <c r="F14" s="120"/>
      <c r="G14" s="120"/>
      <c r="H14" s="120"/>
      <c r="I14" s="120"/>
      <c r="J14" s="124" t="s">
        <v>385</v>
      </c>
      <c r="K14" s="100" t="s">
        <v>279</v>
      </c>
      <c r="L14" s="100"/>
      <c r="M14" s="100"/>
      <c r="N14" s="100"/>
    </row>
    <row r="15" spans="1:14" ht="13.5" thickBot="1" x14ac:dyDescent="0.25">
      <c r="A15" s="121"/>
      <c r="B15" s="122"/>
      <c r="C15" s="122"/>
      <c r="D15" s="122"/>
      <c r="E15" s="123"/>
      <c r="F15" s="123"/>
      <c r="G15" s="123"/>
      <c r="H15" s="123"/>
      <c r="I15" s="123"/>
      <c r="J15" s="125" t="s">
        <v>481</v>
      </c>
      <c r="K15" s="105" t="s">
        <v>832</v>
      </c>
      <c r="L15" s="105"/>
      <c r="M15" s="105"/>
      <c r="N15" s="105"/>
    </row>
    <row r="16" spans="1:14" x14ac:dyDescent="0.2">
      <c r="A16" s="112"/>
      <c r="B16" s="467" t="s">
        <v>67</v>
      </c>
      <c r="C16" s="467"/>
      <c r="D16" s="467"/>
      <c r="E16" s="114"/>
      <c r="F16" s="114" t="s">
        <v>1180</v>
      </c>
      <c r="G16" s="114" t="s">
        <v>1484</v>
      </c>
      <c r="H16" s="114" t="s">
        <v>702</v>
      </c>
      <c r="I16" s="114"/>
      <c r="J16" s="100">
        <f>127/ATHENS!O1*ATHENS!O2</f>
        <v>230.90909090909088</v>
      </c>
      <c r="K16" s="100">
        <f>137/ATHENS!O1*ATHENS!O2</f>
        <v>249.09090909090907</v>
      </c>
      <c r="L16" s="100"/>
      <c r="M16" s="126"/>
      <c r="N16" s="126"/>
    </row>
    <row r="17" spans="1:14" x14ac:dyDescent="0.2">
      <c r="A17" s="116"/>
      <c r="B17" s="461" t="s">
        <v>67</v>
      </c>
      <c r="C17" s="461"/>
      <c r="D17" s="461"/>
      <c r="E17" s="120"/>
      <c r="F17" s="120" t="s">
        <v>1181</v>
      </c>
      <c r="G17" s="120" t="s">
        <v>1484</v>
      </c>
      <c r="H17" s="120" t="s">
        <v>702</v>
      </c>
      <c r="I17" s="120"/>
      <c r="J17" s="100">
        <f>68.5/ATHENS!O1*ATHENS!O2</f>
        <v>124.54545454545453</v>
      </c>
      <c r="K17" s="100">
        <f>73.5/ATHENS!O1*ATHENS!O2</f>
        <v>133.63636363636363</v>
      </c>
      <c r="L17" s="100"/>
      <c r="M17" s="100"/>
      <c r="N17" s="100"/>
    </row>
    <row r="18" spans="1:14" x14ac:dyDescent="0.2">
      <c r="A18" s="116"/>
      <c r="B18" s="461" t="s">
        <v>67</v>
      </c>
      <c r="C18" s="461"/>
      <c r="D18" s="461"/>
      <c r="E18" s="120"/>
      <c r="F18" s="120" t="s">
        <v>1182</v>
      </c>
      <c r="G18" s="120" t="s">
        <v>1484</v>
      </c>
      <c r="H18" s="120" t="s">
        <v>702</v>
      </c>
      <c r="I18" s="120"/>
      <c r="J18" s="100">
        <f>59/ATHENS!O1*ATHENS!O2</f>
        <v>107.27272727272727</v>
      </c>
      <c r="K18" s="100">
        <f>62.5/ATHENS!O1*ATHENS!O2</f>
        <v>113.63636363636363</v>
      </c>
      <c r="L18" s="100"/>
      <c r="M18" s="100"/>
      <c r="N18" s="100"/>
    </row>
    <row r="19" spans="1:14" ht="13.5" thickBot="1" x14ac:dyDescent="0.25">
      <c r="A19" s="121"/>
      <c r="B19" s="142"/>
      <c r="C19" s="142"/>
      <c r="D19" s="142"/>
      <c r="E19" s="142"/>
      <c r="F19" s="142"/>
      <c r="G19" s="142"/>
      <c r="H19" s="142"/>
      <c r="I19" s="123"/>
      <c r="J19" s="105"/>
      <c r="K19" s="105"/>
      <c r="L19" s="105"/>
      <c r="M19" s="105"/>
      <c r="N19" s="105"/>
    </row>
    <row r="20" spans="1:14" ht="13.5" thickBot="1" x14ac:dyDescent="0.25">
      <c r="A20" s="108"/>
      <c r="B20" s="138"/>
      <c r="C20" s="138"/>
      <c r="D20" s="138"/>
      <c r="E20" s="139"/>
      <c r="F20" s="139"/>
      <c r="G20" s="139"/>
      <c r="H20" s="139"/>
      <c r="I20" s="139"/>
      <c r="J20" s="139"/>
      <c r="K20" s="139"/>
      <c r="L20" s="139"/>
      <c r="M20" s="139"/>
      <c r="N20" s="139"/>
    </row>
    <row r="21" spans="1:14" x14ac:dyDescent="0.2">
      <c r="A21" s="112"/>
      <c r="B21" s="113"/>
      <c r="C21" s="113"/>
      <c r="D21" s="113"/>
      <c r="E21" s="114"/>
      <c r="F21" s="114"/>
      <c r="G21" s="114"/>
      <c r="H21" s="114"/>
      <c r="I21" s="114"/>
      <c r="J21" s="114"/>
      <c r="K21" s="114"/>
      <c r="L21" s="114"/>
      <c r="M21" s="114"/>
      <c r="N21" s="115"/>
    </row>
    <row r="22" spans="1:14" ht="15" x14ac:dyDescent="0.2">
      <c r="A22" s="116"/>
      <c r="B22" s="462" t="s">
        <v>603</v>
      </c>
      <c r="C22" s="463"/>
      <c r="D22" s="463"/>
      <c r="E22" s="463"/>
      <c r="F22" s="463"/>
      <c r="G22" s="463"/>
      <c r="H22" s="463"/>
      <c r="I22" s="463"/>
      <c r="J22" s="463"/>
      <c r="K22" s="463"/>
      <c r="L22" s="463"/>
      <c r="M22" s="464"/>
      <c r="N22" s="117" t="s">
        <v>91</v>
      </c>
    </row>
    <row r="23" spans="1:14" x14ac:dyDescent="0.2">
      <c r="A23" s="116"/>
      <c r="B23" s="118" t="s">
        <v>428</v>
      </c>
      <c r="C23" s="119" t="s">
        <v>495</v>
      </c>
      <c r="D23" s="119"/>
      <c r="E23" s="120"/>
      <c r="F23" s="120"/>
      <c r="G23" s="120"/>
      <c r="H23" s="120"/>
      <c r="I23" s="120"/>
      <c r="J23" s="120"/>
      <c r="K23" s="120"/>
      <c r="L23" s="120"/>
      <c r="M23" s="120"/>
      <c r="N23" s="101"/>
    </row>
    <row r="24" spans="1:14" x14ac:dyDescent="0.2">
      <c r="A24" s="116"/>
      <c r="B24" s="118" t="s">
        <v>429</v>
      </c>
      <c r="C24" s="119" t="s">
        <v>146</v>
      </c>
      <c r="D24" s="119"/>
      <c r="E24" s="120"/>
      <c r="F24" s="120"/>
      <c r="G24" s="120"/>
      <c r="H24" s="120"/>
      <c r="I24" s="120"/>
      <c r="J24" s="120"/>
      <c r="K24" s="120"/>
      <c r="L24" s="120"/>
      <c r="M24" s="120"/>
      <c r="N24" s="101"/>
    </row>
    <row r="25" spans="1:14" x14ac:dyDescent="0.2">
      <c r="A25" s="116"/>
      <c r="B25" s="118" t="s">
        <v>427</v>
      </c>
      <c r="C25" s="465" t="s">
        <v>1392</v>
      </c>
      <c r="D25" s="465"/>
      <c r="E25" s="465"/>
      <c r="F25" s="465"/>
      <c r="G25" s="465"/>
      <c r="H25" s="465"/>
      <c r="I25" s="465"/>
      <c r="J25" s="465"/>
      <c r="K25" s="465"/>
      <c r="L25" s="465"/>
      <c r="M25" s="465"/>
      <c r="N25" s="466"/>
    </row>
    <row r="26" spans="1:14" x14ac:dyDescent="0.2">
      <c r="A26" s="116"/>
      <c r="B26" s="109"/>
      <c r="C26" s="465"/>
      <c r="D26" s="465"/>
      <c r="E26" s="465"/>
      <c r="F26" s="465"/>
      <c r="G26" s="465"/>
      <c r="H26" s="465"/>
      <c r="I26" s="465"/>
      <c r="J26" s="465"/>
      <c r="K26" s="465"/>
      <c r="L26" s="465"/>
      <c r="M26" s="465"/>
      <c r="N26" s="466"/>
    </row>
    <row r="27" spans="1:14" x14ac:dyDescent="0.2">
      <c r="A27" s="116"/>
      <c r="B27" s="109"/>
      <c r="C27" s="468"/>
      <c r="D27" s="468"/>
      <c r="E27" s="468"/>
      <c r="F27" s="468"/>
      <c r="G27" s="468"/>
      <c r="H27" s="468"/>
      <c r="I27" s="468"/>
      <c r="J27" s="468"/>
      <c r="K27" s="468"/>
      <c r="L27" s="468"/>
      <c r="M27" s="468"/>
      <c r="N27" s="469"/>
    </row>
    <row r="28" spans="1:14" x14ac:dyDescent="0.2">
      <c r="A28" s="116"/>
      <c r="B28" s="109"/>
      <c r="C28" s="468"/>
      <c r="D28" s="468"/>
      <c r="E28" s="468"/>
      <c r="F28" s="468"/>
      <c r="G28" s="468"/>
      <c r="H28" s="468"/>
      <c r="I28" s="468"/>
      <c r="J28" s="468"/>
      <c r="K28" s="468"/>
      <c r="L28" s="468"/>
      <c r="M28" s="468"/>
      <c r="N28" s="469"/>
    </row>
    <row r="29" spans="1:14" x14ac:dyDescent="0.2">
      <c r="A29" s="116"/>
      <c r="B29" s="109"/>
      <c r="C29" s="468"/>
      <c r="D29" s="468"/>
      <c r="E29" s="468"/>
      <c r="F29" s="468"/>
      <c r="G29" s="468"/>
      <c r="H29" s="468"/>
      <c r="I29" s="468"/>
      <c r="J29" s="468"/>
      <c r="K29" s="468"/>
      <c r="L29" s="468"/>
      <c r="M29" s="468"/>
      <c r="N29" s="469"/>
    </row>
    <row r="30" spans="1:14" x14ac:dyDescent="0.2">
      <c r="A30" s="116"/>
      <c r="B30" s="118" t="s">
        <v>426</v>
      </c>
      <c r="C30" s="119"/>
      <c r="D30" s="119"/>
      <c r="E30" s="120"/>
      <c r="F30" s="120"/>
      <c r="G30" s="120"/>
      <c r="H30" s="120"/>
      <c r="I30" s="120"/>
      <c r="J30" s="120"/>
      <c r="K30" s="120"/>
      <c r="L30" s="120"/>
      <c r="M30" s="120"/>
      <c r="N30" s="101"/>
    </row>
    <row r="31" spans="1:14" ht="13.5" thickBot="1" x14ac:dyDescent="0.25">
      <c r="A31" s="121"/>
      <c r="B31" s="118" t="s">
        <v>430</v>
      </c>
      <c r="C31" s="122"/>
      <c r="D31" s="122"/>
      <c r="E31" s="123"/>
      <c r="F31" s="123"/>
      <c r="G31" s="123"/>
      <c r="H31" s="123"/>
      <c r="I31" s="123"/>
      <c r="J31" s="123"/>
      <c r="K31" s="123"/>
      <c r="L31" s="123"/>
      <c r="M31" s="123"/>
      <c r="N31" s="104"/>
    </row>
    <row r="32" spans="1:14" x14ac:dyDescent="0.2">
      <c r="A32" s="116"/>
      <c r="B32" s="113" t="s">
        <v>263</v>
      </c>
      <c r="C32" s="119"/>
      <c r="D32" s="119"/>
      <c r="E32" s="120"/>
      <c r="F32" s="120"/>
      <c r="G32" s="120"/>
      <c r="H32" s="120"/>
      <c r="I32" s="120"/>
      <c r="J32" s="124" t="s">
        <v>1906</v>
      </c>
      <c r="K32" s="100" t="s">
        <v>1907</v>
      </c>
      <c r="L32" s="100" t="s">
        <v>1341</v>
      </c>
      <c r="M32" s="100"/>
      <c r="N32" s="100"/>
    </row>
    <row r="33" spans="1:14" ht="13.5" thickBot="1" x14ac:dyDescent="0.25">
      <c r="A33" s="121"/>
      <c r="B33" s="122"/>
      <c r="C33" s="122"/>
      <c r="D33" s="122"/>
      <c r="E33" s="123"/>
      <c r="F33" s="123"/>
      <c r="G33" s="123"/>
      <c r="H33" s="123"/>
      <c r="I33" s="123"/>
      <c r="J33" s="125" t="s">
        <v>1222</v>
      </c>
      <c r="K33" s="105" t="s">
        <v>832</v>
      </c>
      <c r="L33" s="105" t="s">
        <v>1908</v>
      </c>
      <c r="M33" s="105" t="s">
        <v>131</v>
      </c>
      <c r="N33" s="105"/>
    </row>
    <row r="34" spans="1:14" x14ac:dyDescent="0.2">
      <c r="A34" s="112"/>
      <c r="B34" s="467" t="s">
        <v>67</v>
      </c>
      <c r="C34" s="467"/>
      <c r="D34" s="467"/>
      <c r="E34" s="114"/>
      <c r="F34" s="114" t="s">
        <v>1180</v>
      </c>
      <c r="G34" s="114" t="s">
        <v>68</v>
      </c>
      <c r="H34" s="114" t="s">
        <v>702</v>
      </c>
      <c r="I34" s="114"/>
      <c r="J34" s="100">
        <f>96.5/ATHENS!O1*ATHENS!O2</f>
        <v>175.45454545454544</v>
      </c>
      <c r="K34" s="100">
        <f>107/ATHENS!O1*ATHENS!O2</f>
        <v>194.54545454545453</v>
      </c>
      <c r="L34" s="100">
        <f>117/ATHENS!O1*ATHENS!O2</f>
        <v>212.72727272727272</v>
      </c>
      <c r="M34" s="100">
        <f>158/ATHENS!O1*ATHENS!O2</f>
        <v>287.27272727272725</v>
      </c>
      <c r="N34" s="126"/>
    </row>
    <row r="35" spans="1:14" x14ac:dyDescent="0.2">
      <c r="A35" s="116"/>
      <c r="B35" s="461" t="s">
        <v>67</v>
      </c>
      <c r="C35" s="461"/>
      <c r="D35" s="461"/>
      <c r="E35" s="120"/>
      <c r="F35" s="120" t="s">
        <v>1181</v>
      </c>
      <c r="G35" s="120" t="s">
        <v>68</v>
      </c>
      <c r="H35" s="120" t="s">
        <v>702</v>
      </c>
      <c r="I35" s="120"/>
      <c r="J35" s="100">
        <f>53.5/ATHENS!O1*ATHENS!O2</f>
        <v>97.272727272727266</v>
      </c>
      <c r="K35" s="100">
        <f>59.5/ATHENS!O1*ATHENS!O2</f>
        <v>108.18181818181817</v>
      </c>
      <c r="L35" s="100">
        <f>72.5/ATHENS!O1*ATHENS!O2</f>
        <v>131.81818181818181</v>
      </c>
      <c r="M35" s="100">
        <f>87.5/ATHENS!O1*ATHENS!O2</f>
        <v>159.09090909090907</v>
      </c>
      <c r="N35" s="100"/>
    </row>
    <row r="36" spans="1:14" ht="13.5" thickBot="1" x14ac:dyDescent="0.25">
      <c r="A36" s="116"/>
      <c r="B36" s="460" t="s">
        <v>67</v>
      </c>
      <c r="C36" s="460"/>
      <c r="D36" s="460"/>
      <c r="E36" s="123"/>
      <c r="F36" s="123" t="s">
        <v>1182</v>
      </c>
      <c r="G36" s="123" t="s">
        <v>68</v>
      </c>
      <c r="H36" s="123" t="s">
        <v>702</v>
      </c>
      <c r="I36" s="120"/>
      <c r="J36" s="100">
        <f>48.5/ATHENS!O1*ATHENS!O2</f>
        <v>88.181818181818173</v>
      </c>
      <c r="K36" s="100">
        <f>53.5/ATHENS!O1*ATHENS!O2</f>
        <v>97.272727272727266</v>
      </c>
      <c r="L36" s="100">
        <f>65.5/ATHENS!O1*ATHENS!O2</f>
        <v>119.09090909090908</v>
      </c>
      <c r="M36" s="100">
        <f>78.75/ATHENS!O1*ATHENS!O2</f>
        <v>143.18181818181816</v>
      </c>
      <c r="N36" s="100"/>
    </row>
    <row r="37" spans="1:14" ht="13.5" thickBot="1" x14ac:dyDescent="0.25">
      <c r="A37" s="121"/>
      <c r="B37" s="460" t="s">
        <v>902</v>
      </c>
      <c r="C37" s="460"/>
      <c r="D37" s="460"/>
      <c r="E37" s="123"/>
      <c r="F37" s="123"/>
      <c r="G37" s="123"/>
      <c r="H37" s="123" t="s">
        <v>702</v>
      </c>
      <c r="I37" s="123"/>
      <c r="J37" s="105">
        <f>24/ATHENS!O1*ATHENS!O2</f>
        <v>43.636363636363633</v>
      </c>
      <c r="K37" s="105">
        <f>24/ATHENS!O1*ATHENS!O2</f>
        <v>43.636363636363633</v>
      </c>
      <c r="L37" s="105">
        <f>24/ATHENS!O1*ATHENS!O2</f>
        <v>43.636363636363633</v>
      </c>
      <c r="M37" s="105">
        <f>24/ATHENS!O1*ATHENS!O2</f>
        <v>43.636363636363633</v>
      </c>
      <c r="N37" s="105"/>
    </row>
    <row r="38" spans="1:14" x14ac:dyDescent="0.2">
      <c r="A38" s="108"/>
      <c r="B38" s="109"/>
      <c r="C38" s="109"/>
      <c r="D38" s="109"/>
      <c r="E38" s="110"/>
      <c r="F38" s="110"/>
      <c r="G38" s="110"/>
      <c r="H38" s="110"/>
      <c r="I38" s="110"/>
      <c r="J38" s="110"/>
      <c r="K38" s="110"/>
      <c r="L38" s="110"/>
      <c r="M38" s="110"/>
      <c r="N38" s="110"/>
    </row>
  </sheetData>
  <customSheetViews>
    <customSheetView guid="{3C76061C-A85D-4390-B9DB-73E13038638C}" showPageBreaks="1" showGridLines="0" view="pageLayout">
      <selection activeCell="M51" sqref="M51"/>
      <pageMargins left="0.28125" right="0.25" top="0.6692913385826772" bottom="0.70866141732283472" header="0.23622047244094491" footer="0.47244094488188981"/>
      <printOptions horizontalCentered="1"/>
      <pageSetup paperSize="9" firstPageNumber="59"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11">
    <mergeCell ref="B3:M3"/>
    <mergeCell ref="B16:D16"/>
    <mergeCell ref="B17:D17"/>
    <mergeCell ref="B35:D35"/>
    <mergeCell ref="C6:N11"/>
    <mergeCell ref="B36:D36"/>
    <mergeCell ref="B37:D37"/>
    <mergeCell ref="B18:D18"/>
    <mergeCell ref="B22:M22"/>
    <mergeCell ref="B34:D34"/>
    <mergeCell ref="C25:N29"/>
  </mergeCells>
  <phoneticPr fontId="17" type="noConversion"/>
  <hyperlinks>
    <hyperlink ref="B3:M3" r:id="rId2" display="Club Hotel Casino Loutraki" xr:uid="{00000000-0004-0000-1700-000000000000}"/>
    <hyperlink ref="B22:M22" r:id="rId3" display="Poseidon Resort" xr:uid="{00000000-0004-0000-1700-000001000000}"/>
  </hyperlinks>
  <printOptions horizontalCentered="1"/>
  <pageMargins left="0.28125" right="0.25" top="0.6692913385826772" bottom="0.70866141732283472" header="0.23622047244094491" footer="0.47244094488188981"/>
  <pageSetup paperSize="9" firstPageNumber="59" orientation="portrait" useFirstPageNumber="1" horizontalDpi="300" verticalDpi="300" r:id="rId4"/>
  <headerFooter scaleWithDoc="0" alignWithMargins="0">
    <oddHeader xml:space="preserve">&amp;C TARIFF 2021
 (EURO)
</oddHeader>
    <oddFooter>&amp;LAll rates are in EURO&amp;C
TARIFF 2021
&amp;RPage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dimension ref="A1:Y491"/>
  <sheetViews>
    <sheetView showGridLines="0" view="pageLayout" topLeftCell="A478" zoomScaleSheetLayoutView="85" workbookViewId="0">
      <selection activeCell="M53" sqref="M53"/>
    </sheetView>
  </sheetViews>
  <sheetFormatPr defaultRowHeight="12.75" x14ac:dyDescent="0.2"/>
  <cols>
    <col min="1" max="1" width="1.85546875" style="140" customWidth="1"/>
    <col min="2" max="3" width="10.7109375" style="140" customWidth="1"/>
    <col min="4" max="9" width="3.7109375" style="140" customWidth="1"/>
    <col min="10" max="14" width="10.7109375" style="140" customWidth="1"/>
    <col min="15" max="15" width="9.5703125" style="140" customWidth="1"/>
    <col min="16" max="27" width="2.7109375" style="140" customWidth="1"/>
    <col min="28" max="16384" width="9.140625" style="140"/>
  </cols>
  <sheetData>
    <row r="1" spans="1:14" s="111" customFormat="1" ht="13.5" thickBot="1" x14ac:dyDescent="0.25">
      <c r="A1" s="108"/>
      <c r="B1" s="109"/>
      <c r="C1" s="109"/>
      <c r="D1" s="109"/>
      <c r="E1" s="110"/>
      <c r="F1" s="110"/>
      <c r="G1" s="110"/>
      <c r="H1" s="110"/>
      <c r="I1" s="110"/>
      <c r="J1" s="110"/>
      <c r="K1" s="110"/>
      <c r="L1" s="110"/>
      <c r="M1" s="110"/>
      <c r="N1" s="110"/>
    </row>
    <row r="2" spans="1:14" s="111" customFormat="1" x14ac:dyDescent="0.2">
      <c r="A2" s="112"/>
      <c r="B2" s="113"/>
      <c r="C2" s="113"/>
      <c r="D2" s="113"/>
      <c r="E2" s="114"/>
      <c r="F2" s="114"/>
      <c r="G2" s="114"/>
      <c r="H2" s="114"/>
      <c r="I2" s="114"/>
      <c r="J2" s="114"/>
      <c r="K2" s="114"/>
      <c r="L2" s="114"/>
      <c r="M2" s="114"/>
      <c r="N2" s="115"/>
    </row>
    <row r="3" spans="1:14" s="111" customFormat="1" ht="15" x14ac:dyDescent="0.2">
      <c r="A3" s="116"/>
      <c r="B3" s="462" t="s">
        <v>708</v>
      </c>
      <c r="C3" s="463"/>
      <c r="D3" s="463"/>
      <c r="E3" s="463"/>
      <c r="F3" s="463"/>
      <c r="G3" s="463"/>
      <c r="H3" s="463"/>
      <c r="I3" s="463"/>
      <c r="J3" s="463"/>
      <c r="K3" s="463"/>
      <c r="L3" s="463"/>
      <c r="M3" s="464"/>
      <c r="N3" s="117" t="s">
        <v>904</v>
      </c>
    </row>
    <row r="4" spans="1:14" s="111" customFormat="1" x14ac:dyDescent="0.2">
      <c r="A4" s="116"/>
      <c r="B4" s="118" t="s">
        <v>428</v>
      </c>
      <c r="C4" s="119" t="s">
        <v>876</v>
      </c>
      <c r="D4" s="119"/>
      <c r="E4" s="120"/>
      <c r="F4" s="120"/>
      <c r="G4" s="120"/>
      <c r="H4" s="120"/>
      <c r="I4" s="120"/>
      <c r="J4" s="120"/>
      <c r="K4" s="120"/>
      <c r="L4" s="120"/>
      <c r="M4" s="120"/>
      <c r="N4" s="101"/>
    </row>
    <row r="5" spans="1:14" s="111" customFormat="1" x14ac:dyDescent="0.2">
      <c r="A5" s="116"/>
      <c r="B5" s="118" t="s">
        <v>429</v>
      </c>
      <c r="C5" s="119" t="s">
        <v>119</v>
      </c>
      <c r="D5" s="119"/>
      <c r="E5" s="120"/>
      <c r="F5" s="120"/>
      <c r="G5" s="120"/>
      <c r="H5" s="120"/>
      <c r="I5" s="120"/>
      <c r="J5" s="120"/>
      <c r="K5" s="120"/>
      <c r="L5" s="120"/>
      <c r="M5" s="120"/>
      <c r="N5" s="101"/>
    </row>
    <row r="6" spans="1:14" s="111" customFormat="1" x14ac:dyDescent="0.2">
      <c r="A6" s="116"/>
      <c r="B6" s="118" t="s">
        <v>427</v>
      </c>
      <c r="C6" s="465" t="s">
        <v>1307</v>
      </c>
      <c r="D6" s="465"/>
      <c r="E6" s="465"/>
      <c r="F6" s="465"/>
      <c r="G6" s="465"/>
      <c r="H6" s="465"/>
      <c r="I6" s="465"/>
      <c r="J6" s="465"/>
      <c r="K6" s="465"/>
      <c r="L6" s="465"/>
      <c r="M6" s="465"/>
      <c r="N6" s="466"/>
    </row>
    <row r="7" spans="1:14" s="111" customFormat="1" x14ac:dyDescent="0.2">
      <c r="A7" s="116"/>
      <c r="B7" s="109"/>
      <c r="C7" s="465"/>
      <c r="D7" s="465"/>
      <c r="E7" s="465"/>
      <c r="F7" s="465"/>
      <c r="G7" s="465"/>
      <c r="H7" s="465"/>
      <c r="I7" s="465"/>
      <c r="J7" s="465"/>
      <c r="K7" s="465"/>
      <c r="L7" s="465"/>
      <c r="M7" s="465"/>
      <c r="N7" s="466"/>
    </row>
    <row r="8" spans="1:14" s="111" customFormat="1" x14ac:dyDescent="0.2">
      <c r="A8" s="116"/>
      <c r="B8" s="109"/>
      <c r="C8" s="468"/>
      <c r="D8" s="468"/>
      <c r="E8" s="468"/>
      <c r="F8" s="468"/>
      <c r="G8" s="468"/>
      <c r="H8" s="468"/>
      <c r="I8" s="468"/>
      <c r="J8" s="468"/>
      <c r="K8" s="468"/>
      <c r="L8" s="468"/>
      <c r="M8" s="468"/>
      <c r="N8" s="469"/>
    </row>
    <row r="9" spans="1:14" s="111" customFormat="1" x14ac:dyDescent="0.2">
      <c r="A9" s="116"/>
      <c r="B9" s="118" t="s">
        <v>426</v>
      </c>
      <c r="C9" s="119" t="s">
        <v>490</v>
      </c>
      <c r="D9" s="119"/>
      <c r="E9" s="120"/>
      <c r="F9" s="120"/>
      <c r="G9" s="120"/>
      <c r="H9" s="120"/>
      <c r="I9" s="120"/>
      <c r="J9" s="120"/>
      <c r="K9" s="120"/>
      <c r="L9" s="120"/>
      <c r="M9" s="120"/>
      <c r="N9" s="101"/>
    </row>
    <row r="10" spans="1:14" s="111" customFormat="1" ht="13.5" thickBot="1" x14ac:dyDescent="0.25">
      <c r="A10" s="121"/>
      <c r="B10" s="118" t="s">
        <v>430</v>
      </c>
      <c r="C10" s="122" t="s">
        <v>491</v>
      </c>
      <c r="D10" s="122"/>
      <c r="E10" s="123"/>
      <c r="F10" s="123"/>
      <c r="G10" s="123"/>
      <c r="H10" s="123"/>
      <c r="I10" s="123"/>
      <c r="J10" s="123"/>
      <c r="K10" s="123"/>
      <c r="L10" s="123"/>
      <c r="M10" s="123"/>
      <c r="N10" s="104"/>
    </row>
    <row r="11" spans="1:14" s="111" customFormat="1" x14ac:dyDescent="0.2">
      <c r="A11" s="116"/>
      <c r="B11" s="113" t="s">
        <v>263</v>
      </c>
      <c r="C11" s="119"/>
      <c r="D11" s="119"/>
      <c r="E11" s="120"/>
      <c r="F11" s="120"/>
      <c r="G11" s="120"/>
      <c r="H11" s="120"/>
      <c r="I11" s="120"/>
      <c r="J11" s="124" t="s">
        <v>85</v>
      </c>
      <c r="K11" s="100" t="s">
        <v>246</v>
      </c>
      <c r="L11" s="100" t="s">
        <v>1623</v>
      </c>
      <c r="M11" s="100"/>
      <c r="N11" s="100"/>
    </row>
    <row r="12" spans="1:14" s="111" customFormat="1" ht="13.5" thickBot="1" x14ac:dyDescent="0.25">
      <c r="A12" s="121"/>
      <c r="B12" s="122"/>
      <c r="C12" s="122"/>
      <c r="D12" s="122"/>
      <c r="E12" s="123"/>
      <c r="F12" s="123"/>
      <c r="G12" s="123"/>
      <c r="H12" s="123"/>
      <c r="I12" s="123"/>
      <c r="J12" s="125" t="s">
        <v>1578</v>
      </c>
      <c r="K12" s="105" t="s">
        <v>282</v>
      </c>
      <c r="L12" s="105" t="s">
        <v>341</v>
      </c>
      <c r="M12" s="105" t="s">
        <v>2032</v>
      </c>
      <c r="N12" s="105"/>
    </row>
    <row r="13" spans="1:14" s="111" customFormat="1" x14ac:dyDescent="0.2">
      <c r="A13" s="112"/>
      <c r="B13" s="467" t="s">
        <v>67</v>
      </c>
      <c r="C13" s="467"/>
      <c r="D13" s="467"/>
      <c r="E13" s="114"/>
      <c r="F13" s="114" t="s">
        <v>1180</v>
      </c>
      <c r="G13" s="114" t="s">
        <v>68</v>
      </c>
      <c r="H13" s="114" t="s">
        <v>702</v>
      </c>
      <c r="I13" s="114"/>
      <c r="J13" s="100">
        <f>186.92/ATHENS!O1*ATHENS!O2</f>
        <v>339.85454545454542</v>
      </c>
      <c r="K13" s="100">
        <f>336.78/ATHENS!O1*ATHENS!O2</f>
        <v>612.32727272727266</v>
      </c>
      <c r="L13" s="100">
        <f>414/ATHENS!O1*ATHENS!O2</f>
        <v>752.72727272727263</v>
      </c>
      <c r="M13" s="100">
        <f>577.5/ATHENS!O1*ATHENS!O2</f>
        <v>1050</v>
      </c>
      <c r="N13" s="126"/>
    </row>
    <row r="14" spans="1:14" s="111" customFormat="1" x14ac:dyDescent="0.2">
      <c r="A14" s="116"/>
      <c r="B14" s="461" t="s">
        <v>67</v>
      </c>
      <c r="C14" s="461"/>
      <c r="D14" s="461"/>
      <c r="E14" s="120"/>
      <c r="F14" s="120" t="s">
        <v>1181</v>
      </c>
      <c r="G14" s="120" t="s">
        <v>68</v>
      </c>
      <c r="H14" s="120" t="s">
        <v>702</v>
      </c>
      <c r="I14" s="120"/>
      <c r="J14" s="100">
        <f>93.5/ATHENS!O1*ATHENS!O2</f>
        <v>170</v>
      </c>
      <c r="K14" s="100">
        <f>168.5/ATHENS!O1*ATHENS!O2</f>
        <v>306.36363636363632</v>
      </c>
      <c r="L14" s="100">
        <f>207/ATHENS!O1*ATHENS!O2</f>
        <v>376.36363636363632</v>
      </c>
      <c r="M14" s="100">
        <f>289/ATHENS!O1*ATHENS!O2</f>
        <v>525.45454545454538</v>
      </c>
      <c r="N14" s="100"/>
    </row>
    <row r="15" spans="1:14" s="111" customFormat="1" ht="13.5" thickBot="1" x14ac:dyDescent="0.25">
      <c r="A15" s="121"/>
      <c r="B15" s="460" t="s">
        <v>67</v>
      </c>
      <c r="C15" s="460"/>
      <c r="D15" s="460"/>
      <c r="E15" s="123"/>
      <c r="F15" s="123" t="s">
        <v>1182</v>
      </c>
      <c r="G15" s="123" t="s">
        <v>68</v>
      </c>
      <c r="H15" s="123" t="s">
        <v>702</v>
      </c>
      <c r="I15" s="123"/>
      <c r="J15" s="105">
        <f>86.8/ATHENS!O1*ATHENS!O2</f>
        <v>157.81818181818181</v>
      </c>
      <c r="K15" s="105">
        <f>136.76/ATHENS!O1*ATHENS!O2</f>
        <v>248.65454545454543</v>
      </c>
      <c r="L15" s="105">
        <f>174.8/ATHENS!O1*ATHENS!O2</f>
        <v>317.81818181818181</v>
      </c>
      <c r="M15" s="105">
        <f>241.6/ATHENS!O1*ATHENS!O2</f>
        <v>439.27272727272725</v>
      </c>
      <c r="N15" s="105"/>
    </row>
    <row r="16" spans="1:14" s="111" customFormat="1" ht="13.5" thickBot="1" x14ac:dyDescent="0.25">
      <c r="A16" s="108"/>
      <c r="B16" s="109"/>
      <c r="C16" s="109"/>
      <c r="D16" s="109"/>
      <c r="E16" s="110"/>
      <c r="F16" s="110"/>
      <c r="G16" s="110"/>
      <c r="H16" s="110"/>
      <c r="I16" s="110"/>
      <c r="J16" s="110"/>
      <c r="K16" s="110"/>
      <c r="L16" s="110"/>
      <c r="M16" s="110"/>
      <c r="N16" s="110"/>
    </row>
    <row r="17" spans="1:14" s="111" customFormat="1" x14ac:dyDescent="0.2">
      <c r="A17" s="112"/>
      <c r="B17" s="113"/>
      <c r="C17" s="113"/>
      <c r="D17" s="113"/>
      <c r="E17" s="114"/>
      <c r="F17" s="114"/>
      <c r="G17" s="114"/>
      <c r="H17" s="114"/>
      <c r="I17" s="114"/>
      <c r="J17" s="114"/>
      <c r="K17" s="114"/>
      <c r="L17" s="114"/>
      <c r="M17" s="114"/>
      <c r="N17" s="115"/>
    </row>
    <row r="18" spans="1:14" s="111" customFormat="1" ht="15" x14ac:dyDescent="0.2">
      <c r="A18" s="116"/>
      <c r="B18" s="462" t="s">
        <v>877</v>
      </c>
      <c r="C18" s="463"/>
      <c r="D18" s="463"/>
      <c r="E18" s="463"/>
      <c r="F18" s="463"/>
      <c r="G18" s="463"/>
      <c r="H18" s="463"/>
      <c r="I18" s="463"/>
      <c r="J18" s="463"/>
      <c r="K18" s="463"/>
      <c r="L18" s="463"/>
      <c r="M18" s="464"/>
      <c r="N18" s="117" t="s">
        <v>904</v>
      </c>
    </row>
    <row r="19" spans="1:14" s="111" customFormat="1" x14ac:dyDescent="0.2">
      <c r="A19" s="116"/>
      <c r="B19" s="118" t="s">
        <v>428</v>
      </c>
      <c r="C19" s="119" t="s">
        <v>558</v>
      </c>
      <c r="D19" s="119"/>
      <c r="E19" s="120"/>
      <c r="F19" s="120"/>
      <c r="G19" s="120"/>
      <c r="H19" s="120"/>
      <c r="I19" s="120"/>
      <c r="J19" s="120"/>
      <c r="K19" s="120"/>
      <c r="L19" s="120"/>
      <c r="M19" s="120"/>
      <c r="N19" s="101"/>
    </row>
    <row r="20" spans="1:14" s="111" customFormat="1" x14ac:dyDescent="0.2">
      <c r="A20" s="116"/>
      <c r="B20" s="118" t="s">
        <v>429</v>
      </c>
      <c r="C20" s="119" t="s">
        <v>725</v>
      </c>
      <c r="D20" s="119"/>
      <c r="E20" s="120"/>
      <c r="F20" s="120"/>
      <c r="G20" s="120"/>
      <c r="H20" s="120"/>
      <c r="I20" s="120"/>
      <c r="J20" s="120"/>
      <c r="K20" s="120"/>
      <c r="L20" s="120"/>
      <c r="M20" s="120"/>
      <c r="N20" s="101"/>
    </row>
    <row r="21" spans="1:14" s="111" customFormat="1" x14ac:dyDescent="0.2">
      <c r="A21" s="116"/>
      <c r="B21" s="118" t="s">
        <v>427</v>
      </c>
      <c r="C21" s="465" t="s">
        <v>1308</v>
      </c>
      <c r="D21" s="465"/>
      <c r="E21" s="465"/>
      <c r="F21" s="465"/>
      <c r="G21" s="465"/>
      <c r="H21" s="465"/>
      <c r="I21" s="465"/>
      <c r="J21" s="465"/>
      <c r="K21" s="465"/>
      <c r="L21" s="465"/>
      <c r="M21" s="465"/>
      <c r="N21" s="466"/>
    </row>
    <row r="22" spans="1:14" s="111" customFormat="1" x14ac:dyDescent="0.2">
      <c r="A22" s="116"/>
      <c r="B22" s="118"/>
      <c r="C22" s="465"/>
      <c r="D22" s="465"/>
      <c r="E22" s="465"/>
      <c r="F22" s="465"/>
      <c r="G22" s="465"/>
      <c r="H22" s="465"/>
      <c r="I22" s="465"/>
      <c r="J22" s="465"/>
      <c r="K22" s="465"/>
      <c r="L22" s="465"/>
      <c r="M22" s="465"/>
      <c r="N22" s="466"/>
    </row>
    <row r="23" spans="1:14" s="111" customFormat="1" x14ac:dyDescent="0.2">
      <c r="A23" s="116"/>
      <c r="B23" s="118"/>
      <c r="C23" s="468"/>
      <c r="D23" s="468"/>
      <c r="E23" s="468"/>
      <c r="F23" s="468"/>
      <c r="G23" s="468"/>
      <c r="H23" s="468"/>
      <c r="I23" s="468"/>
      <c r="J23" s="468"/>
      <c r="K23" s="468"/>
      <c r="L23" s="468"/>
      <c r="M23" s="468"/>
      <c r="N23" s="469"/>
    </row>
    <row r="24" spans="1:14" s="111" customFormat="1" x14ac:dyDescent="0.2">
      <c r="A24" s="116"/>
      <c r="B24" s="118" t="s">
        <v>426</v>
      </c>
      <c r="C24" s="119" t="s">
        <v>1220</v>
      </c>
      <c r="D24" s="119"/>
      <c r="E24" s="120"/>
      <c r="F24" s="120"/>
      <c r="G24" s="120"/>
      <c r="H24" s="120"/>
      <c r="I24" s="120"/>
      <c r="J24" s="120"/>
      <c r="K24" s="120"/>
      <c r="L24" s="120"/>
      <c r="M24" s="120"/>
      <c r="N24" s="101"/>
    </row>
    <row r="25" spans="1:14" s="111" customFormat="1" ht="13.5" thickBot="1" x14ac:dyDescent="0.25">
      <c r="A25" s="116"/>
      <c r="B25" s="118" t="s">
        <v>430</v>
      </c>
      <c r="C25" s="119"/>
      <c r="D25" s="119"/>
      <c r="E25" s="120"/>
      <c r="F25" s="120"/>
      <c r="G25" s="120"/>
      <c r="H25" s="120"/>
      <c r="I25" s="120"/>
      <c r="J25" s="120"/>
      <c r="K25" s="120"/>
      <c r="L25" s="120"/>
      <c r="M25" s="120"/>
      <c r="N25" s="101"/>
    </row>
    <row r="26" spans="1:14" s="111" customFormat="1" x14ac:dyDescent="0.2">
      <c r="A26" s="112"/>
      <c r="B26" s="113" t="s">
        <v>263</v>
      </c>
      <c r="C26" s="113"/>
      <c r="D26" s="113"/>
      <c r="E26" s="114"/>
      <c r="F26" s="114"/>
      <c r="G26" s="114"/>
      <c r="H26" s="114"/>
      <c r="I26" s="114"/>
      <c r="J26" s="127" t="s">
        <v>2033</v>
      </c>
      <c r="K26" s="126" t="s">
        <v>2035</v>
      </c>
      <c r="L26" s="126" t="s">
        <v>2037</v>
      </c>
      <c r="M26" s="126"/>
      <c r="N26" s="126"/>
    </row>
    <row r="27" spans="1:14" s="111" customFormat="1" ht="13.5" thickBot="1" x14ac:dyDescent="0.25">
      <c r="A27" s="121"/>
      <c r="B27" s="122"/>
      <c r="C27" s="122"/>
      <c r="D27" s="122"/>
      <c r="E27" s="123"/>
      <c r="F27" s="123"/>
      <c r="G27" s="123"/>
      <c r="H27" s="123"/>
      <c r="I27" s="123"/>
      <c r="J27" s="125" t="s">
        <v>2034</v>
      </c>
      <c r="K27" s="105" t="s">
        <v>2036</v>
      </c>
      <c r="L27" s="105" t="s">
        <v>2038</v>
      </c>
      <c r="M27" s="105" t="s">
        <v>399</v>
      </c>
      <c r="N27" s="105"/>
    </row>
    <row r="28" spans="1:14" s="111" customFormat="1" x14ac:dyDescent="0.2">
      <c r="A28" s="112"/>
      <c r="B28" s="467" t="s">
        <v>67</v>
      </c>
      <c r="C28" s="467"/>
      <c r="D28" s="467"/>
      <c r="E28" s="114"/>
      <c r="F28" s="114" t="s">
        <v>1180</v>
      </c>
      <c r="G28" s="114" t="s">
        <v>68</v>
      </c>
      <c r="H28" s="114" t="s">
        <v>702</v>
      </c>
      <c r="I28" s="114"/>
      <c r="J28" s="126">
        <f>281.5/ATHENS!O1*ATHENS!O2</f>
        <v>511.81818181818176</v>
      </c>
      <c r="K28" s="126">
        <f>407.5/ATHENS!O1*ATHENS!O2</f>
        <v>740.90909090909088</v>
      </c>
      <c r="L28" s="126">
        <f>494.5/ATHENS!O1*ATHENS!O2</f>
        <v>899.09090909090901</v>
      </c>
      <c r="M28" s="126">
        <f>570.5/ATHENS!O1*ATHENS!O2</f>
        <v>1037.2727272727273</v>
      </c>
      <c r="N28" s="126"/>
    </row>
    <row r="29" spans="1:14" s="111" customFormat="1" ht="13.5" thickBot="1" x14ac:dyDescent="0.25">
      <c r="A29" s="121"/>
      <c r="B29" s="460" t="s">
        <v>67</v>
      </c>
      <c r="C29" s="460"/>
      <c r="D29" s="460"/>
      <c r="E29" s="123"/>
      <c r="F29" s="123" t="s">
        <v>1181</v>
      </c>
      <c r="G29" s="123" t="s">
        <v>68</v>
      </c>
      <c r="H29" s="123" t="s">
        <v>702</v>
      </c>
      <c r="I29" s="123"/>
      <c r="J29" s="105">
        <f>141/ATHENS!O1*ATHENS!O2</f>
        <v>256.36363636363632</v>
      </c>
      <c r="K29" s="105">
        <f>203.5/ATHENS!O1*ATHENS!O2</f>
        <v>369.99999999999994</v>
      </c>
      <c r="L29" s="105">
        <f>247.5/ATHENS!O1*ATHENS!O2</f>
        <v>449.99999999999994</v>
      </c>
      <c r="M29" s="105">
        <f>285.5/ATHENS!O1*ATHENS!O2</f>
        <v>519.09090909090901</v>
      </c>
      <c r="N29" s="105"/>
    </row>
    <row r="30" spans="1:14" s="111" customFormat="1" ht="13.5" thickBot="1" x14ac:dyDescent="0.25">
      <c r="A30" s="108"/>
      <c r="B30" s="109"/>
      <c r="C30" s="109"/>
      <c r="D30" s="109"/>
      <c r="E30" s="110"/>
      <c r="F30" s="110"/>
      <c r="G30" s="110"/>
      <c r="H30" s="110"/>
      <c r="I30" s="110"/>
      <c r="J30" s="110"/>
      <c r="K30" s="110"/>
      <c r="L30" s="110"/>
      <c r="M30" s="110"/>
      <c r="N30" s="110"/>
    </row>
    <row r="31" spans="1:14" s="111" customFormat="1" x14ac:dyDescent="0.2">
      <c r="A31" s="112"/>
      <c r="B31" s="113"/>
      <c r="C31" s="113"/>
      <c r="D31" s="113"/>
      <c r="E31" s="114"/>
      <c r="F31" s="114"/>
      <c r="G31" s="114"/>
      <c r="H31" s="114"/>
      <c r="I31" s="114"/>
      <c r="J31" s="114"/>
      <c r="K31" s="114"/>
      <c r="L31" s="114"/>
      <c r="M31" s="114"/>
      <c r="N31" s="115"/>
    </row>
    <row r="32" spans="1:14" s="111" customFormat="1" ht="15" x14ac:dyDescent="0.2">
      <c r="A32" s="116"/>
      <c r="B32" s="462" t="s">
        <v>743</v>
      </c>
      <c r="C32" s="463"/>
      <c r="D32" s="463"/>
      <c r="E32" s="463"/>
      <c r="F32" s="463"/>
      <c r="G32" s="463"/>
      <c r="H32" s="463"/>
      <c r="I32" s="463"/>
      <c r="J32" s="463"/>
      <c r="K32" s="463"/>
      <c r="L32" s="463"/>
      <c r="M32" s="464"/>
      <c r="N32" s="117" t="s">
        <v>904</v>
      </c>
    </row>
    <row r="33" spans="1:14" s="111" customFormat="1" x14ac:dyDescent="0.2">
      <c r="A33" s="116"/>
      <c r="B33" s="118" t="s">
        <v>428</v>
      </c>
      <c r="C33" s="119" t="s">
        <v>575</v>
      </c>
      <c r="D33" s="119"/>
      <c r="E33" s="120"/>
      <c r="F33" s="120"/>
      <c r="G33" s="120"/>
      <c r="H33" s="120"/>
      <c r="I33" s="120"/>
      <c r="J33" s="120"/>
      <c r="K33" s="120"/>
      <c r="L33" s="120"/>
      <c r="M33" s="120"/>
      <c r="N33" s="101"/>
    </row>
    <row r="34" spans="1:14" s="111" customFormat="1" x14ac:dyDescent="0.2">
      <c r="A34" s="116"/>
      <c r="B34" s="118" t="s">
        <v>429</v>
      </c>
      <c r="C34" s="119" t="s">
        <v>823</v>
      </c>
      <c r="D34" s="119"/>
      <c r="E34" s="120"/>
      <c r="F34" s="120"/>
      <c r="G34" s="120"/>
      <c r="H34" s="120"/>
      <c r="I34" s="120"/>
      <c r="J34" s="120"/>
      <c r="K34" s="120"/>
      <c r="L34" s="120"/>
      <c r="M34" s="120"/>
      <c r="N34" s="101"/>
    </row>
    <row r="35" spans="1:14" s="111" customFormat="1" x14ac:dyDescent="0.2">
      <c r="A35" s="116"/>
      <c r="B35" s="118" t="s">
        <v>427</v>
      </c>
      <c r="C35" s="465" t="s">
        <v>1309</v>
      </c>
      <c r="D35" s="465"/>
      <c r="E35" s="465"/>
      <c r="F35" s="465"/>
      <c r="G35" s="465"/>
      <c r="H35" s="465"/>
      <c r="I35" s="465"/>
      <c r="J35" s="465"/>
      <c r="K35" s="465"/>
      <c r="L35" s="465"/>
      <c r="M35" s="465"/>
      <c r="N35" s="466"/>
    </row>
    <row r="36" spans="1:14" s="111" customFormat="1" x14ac:dyDescent="0.2">
      <c r="A36" s="116"/>
      <c r="B36" s="109"/>
      <c r="C36" s="465"/>
      <c r="D36" s="465"/>
      <c r="E36" s="465"/>
      <c r="F36" s="465"/>
      <c r="G36" s="465"/>
      <c r="H36" s="465"/>
      <c r="I36" s="465"/>
      <c r="J36" s="465"/>
      <c r="K36" s="465"/>
      <c r="L36" s="465"/>
      <c r="M36" s="465"/>
      <c r="N36" s="466"/>
    </row>
    <row r="37" spans="1:14" s="111" customFormat="1" x14ac:dyDescent="0.2">
      <c r="A37" s="116"/>
      <c r="B37" s="109"/>
      <c r="C37" s="465"/>
      <c r="D37" s="465"/>
      <c r="E37" s="465"/>
      <c r="F37" s="465"/>
      <c r="G37" s="465"/>
      <c r="H37" s="465"/>
      <c r="I37" s="465"/>
      <c r="J37" s="465"/>
      <c r="K37" s="465"/>
      <c r="L37" s="465"/>
      <c r="M37" s="465"/>
      <c r="N37" s="466"/>
    </row>
    <row r="38" spans="1:14" s="111" customFormat="1" x14ac:dyDescent="0.2">
      <c r="A38" s="116"/>
      <c r="B38" s="109"/>
      <c r="C38" s="468"/>
      <c r="D38" s="468"/>
      <c r="E38" s="468"/>
      <c r="F38" s="468"/>
      <c r="G38" s="468"/>
      <c r="H38" s="468"/>
      <c r="I38" s="468"/>
      <c r="J38" s="468"/>
      <c r="K38" s="468"/>
      <c r="L38" s="468"/>
      <c r="M38" s="468"/>
      <c r="N38" s="469"/>
    </row>
    <row r="39" spans="1:14" s="111" customFormat="1" x14ac:dyDescent="0.2">
      <c r="A39" s="116"/>
      <c r="B39" s="109"/>
      <c r="C39" s="468"/>
      <c r="D39" s="468"/>
      <c r="E39" s="468"/>
      <c r="F39" s="468"/>
      <c r="G39" s="468"/>
      <c r="H39" s="468"/>
      <c r="I39" s="468"/>
      <c r="J39" s="468"/>
      <c r="K39" s="468"/>
      <c r="L39" s="468"/>
      <c r="M39" s="468"/>
      <c r="N39" s="469"/>
    </row>
    <row r="40" spans="1:14" s="111" customFormat="1" x14ac:dyDescent="0.2">
      <c r="A40" s="116"/>
      <c r="B40" s="118" t="s">
        <v>426</v>
      </c>
      <c r="C40" s="119" t="s">
        <v>415</v>
      </c>
      <c r="D40" s="119"/>
      <c r="E40" s="120"/>
      <c r="F40" s="120"/>
      <c r="G40" s="120"/>
      <c r="H40" s="120"/>
      <c r="I40" s="120"/>
      <c r="J40" s="120"/>
      <c r="K40" s="120"/>
      <c r="L40" s="120"/>
      <c r="M40" s="120"/>
      <c r="N40" s="101"/>
    </row>
    <row r="41" spans="1:14" s="111" customFormat="1" ht="13.5" thickBot="1" x14ac:dyDescent="0.25">
      <c r="A41" s="116"/>
      <c r="B41" s="118" t="s">
        <v>430</v>
      </c>
      <c r="C41" s="119"/>
      <c r="D41" s="119"/>
      <c r="E41" s="120"/>
      <c r="F41" s="120"/>
      <c r="G41" s="120"/>
      <c r="H41" s="120"/>
      <c r="I41" s="120"/>
      <c r="J41" s="120"/>
      <c r="K41" s="120"/>
      <c r="L41" s="120"/>
      <c r="M41" s="120"/>
      <c r="N41" s="101"/>
    </row>
    <row r="42" spans="1:14" s="111" customFormat="1" x14ac:dyDescent="0.2">
      <c r="A42" s="112"/>
      <c r="B42" s="113" t="s">
        <v>263</v>
      </c>
      <c r="C42" s="113"/>
      <c r="D42" s="113"/>
      <c r="E42" s="114"/>
      <c r="F42" s="114"/>
      <c r="G42" s="114"/>
      <c r="H42" s="114"/>
      <c r="I42" s="114"/>
      <c r="J42" s="127" t="s">
        <v>85</v>
      </c>
      <c r="K42" s="126" t="s">
        <v>1925</v>
      </c>
      <c r="L42" s="126" t="s">
        <v>1396</v>
      </c>
      <c r="M42" s="128"/>
      <c r="N42" s="126"/>
    </row>
    <row r="43" spans="1:14" s="111" customFormat="1" ht="13.5" thickBot="1" x14ac:dyDescent="0.25">
      <c r="A43" s="121"/>
      <c r="B43" s="122"/>
      <c r="C43" s="122"/>
      <c r="D43" s="122"/>
      <c r="E43" s="123"/>
      <c r="F43" s="123"/>
      <c r="G43" s="123"/>
      <c r="H43" s="123"/>
      <c r="I43" s="123"/>
      <c r="J43" s="125" t="s">
        <v>1924</v>
      </c>
      <c r="K43" s="105" t="s">
        <v>1926</v>
      </c>
      <c r="L43" s="105" t="s">
        <v>208</v>
      </c>
      <c r="M43" s="105" t="s">
        <v>1927</v>
      </c>
      <c r="N43" s="105"/>
    </row>
    <row r="44" spans="1:14" s="111" customFormat="1" x14ac:dyDescent="0.2">
      <c r="A44" s="112"/>
      <c r="B44" s="467" t="s">
        <v>67</v>
      </c>
      <c r="C44" s="467"/>
      <c r="D44" s="467"/>
      <c r="E44" s="114"/>
      <c r="F44" s="114" t="s">
        <v>1180</v>
      </c>
      <c r="G44" s="114" t="s">
        <v>68</v>
      </c>
      <c r="H44" s="114" t="s">
        <v>702</v>
      </c>
      <c r="I44" s="114"/>
      <c r="J44" s="126">
        <f>130/ATHENS!O1*ATHENS!O2</f>
        <v>236.36363636363635</v>
      </c>
      <c r="K44" s="126">
        <f>170/ATHENS!O1*ATHENS!O2</f>
        <v>309.09090909090907</v>
      </c>
      <c r="L44" s="126">
        <f>250/ATHENS!O1*ATHENS!O2</f>
        <v>454.5454545454545</v>
      </c>
      <c r="M44" s="126">
        <f>370/ATHENS!O1*ATHENS!O2</f>
        <v>672.72727272727263</v>
      </c>
      <c r="N44" s="126"/>
    </row>
    <row r="45" spans="1:14" s="111" customFormat="1" x14ac:dyDescent="0.2">
      <c r="A45" s="116"/>
      <c r="B45" s="461" t="s">
        <v>67</v>
      </c>
      <c r="C45" s="461"/>
      <c r="D45" s="461"/>
      <c r="E45" s="120"/>
      <c r="F45" s="120" t="s">
        <v>1181</v>
      </c>
      <c r="G45" s="120" t="s">
        <v>68</v>
      </c>
      <c r="H45" s="120" t="s">
        <v>702</v>
      </c>
      <c r="I45" s="120"/>
      <c r="J45" s="100">
        <f>65/ATHENS!O1*ATHENS!O2</f>
        <v>118.18181818181817</v>
      </c>
      <c r="K45" s="100">
        <f>85/ATHENS!O1*ATHENS!O2</f>
        <v>154.54545454545453</v>
      </c>
      <c r="L45" s="100">
        <f>125/ATHENS!O1*ATHENS!O2</f>
        <v>227.27272727272725</v>
      </c>
      <c r="M45" s="100">
        <f>185/ATHENS!O1*ATHENS!O2</f>
        <v>336.36363636363632</v>
      </c>
      <c r="N45" s="100"/>
    </row>
    <row r="46" spans="1:14" s="111" customFormat="1" x14ac:dyDescent="0.2">
      <c r="A46" s="116"/>
      <c r="B46" s="461" t="s">
        <v>67</v>
      </c>
      <c r="C46" s="461"/>
      <c r="D46" s="461"/>
      <c r="E46" s="120"/>
      <c r="F46" s="120" t="s">
        <v>1182</v>
      </c>
      <c r="G46" s="120" t="s">
        <v>68</v>
      </c>
      <c r="H46" s="120" t="s">
        <v>702</v>
      </c>
      <c r="I46" s="120"/>
      <c r="J46" s="100">
        <f>93.5/ATHENS!O1*ATHENS!O2</f>
        <v>170</v>
      </c>
      <c r="K46" s="100">
        <f>101.6/ATHENS!O1*ATHENS!O2</f>
        <v>184.72727272727269</v>
      </c>
      <c r="L46" s="100">
        <f>150/ATHENS!O1*ATHENS!O2</f>
        <v>272.72727272727269</v>
      </c>
      <c r="M46" s="100">
        <f>193.5/ATHENS!O1*ATHENS!O2</f>
        <v>351.81818181818181</v>
      </c>
      <c r="N46" s="100"/>
    </row>
    <row r="47" spans="1:14" s="111" customFormat="1" x14ac:dyDescent="0.2">
      <c r="A47" s="116"/>
      <c r="B47" s="461" t="s">
        <v>901</v>
      </c>
      <c r="C47" s="461"/>
      <c r="D47" s="461"/>
      <c r="E47" s="120"/>
      <c r="F47" s="120" t="s">
        <v>518</v>
      </c>
      <c r="G47" s="120" t="s">
        <v>68</v>
      </c>
      <c r="H47" s="120" t="s">
        <v>702</v>
      </c>
      <c r="I47" s="120"/>
      <c r="J47" s="100">
        <f>190/ATHENS!O1*ATHENS!O2</f>
        <v>345.45454545454544</v>
      </c>
      <c r="K47" s="100">
        <f>202.5/ATHENS!O1*ATHENS!O2</f>
        <v>368.18181818181813</v>
      </c>
      <c r="L47" s="100">
        <f>272.5/ATHENS!O1*ATHENS!O2</f>
        <v>495.45454545454544</v>
      </c>
      <c r="M47" s="100">
        <f>350/ATHENS!O1*ATHENS!O2</f>
        <v>636.36363636363626</v>
      </c>
      <c r="N47" s="100"/>
    </row>
    <row r="48" spans="1:14" s="111" customFormat="1" x14ac:dyDescent="0.2">
      <c r="A48" s="116"/>
      <c r="B48" s="461" t="s">
        <v>901</v>
      </c>
      <c r="C48" s="461"/>
      <c r="D48" s="461"/>
      <c r="E48" s="120"/>
      <c r="F48" s="120" t="s">
        <v>705</v>
      </c>
      <c r="G48" s="120" t="s">
        <v>68</v>
      </c>
      <c r="H48" s="120" t="s">
        <v>702</v>
      </c>
      <c r="I48" s="120"/>
      <c r="J48" s="100">
        <f>126.5/ATHENS!O1*ATHENS!O2</f>
        <v>229.99999999999997</v>
      </c>
      <c r="K48" s="100">
        <f>135/ATHENS!O1*ATHENS!O2</f>
        <v>245.45454545454544</v>
      </c>
      <c r="L48" s="100">
        <f>181.6/ATHENS!O1*ATHENS!O2</f>
        <v>330.18181818181813</v>
      </c>
      <c r="M48" s="100">
        <f>233.5/ATHENS!O1*ATHENS!O2</f>
        <v>424.5454545454545</v>
      </c>
      <c r="N48" s="100"/>
    </row>
    <row r="49" spans="1:14" s="111" customFormat="1" ht="13.5" thickBot="1" x14ac:dyDescent="0.25">
      <c r="A49" s="121"/>
      <c r="B49" s="460" t="s">
        <v>902</v>
      </c>
      <c r="C49" s="460"/>
      <c r="D49" s="460"/>
      <c r="E49" s="123"/>
      <c r="F49" s="123"/>
      <c r="G49" s="123"/>
      <c r="H49" s="123" t="s">
        <v>702</v>
      </c>
      <c r="I49" s="123"/>
      <c r="J49" s="105">
        <f>50/ATHENS!O1*ATHENS!O2</f>
        <v>90.909090909090907</v>
      </c>
      <c r="K49" s="105">
        <f>50/ATHENS!O1*ATHENS!O2</f>
        <v>90.909090909090907</v>
      </c>
      <c r="L49" s="105">
        <f>50/ATHENS!O1*ATHENS!O2</f>
        <v>90.909090909090907</v>
      </c>
      <c r="M49" s="105">
        <f>50/ATHENS!O1*ATHENS!O2</f>
        <v>90.909090909090907</v>
      </c>
      <c r="N49" s="105"/>
    </row>
    <row r="50" spans="1:14" s="111" customFormat="1" ht="13.5" thickBot="1" x14ac:dyDescent="0.25">
      <c r="A50" s="108"/>
      <c r="B50" s="109"/>
      <c r="C50" s="109"/>
      <c r="D50" s="109"/>
      <c r="E50" s="110"/>
      <c r="F50" s="110"/>
      <c r="G50" s="110"/>
      <c r="H50" s="110"/>
      <c r="I50" s="110"/>
      <c r="J50" s="110"/>
      <c r="K50" s="110"/>
      <c r="L50" s="110"/>
      <c r="M50" s="110"/>
      <c r="N50" s="110"/>
    </row>
    <row r="51" spans="1:14" s="111" customFormat="1" x14ac:dyDescent="0.2">
      <c r="A51" s="112"/>
      <c r="B51" s="113"/>
      <c r="C51" s="113"/>
      <c r="D51" s="113"/>
      <c r="E51" s="114"/>
      <c r="F51" s="114"/>
      <c r="G51" s="114"/>
      <c r="H51" s="114"/>
      <c r="I51" s="114"/>
      <c r="J51" s="114"/>
      <c r="K51" s="114"/>
      <c r="L51" s="114"/>
      <c r="M51" s="114"/>
      <c r="N51" s="115"/>
    </row>
    <row r="52" spans="1:14" s="111" customFormat="1" ht="15" x14ac:dyDescent="0.2">
      <c r="A52" s="116"/>
      <c r="B52" s="462" t="s">
        <v>450</v>
      </c>
      <c r="C52" s="463"/>
      <c r="D52" s="463"/>
      <c r="E52" s="463"/>
      <c r="F52" s="463"/>
      <c r="G52" s="463"/>
      <c r="H52" s="463"/>
      <c r="I52" s="463"/>
      <c r="J52" s="463"/>
      <c r="K52" s="463"/>
      <c r="L52" s="463"/>
      <c r="M52" s="464"/>
      <c r="N52" s="117" t="s">
        <v>904</v>
      </c>
    </row>
    <row r="53" spans="1:14" s="111" customFormat="1" x14ac:dyDescent="0.2">
      <c r="A53" s="116"/>
      <c r="B53" s="118" t="s">
        <v>428</v>
      </c>
      <c r="C53" s="119" t="s">
        <v>451</v>
      </c>
      <c r="D53" s="119"/>
      <c r="E53" s="120"/>
      <c r="F53" s="120"/>
      <c r="G53" s="120"/>
      <c r="H53" s="120"/>
      <c r="I53" s="120"/>
      <c r="J53" s="120"/>
      <c r="K53" s="120"/>
      <c r="L53" s="120"/>
      <c r="M53" s="120"/>
      <c r="N53" s="101"/>
    </row>
    <row r="54" spans="1:14" s="111" customFormat="1" x14ac:dyDescent="0.2">
      <c r="A54" s="116"/>
      <c r="B54" s="118" t="s">
        <v>429</v>
      </c>
      <c r="C54" s="119" t="s">
        <v>452</v>
      </c>
      <c r="D54" s="119"/>
      <c r="E54" s="120"/>
      <c r="F54" s="120"/>
      <c r="G54" s="120"/>
      <c r="H54" s="120"/>
      <c r="I54" s="120"/>
      <c r="J54" s="120"/>
      <c r="K54" s="120"/>
      <c r="L54" s="120"/>
      <c r="M54" s="120"/>
      <c r="N54" s="101"/>
    </row>
    <row r="55" spans="1:14" s="111" customFormat="1" x14ac:dyDescent="0.2">
      <c r="A55" s="116"/>
      <c r="B55" s="118" t="s">
        <v>427</v>
      </c>
      <c r="C55" s="465" t="s">
        <v>1310</v>
      </c>
      <c r="D55" s="465"/>
      <c r="E55" s="465"/>
      <c r="F55" s="465"/>
      <c r="G55" s="465"/>
      <c r="H55" s="465"/>
      <c r="I55" s="465"/>
      <c r="J55" s="465"/>
      <c r="K55" s="465"/>
      <c r="L55" s="465"/>
      <c r="M55" s="465"/>
      <c r="N55" s="466"/>
    </row>
    <row r="56" spans="1:14" s="111" customFormat="1" x14ac:dyDescent="0.2">
      <c r="A56" s="116"/>
      <c r="B56" s="109"/>
      <c r="C56" s="465"/>
      <c r="D56" s="465"/>
      <c r="E56" s="465"/>
      <c r="F56" s="465"/>
      <c r="G56" s="465"/>
      <c r="H56" s="465"/>
      <c r="I56" s="465"/>
      <c r="J56" s="465"/>
      <c r="K56" s="465"/>
      <c r="L56" s="465"/>
      <c r="M56" s="465"/>
      <c r="N56" s="466"/>
    </row>
    <row r="57" spans="1:14" s="111" customFormat="1" x14ac:dyDescent="0.2">
      <c r="A57" s="116"/>
      <c r="B57" s="109"/>
      <c r="C57" s="465"/>
      <c r="D57" s="465"/>
      <c r="E57" s="465"/>
      <c r="F57" s="465"/>
      <c r="G57" s="465"/>
      <c r="H57" s="465"/>
      <c r="I57" s="465"/>
      <c r="J57" s="465"/>
      <c r="K57" s="465"/>
      <c r="L57" s="465"/>
      <c r="M57" s="465"/>
      <c r="N57" s="466"/>
    </row>
    <row r="58" spans="1:14" s="111" customFormat="1" x14ac:dyDescent="0.2">
      <c r="A58" s="116"/>
      <c r="B58" s="118" t="s">
        <v>426</v>
      </c>
      <c r="C58" s="119"/>
      <c r="D58" s="119"/>
      <c r="E58" s="120"/>
      <c r="F58" s="120"/>
      <c r="G58" s="120"/>
      <c r="H58" s="120"/>
      <c r="I58" s="120"/>
      <c r="J58" s="120"/>
      <c r="K58" s="120"/>
      <c r="L58" s="120"/>
      <c r="M58" s="120"/>
      <c r="N58" s="101"/>
    </row>
    <row r="59" spans="1:14" s="111" customFormat="1" ht="13.5" thickBot="1" x14ac:dyDescent="0.25">
      <c r="A59" s="116"/>
      <c r="B59" s="118" t="s">
        <v>430</v>
      </c>
      <c r="C59" s="119"/>
      <c r="D59" s="119"/>
      <c r="E59" s="120"/>
      <c r="F59" s="120"/>
      <c r="G59" s="120"/>
      <c r="H59" s="120"/>
      <c r="I59" s="120"/>
      <c r="J59" s="120"/>
      <c r="K59" s="120"/>
      <c r="L59" s="120"/>
      <c r="M59" s="120"/>
      <c r="N59" s="101"/>
    </row>
    <row r="60" spans="1:14" s="111" customFormat="1" x14ac:dyDescent="0.2">
      <c r="A60" s="112"/>
      <c r="B60" s="113" t="s">
        <v>263</v>
      </c>
      <c r="C60" s="113"/>
      <c r="D60" s="113"/>
      <c r="E60" s="114"/>
      <c r="F60" s="114"/>
      <c r="G60" s="114"/>
      <c r="H60" s="114"/>
      <c r="I60" s="114"/>
      <c r="J60" s="127" t="s">
        <v>1949</v>
      </c>
      <c r="K60" s="126" t="s">
        <v>1951</v>
      </c>
      <c r="L60" s="126"/>
      <c r="N60" s="126"/>
    </row>
    <row r="61" spans="1:14" s="111" customFormat="1" ht="13.5" thickBot="1" x14ac:dyDescent="0.25">
      <c r="A61" s="121"/>
      <c r="B61" s="122"/>
      <c r="C61" s="122"/>
      <c r="D61" s="122"/>
      <c r="E61" s="123"/>
      <c r="F61" s="123"/>
      <c r="G61" s="123"/>
      <c r="H61" s="123"/>
      <c r="I61" s="123"/>
      <c r="J61" s="125" t="s">
        <v>1950</v>
      </c>
      <c r="K61" s="105" t="s">
        <v>1387</v>
      </c>
      <c r="L61" s="105" t="s">
        <v>1952</v>
      </c>
      <c r="N61" s="105"/>
    </row>
    <row r="62" spans="1:14" s="111" customFormat="1" x14ac:dyDescent="0.2">
      <c r="A62" s="112"/>
      <c r="B62" s="467" t="s">
        <v>67</v>
      </c>
      <c r="C62" s="467"/>
      <c r="D62" s="467"/>
      <c r="E62" s="114"/>
      <c r="F62" s="114" t="s">
        <v>1180</v>
      </c>
      <c r="G62" s="114" t="s">
        <v>68</v>
      </c>
      <c r="H62" s="114" t="s">
        <v>702</v>
      </c>
      <c r="I62" s="114"/>
      <c r="J62" s="126">
        <f>152/ATHENS!O1*ATHENS!O2</f>
        <v>276.36363636363632</v>
      </c>
      <c r="K62" s="126">
        <f>230/ATHENS!O1*ATHENS!O2</f>
        <v>418.18181818181813</v>
      </c>
      <c r="L62" s="126">
        <f>330/ATHENS!O1*ATHENS!O2</f>
        <v>600</v>
      </c>
      <c r="M62" s="126"/>
      <c r="N62" s="126"/>
    </row>
    <row r="63" spans="1:14" s="111" customFormat="1" x14ac:dyDescent="0.2">
      <c r="A63" s="116"/>
      <c r="B63" s="461" t="s">
        <v>67</v>
      </c>
      <c r="C63" s="461"/>
      <c r="D63" s="461"/>
      <c r="E63" s="120"/>
      <c r="F63" s="120" t="s">
        <v>1181</v>
      </c>
      <c r="G63" s="120" t="s">
        <v>68</v>
      </c>
      <c r="H63" s="120" t="s">
        <v>702</v>
      </c>
      <c r="I63" s="120"/>
      <c r="J63" s="100">
        <f>68/ATHENS!O1*ATHENS!O2</f>
        <v>123.63636363636363</v>
      </c>
      <c r="K63" s="100">
        <f>96.5/ATHENS!O1*ATHENS!O2</f>
        <v>175.45454545454544</v>
      </c>
      <c r="L63" s="100">
        <f>140/ATHENS!O1*ATHENS!O2</f>
        <v>254.54545454545453</v>
      </c>
      <c r="M63" s="100"/>
      <c r="N63" s="100"/>
    </row>
    <row r="64" spans="1:14" s="111" customFormat="1" x14ac:dyDescent="0.2">
      <c r="A64" s="116"/>
      <c r="B64" s="461" t="s">
        <v>67</v>
      </c>
      <c r="C64" s="461"/>
      <c r="D64" s="461"/>
      <c r="E64" s="120"/>
      <c r="F64" s="120" t="s">
        <v>1182</v>
      </c>
      <c r="G64" s="120" t="s">
        <v>68</v>
      </c>
      <c r="H64" s="120" t="s">
        <v>702</v>
      </c>
      <c r="I64" s="120"/>
      <c r="J64" s="100">
        <f>66/ATHENS!O1*ATHENS!O2</f>
        <v>119.99999999999999</v>
      </c>
      <c r="K64" s="100">
        <f>94.5/ATHENS!O1*ATHENS!O2</f>
        <v>171.81818181818181</v>
      </c>
      <c r="L64" s="100">
        <f>128.5/ATHENS!O1*ATHENS!O2</f>
        <v>233.63636363636363</v>
      </c>
      <c r="M64" s="100"/>
      <c r="N64" s="100"/>
    </row>
    <row r="65" spans="1:14" s="111" customFormat="1" x14ac:dyDescent="0.2">
      <c r="A65" s="116"/>
      <c r="B65" s="119" t="s">
        <v>476</v>
      </c>
      <c r="C65" s="119"/>
      <c r="D65" s="119"/>
      <c r="E65" s="120"/>
      <c r="F65" s="120" t="s">
        <v>1180</v>
      </c>
      <c r="G65" s="120" t="s">
        <v>68</v>
      </c>
      <c r="H65" s="120" t="s">
        <v>702</v>
      </c>
      <c r="I65" s="120"/>
      <c r="J65" s="100">
        <f>227/ATHENS!O1*ATHENS!O2</f>
        <v>412.72727272727269</v>
      </c>
      <c r="K65" s="100">
        <f>315/ATHENS!O1*ATHENS!O2</f>
        <v>572.72727272727263</v>
      </c>
      <c r="L65" s="100">
        <f>430/ATHENS!O1*ATHENS!O2</f>
        <v>781.81818181818176</v>
      </c>
      <c r="M65" s="100"/>
      <c r="N65" s="100"/>
    </row>
    <row r="66" spans="1:14" s="111" customFormat="1" x14ac:dyDescent="0.2">
      <c r="A66" s="116"/>
      <c r="B66" s="461" t="s">
        <v>476</v>
      </c>
      <c r="C66" s="461"/>
      <c r="D66" s="461"/>
      <c r="E66" s="120"/>
      <c r="F66" s="120" t="s">
        <v>1181</v>
      </c>
      <c r="G66" s="120" t="s">
        <v>68</v>
      </c>
      <c r="H66" s="120" t="s">
        <v>702</v>
      </c>
      <c r="I66" s="120"/>
      <c r="J66" s="100">
        <f>113.5/ATHENS!O1*ATHENS!O2</f>
        <v>206.36363636363635</v>
      </c>
      <c r="K66" s="100">
        <f>157.5/ATHENS!O1*ATHENS!O2</f>
        <v>286.36363636363632</v>
      </c>
      <c r="L66" s="100">
        <f>215/ATHENS!O1*ATHENS!O2</f>
        <v>390.90909090909088</v>
      </c>
      <c r="M66" s="100"/>
      <c r="N66" s="100"/>
    </row>
    <row r="67" spans="1:14" s="111" customFormat="1" x14ac:dyDescent="0.2">
      <c r="A67" s="116"/>
      <c r="B67" s="461" t="s">
        <v>476</v>
      </c>
      <c r="C67" s="461"/>
      <c r="D67" s="461"/>
      <c r="E67" s="120"/>
      <c r="F67" s="120" t="s">
        <v>1182</v>
      </c>
      <c r="G67" s="120" t="s">
        <v>68</v>
      </c>
      <c r="H67" s="120" t="s">
        <v>702</v>
      </c>
      <c r="I67" s="120"/>
      <c r="J67" s="100">
        <f>75.6/ATHENS!O1*ATHENS!O2</f>
        <v>137.45454545454544</v>
      </c>
      <c r="K67" s="100">
        <f>105/ATHENS!O1*ATHENS!O2</f>
        <v>190.90909090909091</v>
      </c>
      <c r="L67" s="100">
        <f>143.5/ATHENS!O1*ATHENS!O2</f>
        <v>260.90909090909088</v>
      </c>
      <c r="M67" s="100"/>
      <c r="N67" s="100"/>
    </row>
    <row r="68" spans="1:14" s="111" customFormat="1" ht="13.5" thickBot="1" x14ac:dyDescent="0.25">
      <c r="A68" s="121"/>
      <c r="B68" s="460" t="s">
        <v>902</v>
      </c>
      <c r="C68" s="460"/>
      <c r="D68" s="460"/>
      <c r="E68" s="123"/>
      <c r="F68" s="123"/>
      <c r="G68" s="123"/>
      <c r="H68" s="123" t="s">
        <v>702</v>
      </c>
      <c r="I68" s="123"/>
      <c r="J68" s="105">
        <f>50/ATHENS!O1*ATHENS!O2</f>
        <v>90.909090909090907</v>
      </c>
      <c r="K68" s="105">
        <f>50/ATHENS!O1*ATHENS!O2</f>
        <v>90.909090909090907</v>
      </c>
      <c r="L68" s="105">
        <f>50/ATHENS!O1*ATHENS!O2</f>
        <v>90.909090909090907</v>
      </c>
      <c r="M68" s="105"/>
      <c r="N68" s="105"/>
    </row>
    <row r="69" spans="1:14" s="111" customFormat="1" x14ac:dyDescent="0.2">
      <c r="A69" s="239"/>
      <c r="B69" s="119"/>
      <c r="C69" s="119"/>
      <c r="D69" s="119"/>
      <c r="E69" s="120"/>
      <c r="F69" s="120"/>
      <c r="G69" s="120"/>
      <c r="H69" s="120"/>
      <c r="I69" s="120"/>
      <c r="J69" s="120"/>
      <c r="K69" s="120"/>
      <c r="L69" s="120"/>
      <c r="M69" s="120"/>
      <c r="N69" s="120"/>
    </row>
    <row r="70" spans="1:14" s="111" customFormat="1" ht="13.5" thickBot="1" x14ac:dyDescent="0.25">
      <c r="A70" s="108"/>
      <c r="B70" s="109"/>
      <c r="C70" s="109"/>
      <c r="D70" s="109"/>
      <c r="E70" s="110"/>
      <c r="F70" s="110"/>
      <c r="G70" s="110"/>
      <c r="H70" s="110"/>
      <c r="I70" s="110"/>
      <c r="J70" s="110"/>
      <c r="K70" s="110"/>
      <c r="L70" s="110"/>
      <c r="M70" s="110"/>
      <c r="N70" s="110"/>
    </row>
    <row r="71" spans="1:14" s="111" customFormat="1" x14ac:dyDescent="0.2">
      <c r="A71" s="112"/>
      <c r="B71" s="113"/>
      <c r="C71" s="113"/>
      <c r="D71" s="113"/>
      <c r="E71" s="114"/>
      <c r="F71" s="114"/>
      <c r="G71" s="114"/>
      <c r="H71" s="114"/>
      <c r="I71" s="114"/>
      <c r="J71" s="114"/>
      <c r="K71" s="114"/>
      <c r="L71" s="114"/>
      <c r="M71" s="114"/>
      <c r="N71" s="115"/>
    </row>
    <row r="72" spans="1:14" s="111" customFormat="1" ht="15" x14ac:dyDescent="0.2">
      <c r="A72" s="116"/>
      <c r="B72" s="462" t="s">
        <v>745</v>
      </c>
      <c r="C72" s="463"/>
      <c r="D72" s="463"/>
      <c r="E72" s="463"/>
      <c r="F72" s="463"/>
      <c r="G72" s="463"/>
      <c r="H72" s="463"/>
      <c r="I72" s="463"/>
      <c r="J72" s="463"/>
      <c r="K72" s="463"/>
      <c r="L72" s="463"/>
      <c r="M72" s="464"/>
      <c r="N72" s="117" t="s">
        <v>91</v>
      </c>
    </row>
    <row r="73" spans="1:14" s="111" customFormat="1" x14ac:dyDescent="0.2">
      <c r="A73" s="116"/>
      <c r="B73" s="118" t="s">
        <v>428</v>
      </c>
      <c r="C73" s="119" t="s">
        <v>277</v>
      </c>
      <c r="D73" s="119"/>
      <c r="E73" s="120"/>
      <c r="F73" s="120"/>
      <c r="G73" s="120"/>
      <c r="H73" s="120"/>
      <c r="I73" s="120"/>
      <c r="J73" s="120"/>
      <c r="K73" s="120"/>
      <c r="L73" s="120"/>
      <c r="M73" s="120"/>
      <c r="N73" s="101"/>
    </row>
    <row r="74" spans="1:14" s="111" customFormat="1" x14ac:dyDescent="0.2">
      <c r="A74" s="116"/>
      <c r="B74" s="118" t="s">
        <v>429</v>
      </c>
      <c r="C74" s="119" t="s">
        <v>1154</v>
      </c>
      <c r="D74" s="119"/>
      <c r="E74" s="120"/>
      <c r="F74" s="120"/>
      <c r="G74" s="120"/>
      <c r="H74" s="120"/>
      <c r="I74" s="120"/>
      <c r="J74" s="120"/>
      <c r="K74" s="120"/>
      <c r="L74" s="120"/>
      <c r="M74" s="120"/>
      <c r="N74" s="101"/>
    </row>
    <row r="75" spans="1:14" s="111" customFormat="1" x14ac:dyDescent="0.2">
      <c r="A75" s="116"/>
      <c r="B75" s="118" t="s">
        <v>427</v>
      </c>
      <c r="C75" s="465" t="s">
        <v>1327</v>
      </c>
      <c r="D75" s="465"/>
      <c r="E75" s="465"/>
      <c r="F75" s="465"/>
      <c r="G75" s="465"/>
      <c r="H75" s="465"/>
      <c r="I75" s="465"/>
      <c r="J75" s="465"/>
      <c r="K75" s="465"/>
      <c r="L75" s="465"/>
      <c r="M75" s="465"/>
      <c r="N75" s="466"/>
    </row>
    <row r="76" spans="1:14" s="111" customFormat="1" x14ac:dyDescent="0.2">
      <c r="A76" s="116"/>
      <c r="B76" s="109"/>
      <c r="C76" s="465"/>
      <c r="D76" s="465"/>
      <c r="E76" s="465"/>
      <c r="F76" s="465"/>
      <c r="G76" s="465"/>
      <c r="H76" s="465"/>
      <c r="I76" s="465"/>
      <c r="J76" s="465"/>
      <c r="K76" s="465"/>
      <c r="L76" s="465"/>
      <c r="M76" s="465"/>
      <c r="N76" s="466"/>
    </row>
    <row r="77" spans="1:14" s="111" customFormat="1" x14ac:dyDescent="0.2">
      <c r="A77" s="116"/>
      <c r="B77" s="109"/>
      <c r="C77" s="468"/>
      <c r="D77" s="468"/>
      <c r="E77" s="468"/>
      <c r="F77" s="468"/>
      <c r="G77" s="468"/>
      <c r="H77" s="468"/>
      <c r="I77" s="468"/>
      <c r="J77" s="468"/>
      <c r="K77" s="468"/>
      <c r="L77" s="468"/>
      <c r="M77" s="468"/>
      <c r="N77" s="469"/>
    </row>
    <row r="78" spans="1:14" s="111" customFormat="1" x14ac:dyDescent="0.2">
      <c r="A78" s="116"/>
      <c r="B78" s="109"/>
      <c r="C78" s="468"/>
      <c r="D78" s="468"/>
      <c r="E78" s="468"/>
      <c r="F78" s="468"/>
      <c r="G78" s="468"/>
      <c r="H78" s="468"/>
      <c r="I78" s="468"/>
      <c r="J78" s="468"/>
      <c r="K78" s="468"/>
      <c r="L78" s="468"/>
      <c r="M78" s="468"/>
      <c r="N78" s="469"/>
    </row>
    <row r="79" spans="1:14" s="111" customFormat="1" ht="13.5" thickBot="1" x14ac:dyDescent="0.25">
      <c r="A79" s="116"/>
      <c r="B79" s="118" t="s">
        <v>426</v>
      </c>
      <c r="C79" s="119" t="s">
        <v>827</v>
      </c>
      <c r="D79" s="119"/>
      <c r="E79" s="120"/>
      <c r="F79" s="120"/>
      <c r="G79" s="120"/>
      <c r="H79" s="120"/>
      <c r="I79" s="120"/>
      <c r="J79" s="120"/>
      <c r="K79" s="120"/>
      <c r="L79" s="120"/>
      <c r="M79" s="120"/>
      <c r="N79" s="101"/>
    </row>
    <row r="80" spans="1:14" s="111" customFormat="1" x14ac:dyDescent="0.2">
      <c r="A80" s="112"/>
      <c r="B80" s="113" t="s">
        <v>263</v>
      </c>
      <c r="C80" s="113"/>
      <c r="D80" s="113"/>
      <c r="E80" s="114"/>
      <c r="F80" s="114"/>
      <c r="G80" s="114"/>
      <c r="H80" s="114"/>
      <c r="I80" s="114"/>
      <c r="J80" s="127" t="s">
        <v>2039</v>
      </c>
      <c r="K80" s="127" t="s">
        <v>1871</v>
      </c>
      <c r="L80" s="127" t="s">
        <v>1586</v>
      </c>
      <c r="M80" s="127"/>
      <c r="N80" s="126"/>
    </row>
    <row r="81" spans="1:14" s="111" customFormat="1" ht="13.5" thickBot="1" x14ac:dyDescent="0.25">
      <c r="A81" s="121"/>
      <c r="B81" s="122"/>
      <c r="C81" s="122"/>
      <c r="D81" s="122"/>
      <c r="E81" s="123"/>
      <c r="F81" s="123"/>
      <c r="G81" s="123"/>
      <c r="H81" s="123"/>
      <c r="I81" s="123"/>
      <c r="J81" s="125" t="s">
        <v>2040</v>
      </c>
      <c r="K81" s="105" t="s">
        <v>2041</v>
      </c>
      <c r="L81" s="105" t="s">
        <v>2042</v>
      </c>
      <c r="M81" s="105" t="s">
        <v>2043</v>
      </c>
      <c r="N81" s="105"/>
    </row>
    <row r="82" spans="1:14" s="111" customFormat="1" x14ac:dyDescent="0.2">
      <c r="A82" s="112"/>
      <c r="B82" s="467" t="s">
        <v>67</v>
      </c>
      <c r="C82" s="467"/>
      <c r="D82" s="467"/>
      <c r="E82" s="114"/>
      <c r="F82" s="114" t="s">
        <v>1180</v>
      </c>
      <c r="G82" s="114" t="s">
        <v>68</v>
      </c>
      <c r="H82" s="114" t="s">
        <v>702</v>
      </c>
      <c r="I82" s="114"/>
      <c r="J82" s="100">
        <f>150/ATHENS!O1*ATHENS!O2</f>
        <v>272.72727272727269</v>
      </c>
      <c r="K82" s="100">
        <f>180/ATHENS!O1*ATHENS!O2</f>
        <v>327.27272727272725</v>
      </c>
      <c r="L82" s="100">
        <f>220/ATHENS!O1*ATHENS!O2</f>
        <v>399.99999999999994</v>
      </c>
      <c r="M82" s="100">
        <f>310/ATHENS!O1*ATHENS!O2</f>
        <v>563.63636363636363</v>
      </c>
      <c r="N82" s="100"/>
    </row>
    <row r="83" spans="1:14" s="111" customFormat="1" x14ac:dyDescent="0.2">
      <c r="A83" s="116"/>
      <c r="B83" s="461" t="s">
        <v>67</v>
      </c>
      <c r="C83" s="461"/>
      <c r="D83" s="461"/>
      <c r="E83" s="120"/>
      <c r="F83" s="120" t="s">
        <v>1181</v>
      </c>
      <c r="G83" s="120" t="s">
        <v>68</v>
      </c>
      <c r="H83" s="120" t="s">
        <v>702</v>
      </c>
      <c r="I83" s="120"/>
      <c r="J83" s="100">
        <f>75/ATHENS!O1*ATHENS!O2</f>
        <v>136.36363636363635</v>
      </c>
      <c r="K83" s="100">
        <f>90/ATHENS!O1*ATHENS!O2</f>
        <v>163.63636363636363</v>
      </c>
      <c r="L83" s="100">
        <f>110/ATHENS!O1*ATHENS!O2</f>
        <v>199.99999999999997</v>
      </c>
      <c r="M83" s="100">
        <f>155/ATHENS!O1*ATHENS!O2</f>
        <v>281.81818181818181</v>
      </c>
      <c r="N83" s="100"/>
    </row>
    <row r="84" spans="1:14" s="111" customFormat="1" x14ac:dyDescent="0.2">
      <c r="A84" s="116"/>
      <c r="B84" s="461" t="s">
        <v>1446</v>
      </c>
      <c r="C84" s="461"/>
      <c r="D84" s="461"/>
      <c r="E84" s="120"/>
      <c r="F84" s="120"/>
      <c r="G84" s="120"/>
      <c r="H84" s="120" t="s">
        <v>702</v>
      </c>
      <c r="I84" s="120"/>
      <c r="J84" s="100">
        <f>50/ATHENS!O1*ATHENS!O2</f>
        <v>90.909090909090907</v>
      </c>
      <c r="K84" s="100">
        <f>50/ATHENS!O1*ATHENS!O2</f>
        <v>90.909090909090907</v>
      </c>
      <c r="L84" s="100">
        <f>50/ATHENS!O1*ATHENS!O2</f>
        <v>90.909090909090907</v>
      </c>
      <c r="M84" s="100">
        <f>50/ATHENS!O1*ATHENS!O2</f>
        <v>90.909090909090907</v>
      </c>
      <c r="N84" s="100"/>
    </row>
    <row r="85" spans="1:14" s="111" customFormat="1" ht="13.5" thickBot="1" x14ac:dyDescent="0.25">
      <c r="A85" s="121"/>
      <c r="B85" s="460"/>
      <c r="C85" s="460"/>
      <c r="D85" s="460"/>
      <c r="E85" s="123"/>
      <c r="F85" s="123"/>
      <c r="G85" s="123"/>
      <c r="H85" s="123"/>
      <c r="I85" s="123"/>
      <c r="J85" s="105"/>
      <c r="K85" s="105"/>
      <c r="L85" s="105"/>
      <c r="M85" s="105"/>
      <c r="N85" s="105"/>
    </row>
    <row r="86" spans="1:14" s="111" customFormat="1" x14ac:dyDescent="0.2">
      <c r="A86" s="239"/>
      <c r="B86" s="119"/>
      <c r="C86" s="119"/>
      <c r="D86" s="119"/>
      <c r="E86" s="120"/>
      <c r="F86" s="120"/>
      <c r="G86" s="120"/>
      <c r="H86" s="120"/>
      <c r="I86" s="120"/>
      <c r="J86" s="120"/>
      <c r="K86" s="120"/>
      <c r="L86" s="120"/>
      <c r="M86" s="120"/>
      <c r="N86" s="120"/>
    </row>
    <row r="87" spans="1:14" s="111" customFormat="1" x14ac:dyDescent="0.2">
      <c r="A87" s="239"/>
      <c r="B87" s="119"/>
      <c r="C87" s="119"/>
      <c r="D87" s="119"/>
      <c r="E87" s="120"/>
      <c r="F87" s="120"/>
      <c r="G87" s="120"/>
      <c r="H87" s="120"/>
      <c r="I87" s="120"/>
      <c r="J87" s="120"/>
      <c r="K87" s="120"/>
      <c r="L87" s="120"/>
      <c r="M87" s="120"/>
      <c r="N87" s="120"/>
    </row>
    <row r="88" spans="1:14" s="111" customFormat="1" x14ac:dyDescent="0.2">
      <c r="A88" s="239"/>
      <c r="B88" s="119"/>
      <c r="C88" s="119"/>
      <c r="D88" s="119"/>
      <c r="E88" s="120"/>
      <c r="F88" s="120"/>
      <c r="G88" s="120"/>
      <c r="H88" s="120"/>
      <c r="I88" s="120"/>
      <c r="J88" s="120"/>
      <c r="K88" s="120"/>
      <c r="L88" s="120"/>
      <c r="M88" s="120"/>
      <c r="N88" s="120"/>
    </row>
    <row r="89" spans="1:14" s="111" customFormat="1" x14ac:dyDescent="0.2">
      <c r="A89" s="239"/>
      <c r="B89" s="119"/>
      <c r="C89" s="119"/>
      <c r="D89" s="119"/>
      <c r="E89" s="120"/>
      <c r="F89" s="120"/>
      <c r="G89" s="120"/>
      <c r="H89" s="120"/>
      <c r="I89" s="120"/>
      <c r="J89" s="120"/>
      <c r="K89" s="120"/>
      <c r="L89" s="120"/>
      <c r="M89" s="120"/>
      <c r="N89" s="120"/>
    </row>
    <row r="90" spans="1:14" s="111" customFormat="1" x14ac:dyDescent="0.2">
      <c r="A90" s="239"/>
      <c r="B90" s="119"/>
      <c r="C90" s="119"/>
      <c r="D90" s="119"/>
      <c r="E90" s="120"/>
      <c r="F90" s="120"/>
      <c r="G90" s="120"/>
      <c r="H90" s="120"/>
      <c r="I90" s="120"/>
      <c r="J90" s="120"/>
      <c r="K90" s="120"/>
      <c r="L90" s="120"/>
      <c r="M90" s="120"/>
      <c r="N90" s="120"/>
    </row>
    <row r="91" spans="1:14" s="111" customFormat="1" x14ac:dyDescent="0.2">
      <c r="A91" s="239"/>
      <c r="B91" s="119"/>
      <c r="C91" s="119"/>
      <c r="D91" s="119"/>
      <c r="E91" s="120"/>
      <c r="F91" s="120"/>
      <c r="G91" s="120"/>
      <c r="H91" s="120"/>
      <c r="I91" s="120"/>
      <c r="J91" s="120"/>
      <c r="K91" s="120"/>
      <c r="L91" s="120"/>
      <c r="M91" s="120"/>
      <c r="N91" s="120"/>
    </row>
    <row r="92" spans="1:14" s="111" customFormat="1" x14ac:dyDescent="0.2">
      <c r="A92" s="239"/>
      <c r="B92" s="119"/>
      <c r="C92" s="119"/>
      <c r="D92" s="119"/>
      <c r="E92" s="120"/>
      <c r="F92" s="120"/>
      <c r="G92" s="120"/>
      <c r="H92" s="120"/>
      <c r="I92" s="120"/>
      <c r="J92" s="120"/>
      <c r="K92" s="120"/>
      <c r="L92" s="120"/>
      <c r="M92" s="120"/>
      <c r="N92" s="120"/>
    </row>
    <row r="93" spans="1:14" s="111" customFormat="1" x14ac:dyDescent="0.2">
      <c r="A93" s="239"/>
      <c r="B93" s="119"/>
      <c r="C93" s="119"/>
      <c r="D93" s="119"/>
      <c r="E93" s="120"/>
      <c r="F93" s="120"/>
      <c r="G93" s="120"/>
      <c r="H93" s="120"/>
      <c r="I93" s="120"/>
      <c r="J93" s="120"/>
      <c r="K93" s="120"/>
      <c r="L93" s="120"/>
      <c r="M93" s="120"/>
      <c r="N93" s="120"/>
    </row>
    <row r="94" spans="1:14" s="111" customFormat="1" x14ac:dyDescent="0.2">
      <c r="A94" s="239"/>
      <c r="B94" s="119"/>
      <c r="C94" s="119"/>
      <c r="D94" s="119"/>
      <c r="E94" s="120"/>
      <c r="F94" s="120"/>
      <c r="G94" s="120"/>
      <c r="H94" s="120"/>
      <c r="I94" s="120"/>
      <c r="J94" s="120"/>
      <c r="K94" s="120"/>
      <c r="L94" s="120"/>
      <c r="M94" s="120"/>
      <c r="N94" s="120"/>
    </row>
    <row r="95" spans="1:14" s="111" customFormat="1" x14ac:dyDescent="0.2">
      <c r="A95" s="239"/>
      <c r="B95" s="119"/>
      <c r="C95" s="119"/>
      <c r="D95" s="119"/>
      <c r="E95" s="120"/>
      <c r="F95" s="120"/>
      <c r="G95" s="120"/>
      <c r="H95" s="120"/>
      <c r="I95" s="120"/>
      <c r="J95" s="120"/>
      <c r="K95" s="120"/>
      <c r="L95" s="120"/>
      <c r="M95" s="120"/>
      <c r="N95" s="120"/>
    </row>
    <row r="96" spans="1:14" s="111" customFormat="1" x14ac:dyDescent="0.2">
      <c r="A96" s="239"/>
      <c r="B96" s="119"/>
      <c r="C96" s="119"/>
      <c r="D96" s="119"/>
      <c r="E96" s="120"/>
      <c r="F96" s="120"/>
      <c r="G96" s="120"/>
      <c r="H96" s="120"/>
      <c r="I96" s="120"/>
      <c r="J96" s="120"/>
      <c r="K96" s="120"/>
      <c r="L96" s="120"/>
      <c r="M96" s="120"/>
      <c r="N96" s="120"/>
    </row>
    <row r="97" spans="1:14" s="111" customFormat="1" x14ac:dyDescent="0.2">
      <c r="A97" s="239"/>
      <c r="B97" s="119"/>
      <c r="C97" s="119"/>
      <c r="D97" s="119"/>
      <c r="E97" s="120"/>
      <c r="F97" s="120"/>
      <c r="G97" s="120"/>
      <c r="H97" s="120"/>
      <c r="I97" s="120"/>
      <c r="J97" s="120"/>
      <c r="K97" s="120"/>
      <c r="L97" s="120"/>
      <c r="M97" s="120"/>
      <c r="N97" s="120"/>
    </row>
    <row r="98" spans="1:14" s="111" customFormat="1" x14ac:dyDescent="0.2">
      <c r="A98" s="239"/>
      <c r="B98" s="119"/>
      <c r="C98" s="119"/>
      <c r="D98" s="119"/>
      <c r="E98" s="120"/>
      <c r="F98" s="120"/>
      <c r="G98" s="120"/>
      <c r="H98" s="120"/>
      <c r="I98" s="120"/>
      <c r="J98" s="120"/>
      <c r="K98" s="120"/>
      <c r="L98" s="120"/>
      <c r="M98" s="120"/>
      <c r="N98" s="120"/>
    </row>
    <row r="99" spans="1:14" s="111" customFormat="1" x14ac:dyDescent="0.2">
      <c r="A99" s="239"/>
      <c r="B99" s="119"/>
      <c r="C99" s="119"/>
      <c r="D99" s="119"/>
      <c r="E99" s="120"/>
      <c r="F99" s="120"/>
      <c r="G99" s="120"/>
      <c r="H99" s="120"/>
      <c r="I99" s="120"/>
      <c r="J99" s="120"/>
      <c r="K99" s="120"/>
      <c r="L99" s="120"/>
      <c r="M99" s="120"/>
      <c r="N99" s="120"/>
    </row>
    <row r="100" spans="1:14" s="111" customFormat="1" x14ac:dyDescent="0.2">
      <c r="A100" s="239"/>
      <c r="B100" s="119"/>
      <c r="C100" s="119"/>
      <c r="D100" s="119"/>
      <c r="E100" s="120"/>
      <c r="F100" s="120"/>
      <c r="G100" s="120"/>
      <c r="H100" s="120"/>
      <c r="I100" s="120"/>
      <c r="J100" s="120"/>
      <c r="K100" s="120"/>
      <c r="L100" s="120"/>
      <c r="M100" s="120"/>
      <c r="N100" s="120"/>
    </row>
    <row r="101" spans="1:14" s="111" customFormat="1" x14ac:dyDescent="0.2">
      <c r="A101" s="239"/>
      <c r="B101" s="119"/>
      <c r="C101" s="119"/>
      <c r="D101" s="119"/>
      <c r="E101" s="120"/>
      <c r="F101" s="120"/>
      <c r="G101" s="120"/>
      <c r="H101" s="120"/>
      <c r="I101" s="120"/>
      <c r="J101" s="120"/>
      <c r="K101" s="120"/>
      <c r="L101" s="120"/>
      <c r="M101" s="120"/>
      <c r="N101" s="120"/>
    </row>
    <row r="102" spans="1:14" s="111" customFormat="1" x14ac:dyDescent="0.2">
      <c r="A102" s="239"/>
      <c r="B102" s="119"/>
      <c r="C102" s="119"/>
      <c r="D102" s="119"/>
      <c r="E102" s="120"/>
      <c r="F102" s="120"/>
      <c r="G102" s="120"/>
      <c r="H102" s="120"/>
      <c r="I102" s="120"/>
      <c r="J102" s="120"/>
      <c r="K102" s="120"/>
      <c r="L102" s="120"/>
      <c r="M102" s="120"/>
      <c r="N102" s="120"/>
    </row>
    <row r="103" spans="1:14" s="111" customFormat="1" x14ac:dyDescent="0.2">
      <c r="A103" s="239"/>
      <c r="B103" s="119"/>
      <c r="C103" s="119"/>
      <c r="D103" s="119"/>
      <c r="E103" s="120"/>
      <c r="F103" s="120"/>
      <c r="G103" s="120"/>
      <c r="H103" s="120"/>
      <c r="I103" s="120"/>
      <c r="J103" s="120"/>
      <c r="K103" s="120"/>
      <c r="L103" s="120"/>
      <c r="M103" s="120"/>
      <c r="N103" s="120"/>
    </row>
    <row r="104" spans="1:14" s="111" customFormat="1" x14ac:dyDescent="0.2">
      <c r="A104" s="239"/>
      <c r="B104" s="119"/>
      <c r="C104" s="119"/>
      <c r="D104" s="119"/>
      <c r="E104" s="120"/>
      <c r="F104" s="120"/>
      <c r="G104" s="120"/>
      <c r="H104" s="120"/>
      <c r="I104" s="120"/>
      <c r="J104" s="120"/>
      <c r="K104" s="120"/>
      <c r="L104" s="120"/>
      <c r="M104" s="120"/>
      <c r="N104" s="120"/>
    </row>
    <row r="105" spans="1:14" s="111" customFormat="1" x14ac:dyDescent="0.2">
      <c r="A105" s="239"/>
      <c r="B105" s="119"/>
      <c r="C105" s="119"/>
      <c r="D105" s="119"/>
      <c r="E105" s="120"/>
      <c r="F105" s="120"/>
      <c r="G105" s="120"/>
      <c r="H105" s="120"/>
      <c r="I105" s="120"/>
      <c r="J105" s="120"/>
      <c r="K105" s="120"/>
      <c r="L105" s="120"/>
      <c r="M105" s="120"/>
      <c r="N105" s="120"/>
    </row>
    <row r="106" spans="1:14" s="111" customFormat="1" x14ac:dyDescent="0.2">
      <c r="A106" s="239"/>
      <c r="B106" s="119"/>
      <c r="C106" s="119"/>
      <c r="D106" s="119"/>
      <c r="E106" s="120"/>
      <c r="F106" s="120"/>
      <c r="G106" s="120"/>
      <c r="H106" s="120"/>
      <c r="I106" s="120"/>
      <c r="J106" s="120"/>
      <c r="K106" s="120"/>
      <c r="L106" s="120"/>
      <c r="M106" s="120"/>
      <c r="N106" s="120"/>
    </row>
    <row r="107" spans="1:14" s="111" customFormat="1" x14ac:dyDescent="0.2">
      <c r="A107" s="239"/>
      <c r="B107" s="119"/>
      <c r="C107" s="119"/>
      <c r="D107" s="119"/>
      <c r="E107" s="120"/>
      <c r="F107" s="120"/>
      <c r="G107" s="120"/>
      <c r="H107" s="120"/>
      <c r="I107" s="120"/>
      <c r="J107" s="120"/>
      <c r="K107" s="120"/>
      <c r="L107" s="120"/>
      <c r="M107" s="120"/>
      <c r="N107" s="120"/>
    </row>
    <row r="108" spans="1:14" s="111" customFormat="1" x14ac:dyDescent="0.2">
      <c r="A108" s="239"/>
      <c r="B108" s="119"/>
      <c r="C108" s="119"/>
      <c r="D108" s="119"/>
      <c r="E108" s="120"/>
      <c r="F108" s="120"/>
      <c r="G108" s="120"/>
      <c r="H108" s="120"/>
      <c r="I108" s="120"/>
      <c r="J108" s="120"/>
      <c r="K108" s="120"/>
      <c r="L108" s="120"/>
      <c r="M108" s="120"/>
      <c r="N108" s="120"/>
    </row>
    <row r="109" spans="1:14" s="111" customFormat="1" x14ac:dyDescent="0.2">
      <c r="A109" s="239"/>
      <c r="B109" s="119"/>
      <c r="C109" s="119"/>
      <c r="D109" s="119"/>
      <c r="E109" s="120"/>
      <c r="F109" s="120"/>
      <c r="G109" s="120"/>
      <c r="H109" s="120"/>
      <c r="I109" s="120"/>
      <c r="J109" s="120"/>
      <c r="K109" s="120"/>
      <c r="L109" s="120"/>
      <c r="M109" s="120"/>
      <c r="N109" s="120"/>
    </row>
    <row r="110" spans="1:14" s="111" customFormat="1" x14ac:dyDescent="0.2">
      <c r="A110" s="239"/>
      <c r="B110" s="119"/>
      <c r="C110" s="119"/>
      <c r="D110" s="119"/>
      <c r="E110" s="120"/>
      <c r="F110" s="120"/>
      <c r="G110" s="120"/>
      <c r="H110" s="120"/>
      <c r="I110" s="120"/>
      <c r="J110" s="120"/>
      <c r="K110" s="120"/>
      <c r="L110" s="120"/>
      <c r="M110" s="120"/>
      <c r="N110" s="120"/>
    </row>
    <row r="111" spans="1:14" s="111" customFormat="1" x14ac:dyDescent="0.2">
      <c r="A111" s="239"/>
      <c r="B111" s="119"/>
      <c r="C111" s="119"/>
      <c r="D111" s="119"/>
      <c r="E111" s="120"/>
      <c r="F111" s="120"/>
      <c r="G111" s="120"/>
      <c r="H111" s="120"/>
      <c r="I111" s="120"/>
      <c r="J111" s="120"/>
      <c r="K111" s="120"/>
      <c r="L111" s="120"/>
      <c r="M111" s="120"/>
      <c r="N111" s="120"/>
    </row>
    <row r="112" spans="1:14" s="111" customFormat="1" ht="13.5" thickBot="1" x14ac:dyDescent="0.25">
      <c r="A112" s="108"/>
      <c r="B112" s="109"/>
      <c r="C112" s="109"/>
      <c r="D112" s="109"/>
      <c r="E112" s="110"/>
      <c r="F112" s="110"/>
      <c r="G112" s="110"/>
      <c r="H112" s="110"/>
      <c r="I112" s="110"/>
      <c r="J112" s="110"/>
      <c r="K112" s="110"/>
      <c r="L112" s="110"/>
      <c r="M112" s="110"/>
      <c r="N112" s="110"/>
    </row>
    <row r="113" spans="1:14" s="111" customFormat="1" x14ac:dyDescent="0.2">
      <c r="A113" s="112"/>
      <c r="B113" s="113"/>
      <c r="C113" s="113"/>
      <c r="D113" s="113"/>
      <c r="E113" s="114"/>
      <c r="F113" s="114"/>
      <c r="G113" s="114"/>
      <c r="H113" s="114"/>
      <c r="I113" s="114"/>
      <c r="J113" s="114"/>
      <c r="K113" s="114"/>
      <c r="L113" s="114"/>
      <c r="M113" s="114"/>
      <c r="N113" s="115"/>
    </row>
    <row r="114" spans="1:14" s="111" customFormat="1" ht="15" x14ac:dyDescent="0.2">
      <c r="A114" s="116"/>
      <c r="B114" s="462" t="s">
        <v>1221</v>
      </c>
      <c r="C114" s="463"/>
      <c r="D114" s="463"/>
      <c r="E114" s="463"/>
      <c r="F114" s="463"/>
      <c r="G114" s="463"/>
      <c r="H114" s="463"/>
      <c r="I114" s="463"/>
      <c r="J114" s="463"/>
      <c r="K114" s="463"/>
      <c r="L114" s="463"/>
      <c r="M114" s="464"/>
      <c r="N114" s="117" t="s">
        <v>904</v>
      </c>
    </row>
    <row r="115" spans="1:14" s="111" customFormat="1" x14ac:dyDescent="0.2">
      <c r="A115" s="116"/>
      <c r="B115" s="118" t="s">
        <v>428</v>
      </c>
      <c r="C115" s="119" t="s">
        <v>372</v>
      </c>
      <c r="D115" s="119"/>
      <c r="E115" s="120"/>
      <c r="F115" s="120"/>
      <c r="G115" s="120"/>
      <c r="H115" s="120"/>
      <c r="I115" s="120"/>
      <c r="J115" s="120"/>
      <c r="K115" s="120"/>
      <c r="L115" s="120"/>
      <c r="M115" s="120"/>
      <c r="N115" s="101"/>
    </row>
    <row r="116" spans="1:14" s="111" customFormat="1" x14ac:dyDescent="0.2">
      <c r="A116" s="116"/>
      <c r="B116" s="118" t="s">
        <v>429</v>
      </c>
      <c r="C116" s="119" t="s">
        <v>824</v>
      </c>
      <c r="D116" s="119"/>
      <c r="E116" s="120"/>
      <c r="F116" s="120"/>
      <c r="G116" s="120"/>
      <c r="H116" s="120"/>
      <c r="I116" s="120"/>
      <c r="J116" s="120"/>
      <c r="K116" s="120"/>
      <c r="L116" s="120"/>
      <c r="M116" s="120"/>
      <c r="N116" s="101"/>
    </row>
    <row r="117" spans="1:14" s="111" customFormat="1" x14ac:dyDescent="0.2">
      <c r="A117" s="116"/>
      <c r="B117" s="118" t="s">
        <v>427</v>
      </c>
      <c r="C117" s="465" t="s">
        <v>1388</v>
      </c>
      <c r="D117" s="465"/>
      <c r="E117" s="465"/>
      <c r="F117" s="465"/>
      <c r="G117" s="465"/>
      <c r="H117" s="465"/>
      <c r="I117" s="465"/>
      <c r="J117" s="465"/>
      <c r="K117" s="465"/>
      <c r="L117" s="465"/>
      <c r="M117" s="465"/>
      <c r="N117" s="466"/>
    </row>
    <row r="118" spans="1:14" s="111" customFormat="1" x14ac:dyDescent="0.2">
      <c r="A118" s="116"/>
      <c r="B118" s="109"/>
      <c r="C118" s="465"/>
      <c r="D118" s="465"/>
      <c r="E118" s="465"/>
      <c r="F118" s="465"/>
      <c r="G118" s="465"/>
      <c r="H118" s="465"/>
      <c r="I118" s="465"/>
      <c r="J118" s="465"/>
      <c r="K118" s="465"/>
      <c r="L118" s="465"/>
      <c r="M118" s="465"/>
      <c r="N118" s="466"/>
    </row>
    <row r="119" spans="1:14" s="111" customFormat="1" x14ac:dyDescent="0.2">
      <c r="A119" s="116"/>
      <c r="B119" s="109"/>
      <c r="C119" s="465"/>
      <c r="D119" s="465"/>
      <c r="E119" s="465"/>
      <c r="F119" s="465"/>
      <c r="G119" s="465"/>
      <c r="H119" s="465"/>
      <c r="I119" s="465"/>
      <c r="J119" s="465"/>
      <c r="K119" s="465"/>
      <c r="L119" s="465"/>
      <c r="M119" s="465"/>
      <c r="N119" s="466"/>
    </row>
    <row r="120" spans="1:14" s="111" customFormat="1" x14ac:dyDescent="0.2">
      <c r="A120" s="116"/>
      <c r="B120" s="109"/>
      <c r="C120" s="468"/>
      <c r="D120" s="468"/>
      <c r="E120" s="468"/>
      <c r="F120" s="468"/>
      <c r="G120" s="468"/>
      <c r="H120" s="468"/>
      <c r="I120" s="468"/>
      <c r="J120" s="468"/>
      <c r="K120" s="468"/>
      <c r="L120" s="468"/>
      <c r="M120" s="468"/>
      <c r="N120" s="469"/>
    </row>
    <row r="121" spans="1:14" s="111" customFormat="1" x14ac:dyDescent="0.2">
      <c r="A121" s="116"/>
      <c r="B121" s="109"/>
      <c r="C121" s="468"/>
      <c r="D121" s="468"/>
      <c r="E121" s="468"/>
      <c r="F121" s="468"/>
      <c r="G121" s="468"/>
      <c r="H121" s="468"/>
      <c r="I121" s="468"/>
      <c r="J121" s="468"/>
      <c r="K121" s="468"/>
      <c r="L121" s="468"/>
      <c r="M121" s="468"/>
      <c r="N121" s="469"/>
    </row>
    <row r="122" spans="1:14" s="111" customFormat="1" x14ac:dyDescent="0.2">
      <c r="A122" s="116"/>
      <c r="B122" s="109"/>
      <c r="C122" s="468"/>
      <c r="D122" s="468"/>
      <c r="E122" s="468"/>
      <c r="F122" s="468"/>
      <c r="G122" s="468"/>
      <c r="H122" s="468"/>
      <c r="I122" s="468"/>
      <c r="J122" s="468"/>
      <c r="K122" s="468"/>
      <c r="L122" s="468"/>
      <c r="M122" s="468"/>
      <c r="N122" s="469"/>
    </row>
    <row r="123" spans="1:14" s="111" customFormat="1" x14ac:dyDescent="0.2">
      <c r="A123" s="116"/>
      <c r="B123" s="118" t="s">
        <v>426</v>
      </c>
      <c r="C123" s="119" t="s">
        <v>573</v>
      </c>
      <c r="D123" s="119"/>
      <c r="E123" s="120"/>
      <c r="F123" s="120"/>
      <c r="G123" s="120"/>
      <c r="H123" s="120"/>
      <c r="I123" s="120"/>
      <c r="J123" s="120"/>
      <c r="K123" s="120"/>
      <c r="L123" s="120"/>
      <c r="M123" s="120"/>
      <c r="N123" s="101"/>
    </row>
    <row r="124" spans="1:14" s="111" customFormat="1" x14ac:dyDescent="0.2">
      <c r="A124" s="116"/>
      <c r="B124" s="118" t="s">
        <v>430</v>
      </c>
      <c r="C124" s="474" t="s">
        <v>574</v>
      </c>
      <c r="D124" s="475"/>
      <c r="E124" s="475"/>
      <c r="F124" s="475"/>
      <c r="G124" s="475"/>
      <c r="H124" s="475"/>
      <c r="I124" s="475"/>
      <c r="J124" s="475"/>
      <c r="K124" s="475"/>
      <c r="L124" s="475"/>
      <c r="M124" s="475"/>
      <c r="N124" s="476"/>
    </row>
    <row r="125" spans="1:14" s="111" customFormat="1" ht="13.5" thickBot="1" x14ac:dyDescent="0.25">
      <c r="A125" s="116"/>
      <c r="B125" s="118"/>
      <c r="C125" s="477"/>
      <c r="D125" s="477"/>
      <c r="E125" s="477"/>
      <c r="F125" s="477"/>
      <c r="G125" s="477"/>
      <c r="H125" s="477"/>
      <c r="I125" s="477"/>
      <c r="J125" s="477"/>
      <c r="K125" s="477"/>
      <c r="L125" s="477"/>
      <c r="M125" s="477"/>
      <c r="N125" s="478"/>
    </row>
    <row r="126" spans="1:14" s="111" customFormat="1" x14ac:dyDescent="0.2">
      <c r="A126" s="112"/>
      <c r="B126" s="113" t="s">
        <v>263</v>
      </c>
      <c r="C126" s="113"/>
      <c r="D126" s="113"/>
      <c r="E126" s="114"/>
      <c r="F126" s="114"/>
      <c r="G126" s="114"/>
      <c r="H126" s="114"/>
      <c r="I126" s="114"/>
      <c r="J126" s="127" t="s">
        <v>1782</v>
      </c>
      <c r="K126" s="126" t="s">
        <v>1783</v>
      </c>
      <c r="L126" s="126" t="s">
        <v>167</v>
      </c>
      <c r="M126" s="126"/>
      <c r="N126" s="126"/>
    </row>
    <row r="127" spans="1:14" s="111" customFormat="1" ht="13.5" thickBot="1" x14ac:dyDescent="0.25">
      <c r="A127" s="121"/>
      <c r="B127" s="122" t="s">
        <v>263</v>
      </c>
      <c r="C127" s="122"/>
      <c r="D127" s="122"/>
      <c r="E127" s="123"/>
      <c r="F127" s="123"/>
      <c r="G127" s="123"/>
      <c r="H127" s="123"/>
      <c r="I127" s="123"/>
      <c r="J127" s="125" t="s">
        <v>1597</v>
      </c>
      <c r="K127" s="105" t="s">
        <v>1784</v>
      </c>
      <c r="L127" s="105" t="s">
        <v>1785</v>
      </c>
      <c r="M127" s="105" t="s">
        <v>1786</v>
      </c>
      <c r="N127" s="105"/>
    </row>
    <row r="128" spans="1:14" s="111" customFormat="1" x14ac:dyDescent="0.2">
      <c r="A128" s="116"/>
      <c r="B128" s="119" t="s">
        <v>300</v>
      </c>
      <c r="C128" s="119"/>
      <c r="D128" s="119"/>
      <c r="E128" s="120"/>
      <c r="F128" s="120" t="s">
        <v>1180</v>
      </c>
      <c r="G128" s="120" t="s">
        <v>68</v>
      </c>
      <c r="H128" s="120" t="s">
        <v>702</v>
      </c>
      <c r="I128" s="120"/>
      <c r="J128" s="100">
        <f>208/ATHENS!O1*ATHENS!O2</f>
        <v>378.18181818181813</v>
      </c>
      <c r="K128" s="100">
        <f>299/ATHENS!O1*ATHENS!O2</f>
        <v>543.63636363636363</v>
      </c>
      <c r="L128" s="100">
        <f>410/ATHENS!O1*ATHENS!O2</f>
        <v>745.45454545454538</v>
      </c>
      <c r="M128" s="100">
        <f>530/ATHENS!O1*ATHENS!O2</f>
        <v>963.63636363636351</v>
      </c>
      <c r="N128" s="100"/>
    </row>
    <row r="129" spans="1:14" s="111" customFormat="1" x14ac:dyDescent="0.2">
      <c r="A129" s="116"/>
      <c r="B129" s="119" t="s">
        <v>300</v>
      </c>
      <c r="C129" s="119"/>
      <c r="D129" s="119"/>
      <c r="E129" s="120"/>
      <c r="F129" s="120" t="s">
        <v>1181</v>
      </c>
      <c r="G129" s="120" t="s">
        <v>68</v>
      </c>
      <c r="H129" s="120" t="s">
        <v>702</v>
      </c>
      <c r="I129" s="120"/>
      <c r="J129" s="100">
        <f>111/ATHENS!O1*ATHENS!O2</f>
        <v>201.81818181818181</v>
      </c>
      <c r="K129" s="100">
        <f>156.5/ATHENS!O1*ATHENS!O2</f>
        <v>284.5454545454545</v>
      </c>
      <c r="L129" s="100">
        <f>212/ATHENS!O1*ATHENS!O2</f>
        <v>385.45454545454544</v>
      </c>
      <c r="M129" s="100">
        <f>272/ATHENS!O1*ATHENS!O2</f>
        <v>494.5454545454545</v>
      </c>
      <c r="N129" s="100"/>
    </row>
    <row r="130" spans="1:14" s="111" customFormat="1" x14ac:dyDescent="0.2">
      <c r="A130" s="116"/>
      <c r="B130" s="119" t="s">
        <v>300</v>
      </c>
      <c r="C130" s="119"/>
      <c r="D130" s="119"/>
      <c r="E130" s="120"/>
      <c r="F130" s="120" t="s">
        <v>1182</v>
      </c>
      <c r="G130" s="120" t="s">
        <v>68</v>
      </c>
      <c r="H130" s="120" t="s">
        <v>702</v>
      </c>
      <c r="I130" s="120"/>
      <c r="J130" s="100">
        <f>91.6/ATHENS!O1*ATHENS!O2</f>
        <v>166.54545454545453</v>
      </c>
      <c r="K130" s="100">
        <f>133.5/ATHENS!O1*ATHENS!O2</f>
        <v>242.72727272727272</v>
      </c>
      <c r="L130" s="100">
        <f>174.5/ATHENS!O1*ATHENS!O2</f>
        <v>317.27272727272725</v>
      </c>
      <c r="M130" s="100">
        <f>221.5/ATHENS!O1*ATHENS!O2</f>
        <v>402.72727272727269</v>
      </c>
      <c r="N130" s="100"/>
    </row>
    <row r="131" spans="1:14" s="111" customFormat="1" x14ac:dyDescent="0.2">
      <c r="A131" s="116"/>
      <c r="B131" s="461" t="s">
        <v>301</v>
      </c>
      <c r="C131" s="461"/>
      <c r="D131" s="461"/>
      <c r="E131" s="120"/>
      <c r="F131" s="120" t="s">
        <v>1180</v>
      </c>
      <c r="G131" s="120" t="s">
        <v>68</v>
      </c>
      <c r="H131" s="120" t="s">
        <v>702</v>
      </c>
      <c r="I131" s="120"/>
      <c r="J131" s="100">
        <f>150/ATHENS!O1*ATHENS!O2</f>
        <v>272.72727272727269</v>
      </c>
      <c r="K131" s="100">
        <f>226/ATHENS!O1*ATHENS!O2</f>
        <v>410.90909090909088</v>
      </c>
      <c r="L131" s="100">
        <f>305/ATHENS!O1*ATHENS!O2</f>
        <v>554.5454545454545</v>
      </c>
      <c r="M131" s="100">
        <f>412/ATHENS!O1*ATHENS!O2</f>
        <v>749.09090909090901</v>
      </c>
      <c r="N131" s="100"/>
    </row>
    <row r="132" spans="1:14" s="111" customFormat="1" x14ac:dyDescent="0.2">
      <c r="A132" s="116"/>
      <c r="B132" s="461" t="s">
        <v>301</v>
      </c>
      <c r="C132" s="461"/>
      <c r="D132" s="461"/>
      <c r="E132" s="120"/>
      <c r="F132" s="120" t="s">
        <v>1181</v>
      </c>
      <c r="G132" s="120" t="s">
        <v>68</v>
      </c>
      <c r="H132" s="120" t="s">
        <v>702</v>
      </c>
      <c r="I132" s="120"/>
      <c r="J132" s="100">
        <f>82/ATHENS!O1*ATHENS!O2</f>
        <v>149.09090909090907</v>
      </c>
      <c r="K132" s="100">
        <f>120/ATHENS!O1*ATHENS!O2</f>
        <v>218.18181818181816</v>
      </c>
      <c r="L132" s="100">
        <f>159.5/ATHENS!O1*ATHENS!O2</f>
        <v>290</v>
      </c>
      <c r="M132" s="100">
        <f>213/ATHENS!O1*ATHENS!O2</f>
        <v>387.27272727272725</v>
      </c>
      <c r="N132" s="100"/>
    </row>
    <row r="133" spans="1:14" s="111" customFormat="1" x14ac:dyDescent="0.2">
      <c r="A133" s="116"/>
      <c r="B133" s="461" t="s">
        <v>301</v>
      </c>
      <c r="C133" s="461"/>
      <c r="D133" s="461"/>
      <c r="E133" s="120"/>
      <c r="F133" s="120" t="s">
        <v>1182</v>
      </c>
      <c r="G133" s="120" t="s">
        <v>68</v>
      </c>
      <c r="H133" s="120" t="s">
        <v>702</v>
      </c>
      <c r="I133" s="120"/>
      <c r="J133" s="100">
        <f>69.5/ATHENS!O1*ATHENS!O2</f>
        <v>126.36363636363636</v>
      </c>
      <c r="K133" s="100">
        <f>104.5/ATHENS!O1*ATHENS!O2</f>
        <v>189.99999999999997</v>
      </c>
      <c r="L133" s="100">
        <f>138/ATHENS!O1*ATHENS!O2</f>
        <v>250.90909090909088</v>
      </c>
      <c r="M133" s="100">
        <f>181/ATHENS!O1*ATHENS!O2</f>
        <v>329.09090909090907</v>
      </c>
      <c r="N133" s="100"/>
    </row>
    <row r="134" spans="1:14" s="111" customFormat="1" ht="13.5" thickBot="1" x14ac:dyDescent="0.25">
      <c r="A134" s="121"/>
      <c r="B134" s="460" t="s">
        <v>902</v>
      </c>
      <c r="C134" s="460"/>
      <c r="D134" s="460"/>
      <c r="E134" s="123"/>
      <c r="F134" s="123"/>
      <c r="G134" s="123"/>
      <c r="H134" s="123" t="s">
        <v>702</v>
      </c>
      <c r="I134" s="123"/>
      <c r="J134" s="105">
        <f>47/ATHENS!O1*ATHENS!O2</f>
        <v>85.454545454545453</v>
      </c>
      <c r="K134" s="105">
        <f>47/ATHENS!O1*ATHENS!O2</f>
        <v>85.454545454545453</v>
      </c>
      <c r="L134" s="105">
        <f>47/ATHENS!O1*ATHENS!O2</f>
        <v>85.454545454545453</v>
      </c>
      <c r="M134" s="105">
        <f>47/ATHENS!O1*ATHENS!O2</f>
        <v>85.454545454545453</v>
      </c>
      <c r="N134" s="105"/>
    </row>
    <row r="135" spans="1:14" s="111" customFormat="1" x14ac:dyDescent="0.2">
      <c r="A135" s="108"/>
      <c r="B135" s="109"/>
      <c r="C135" s="109"/>
      <c r="D135" s="109"/>
      <c r="E135" s="110"/>
      <c r="F135" s="110"/>
      <c r="G135" s="110"/>
      <c r="H135" s="110"/>
      <c r="I135" s="110"/>
      <c r="J135" s="110"/>
      <c r="K135" s="110"/>
      <c r="L135" s="110"/>
      <c r="M135" s="110"/>
      <c r="N135" s="110"/>
    </row>
    <row r="136" spans="1:14" s="111" customFormat="1" ht="13.5" thickBot="1" x14ac:dyDescent="0.25">
      <c r="A136" s="108"/>
      <c r="B136" s="109"/>
      <c r="C136" s="109"/>
      <c r="D136" s="109"/>
      <c r="E136" s="110"/>
      <c r="F136" s="110"/>
      <c r="G136" s="110"/>
      <c r="H136" s="110"/>
      <c r="I136" s="110"/>
      <c r="J136" s="110"/>
      <c r="K136" s="110"/>
      <c r="L136" s="110"/>
      <c r="M136" s="110"/>
      <c r="N136" s="110"/>
    </row>
    <row r="137" spans="1:14" s="111" customFormat="1" x14ac:dyDescent="0.2">
      <c r="A137" s="112"/>
      <c r="B137" s="113"/>
      <c r="C137" s="113"/>
      <c r="D137" s="113"/>
      <c r="E137" s="114"/>
      <c r="F137" s="114"/>
      <c r="G137" s="114"/>
      <c r="H137" s="114"/>
      <c r="I137" s="114"/>
      <c r="J137" s="114"/>
      <c r="K137" s="114"/>
      <c r="L137" s="114"/>
      <c r="M137" s="114"/>
      <c r="N137" s="115"/>
    </row>
    <row r="138" spans="1:14" s="111" customFormat="1" ht="15" x14ac:dyDescent="0.2">
      <c r="A138" s="116"/>
      <c r="B138" s="462" t="s">
        <v>744</v>
      </c>
      <c r="C138" s="463"/>
      <c r="D138" s="463"/>
      <c r="E138" s="463"/>
      <c r="F138" s="463"/>
      <c r="G138" s="463"/>
      <c r="H138" s="463"/>
      <c r="I138" s="463"/>
      <c r="J138" s="463"/>
      <c r="K138" s="463"/>
      <c r="L138" s="463"/>
      <c r="M138" s="464"/>
      <c r="N138" s="117" t="s">
        <v>904</v>
      </c>
    </row>
    <row r="139" spans="1:14" s="111" customFormat="1" x14ac:dyDescent="0.2">
      <c r="A139" s="116"/>
      <c r="B139" s="118" t="s">
        <v>428</v>
      </c>
      <c r="C139" s="119" t="s">
        <v>130</v>
      </c>
      <c r="D139" s="119"/>
      <c r="E139" s="120"/>
      <c r="F139" s="120"/>
      <c r="G139" s="120"/>
      <c r="H139" s="120"/>
      <c r="I139" s="120"/>
      <c r="J139" s="120"/>
      <c r="K139" s="120"/>
      <c r="L139" s="120"/>
      <c r="M139" s="120"/>
      <c r="N139" s="101"/>
    </row>
    <row r="140" spans="1:14" s="111" customFormat="1" x14ac:dyDescent="0.2">
      <c r="A140" s="116"/>
      <c r="B140" s="118" t="s">
        <v>429</v>
      </c>
      <c r="C140" s="119" t="s">
        <v>825</v>
      </c>
      <c r="D140" s="119"/>
      <c r="E140" s="120"/>
      <c r="F140" s="120"/>
      <c r="G140" s="120"/>
      <c r="H140" s="120"/>
      <c r="I140" s="120"/>
      <c r="J140" s="120"/>
      <c r="K140" s="120"/>
      <c r="L140" s="120"/>
      <c r="M140" s="120"/>
      <c r="N140" s="101"/>
    </row>
    <row r="141" spans="1:14" s="111" customFormat="1" x14ac:dyDescent="0.2">
      <c r="A141" s="116"/>
      <c r="B141" s="118" t="s">
        <v>427</v>
      </c>
      <c r="C141" s="465" t="s">
        <v>1311</v>
      </c>
      <c r="D141" s="465"/>
      <c r="E141" s="465"/>
      <c r="F141" s="465"/>
      <c r="G141" s="465"/>
      <c r="H141" s="465"/>
      <c r="I141" s="465"/>
      <c r="J141" s="465"/>
      <c r="K141" s="465"/>
      <c r="L141" s="465"/>
      <c r="M141" s="465"/>
      <c r="N141" s="466"/>
    </row>
    <row r="142" spans="1:14" s="111" customFormat="1" x14ac:dyDescent="0.2">
      <c r="A142" s="116"/>
      <c r="B142" s="109"/>
      <c r="C142" s="465"/>
      <c r="D142" s="465"/>
      <c r="E142" s="465"/>
      <c r="F142" s="465"/>
      <c r="G142" s="465"/>
      <c r="H142" s="465"/>
      <c r="I142" s="465"/>
      <c r="J142" s="465"/>
      <c r="K142" s="465"/>
      <c r="L142" s="465"/>
      <c r="M142" s="465"/>
      <c r="N142" s="466"/>
    </row>
    <row r="143" spans="1:14" s="111" customFormat="1" x14ac:dyDescent="0.2">
      <c r="A143" s="116"/>
      <c r="B143" s="109"/>
      <c r="C143" s="465"/>
      <c r="D143" s="465"/>
      <c r="E143" s="465"/>
      <c r="F143" s="465"/>
      <c r="G143" s="465"/>
      <c r="H143" s="465"/>
      <c r="I143" s="465"/>
      <c r="J143" s="465"/>
      <c r="K143" s="465"/>
      <c r="L143" s="465"/>
      <c r="M143" s="465"/>
      <c r="N143" s="466"/>
    </row>
    <row r="144" spans="1:14" s="111" customFormat="1" x14ac:dyDescent="0.2">
      <c r="A144" s="116"/>
      <c r="B144" s="109"/>
      <c r="C144" s="468"/>
      <c r="D144" s="468"/>
      <c r="E144" s="468"/>
      <c r="F144" s="468"/>
      <c r="G144" s="468"/>
      <c r="H144" s="468"/>
      <c r="I144" s="468"/>
      <c r="J144" s="468"/>
      <c r="K144" s="468"/>
      <c r="L144" s="468"/>
      <c r="M144" s="468"/>
      <c r="N144" s="469"/>
    </row>
    <row r="145" spans="1:14" s="111" customFormat="1" x14ac:dyDescent="0.2">
      <c r="A145" s="116"/>
      <c r="B145" s="109"/>
      <c r="C145" s="468"/>
      <c r="D145" s="468"/>
      <c r="E145" s="468"/>
      <c r="F145" s="468"/>
      <c r="G145" s="468"/>
      <c r="H145" s="468"/>
      <c r="I145" s="468"/>
      <c r="J145" s="468"/>
      <c r="K145" s="468"/>
      <c r="L145" s="468"/>
      <c r="M145" s="468"/>
      <c r="N145" s="469"/>
    </row>
    <row r="146" spans="1:14" s="111" customFormat="1" ht="13.5" thickBot="1" x14ac:dyDescent="0.25">
      <c r="A146" s="116"/>
      <c r="B146" s="118" t="s">
        <v>426</v>
      </c>
      <c r="C146" s="119" t="s">
        <v>775</v>
      </c>
      <c r="D146" s="119"/>
      <c r="E146" s="120"/>
      <c r="F146" s="120"/>
      <c r="G146" s="120"/>
      <c r="H146" s="120"/>
      <c r="I146" s="120"/>
      <c r="J146" s="120"/>
      <c r="K146" s="120"/>
      <c r="L146" s="120"/>
      <c r="M146" s="120"/>
      <c r="N146" s="101"/>
    </row>
    <row r="147" spans="1:14" s="111" customFormat="1" x14ac:dyDescent="0.2">
      <c r="A147" s="112"/>
      <c r="B147" s="113" t="s">
        <v>263</v>
      </c>
      <c r="C147" s="113"/>
      <c r="D147" s="113"/>
      <c r="E147" s="114"/>
      <c r="F147" s="114"/>
      <c r="G147" s="114"/>
      <c r="H147" s="114"/>
      <c r="I147" s="114"/>
      <c r="J147" s="127" t="s">
        <v>1949</v>
      </c>
      <c r="K147" s="126" t="s">
        <v>1951</v>
      </c>
      <c r="L147" s="126"/>
      <c r="N147" s="126"/>
    </row>
    <row r="148" spans="1:14" s="111" customFormat="1" ht="13.5" thickBot="1" x14ac:dyDescent="0.25">
      <c r="A148" s="121"/>
      <c r="B148" s="119"/>
      <c r="C148" s="122"/>
      <c r="D148" s="122"/>
      <c r="E148" s="123"/>
      <c r="F148" s="123"/>
      <c r="G148" s="123"/>
      <c r="H148" s="123"/>
      <c r="I148" s="123"/>
      <c r="J148" s="125" t="s">
        <v>1950</v>
      </c>
      <c r="K148" s="105" t="s">
        <v>1387</v>
      </c>
      <c r="L148" s="105" t="s">
        <v>1952</v>
      </c>
      <c r="N148" s="105"/>
    </row>
    <row r="149" spans="1:14" s="111" customFormat="1" x14ac:dyDescent="0.2">
      <c r="A149" s="112"/>
      <c r="B149" s="467" t="s">
        <v>901</v>
      </c>
      <c r="C149" s="467"/>
      <c r="D149" s="467"/>
      <c r="E149" s="114"/>
      <c r="F149" s="114" t="s">
        <v>518</v>
      </c>
      <c r="G149" s="114" t="s">
        <v>68</v>
      </c>
      <c r="H149" s="114" t="s">
        <v>702</v>
      </c>
      <c r="I149" s="114"/>
      <c r="J149" s="100">
        <f>157.5/ATHENS!O1*ATHENS!O2</f>
        <v>286.36363636363632</v>
      </c>
      <c r="K149" s="100">
        <f>215/ATHENS!O1*ATHENS!O2</f>
        <v>390.90909090909088</v>
      </c>
      <c r="L149" s="100">
        <f>265/ATHENS!O1*ATHENS!O2</f>
        <v>481.81818181818176</v>
      </c>
      <c r="M149" s="100"/>
      <c r="N149" s="126"/>
    </row>
    <row r="150" spans="1:14" s="111" customFormat="1" x14ac:dyDescent="0.2">
      <c r="A150" s="116"/>
      <c r="B150" s="119" t="s">
        <v>901</v>
      </c>
      <c r="C150" s="119"/>
      <c r="D150" s="119"/>
      <c r="E150" s="120"/>
      <c r="F150" s="120" t="s">
        <v>705</v>
      </c>
      <c r="G150" s="120" t="s">
        <v>68</v>
      </c>
      <c r="H150" s="120" t="s">
        <v>702</v>
      </c>
      <c r="I150" s="120"/>
      <c r="J150" s="100">
        <f>105/ATHENS!O1*ATHENS!O2</f>
        <v>190.90909090909091</v>
      </c>
      <c r="K150" s="100">
        <f>143.5/ATHENS!O1*ATHENS!O2</f>
        <v>260.90909090909088</v>
      </c>
      <c r="L150" s="100">
        <f>176.6/ATHENS!O1*ATHENS!O2</f>
        <v>321.09090909090907</v>
      </c>
      <c r="M150" s="100"/>
      <c r="N150" s="100"/>
    </row>
    <row r="151" spans="1:14" s="111" customFormat="1" x14ac:dyDescent="0.2">
      <c r="A151" s="116"/>
      <c r="B151" s="461" t="s">
        <v>760</v>
      </c>
      <c r="C151" s="461"/>
      <c r="D151" s="461"/>
      <c r="E151" s="120"/>
      <c r="F151" s="120" t="s">
        <v>1180</v>
      </c>
      <c r="G151" s="120" t="s">
        <v>68</v>
      </c>
      <c r="H151" s="120" t="s">
        <v>702</v>
      </c>
      <c r="I151" s="120"/>
      <c r="J151" s="100">
        <f>227/ATHENS!O1*ATHENS!O2</f>
        <v>412.72727272727269</v>
      </c>
      <c r="K151" s="100">
        <f>315/ATHENS!O1*ATHENS!O2</f>
        <v>572.72727272727263</v>
      </c>
      <c r="L151" s="100">
        <f>430/ATHENS!O1*ATHENS!O2</f>
        <v>781.81818181818176</v>
      </c>
      <c r="M151" s="100"/>
      <c r="N151" s="100"/>
    </row>
    <row r="152" spans="1:14" s="111" customFormat="1" x14ac:dyDescent="0.2">
      <c r="A152" s="116"/>
      <c r="B152" s="461" t="s">
        <v>760</v>
      </c>
      <c r="C152" s="461"/>
      <c r="D152" s="461"/>
      <c r="E152" s="120"/>
      <c r="F152" s="120" t="s">
        <v>1181</v>
      </c>
      <c r="G152" s="120" t="s">
        <v>68</v>
      </c>
      <c r="H152" s="120" t="s">
        <v>702</v>
      </c>
      <c r="I152" s="120"/>
      <c r="J152" s="100">
        <f>113.5/ATHENS!O1*ATHENS!O2</f>
        <v>206.36363636363635</v>
      </c>
      <c r="K152" s="100">
        <f>157.5/ATHENS!O1*ATHENS!O2</f>
        <v>286.36363636363632</v>
      </c>
      <c r="L152" s="100">
        <f>215/ATHENS!O1*ATHENS!O2</f>
        <v>390.90909090909088</v>
      </c>
      <c r="M152" s="100"/>
      <c r="N152" s="100"/>
    </row>
    <row r="153" spans="1:14" s="111" customFormat="1" x14ac:dyDescent="0.2">
      <c r="A153" s="116"/>
      <c r="B153" s="461" t="s">
        <v>760</v>
      </c>
      <c r="C153" s="461"/>
      <c r="D153" s="461"/>
      <c r="E153" s="120"/>
      <c r="F153" s="120" t="s">
        <v>1182</v>
      </c>
      <c r="G153" s="120" t="s">
        <v>68</v>
      </c>
      <c r="H153" s="120" t="s">
        <v>702</v>
      </c>
      <c r="I153" s="120"/>
      <c r="J153" s="100">
        <f>75.6/ATHENS!O1*ATHENS!O2</f>
        <v>137.45454545454544</v>
      </c>
      <c r="K153" s="100">
        <f>105/ATHENS!O1*ATHENS!O2</f>
        <v>190.90909090909091</v>
      </c>
      <c r="L153" s="100">
        <f>143.5/ATHENS!O1*ATHENS!O2</f>
        <v>260.90909090909088</v>
      </c>
      <c r="M153" s="100"/>
      <c r="N153" s="100"/>
    </row>
    <row r="154" spans="1:14" s="111" customFormat="1" x14ac:dyDescent="0.2">
      <c r="A154" s="116"/>
      <c r="B154" s="461" t="s">
        <v>67</v>
      </c>
      <c r="C154" s="461"/>
      <c r="D154" s="461"/>
      <c r="E154" s="120"/>
      <c r="F154" s="120" t="s">
        <v>1180</v>
      </c>
      <c r="G154" s="120" t="s">
        <v>68</v>
      </c>
      <c r="H154" s="120" t="s">
        <v>702</v>
      </c>
      <c r="I154" s="120"/>
      <c r="J154" s="100">
        <f>152/ATHENS!O1*ATHENS!O2</f>
        <v>276.36363636363632</v>
      </c>
      <c r="K154" s="100">
        <f>230/ATHENS!O1*ATHENS!O2</f>
        <v>418.18181818181813</v>
      </c>
      <c r="L154" s="100">
        <f>330/ATHENS!O1*ATHENS!O2</f>
        <v>600</v>
      </c>
      <c r="M154" s="100"/>
      <c r="N154" s="100"/>
    </row>
    <row r="155" spans="1:14" s="111" customFormat="1" x14ac:dyDescent="0.2">
      <c r="A155" s="116"/>
      <c r="B155" s="461" t="s">
        <v>67</v>
      </c>
      <c r="C155" s="461"/>
      <c r="D155" s="461"/>
      <c r="E155" s="120"/>
      <c r="F155" s="120" t="s">
        <v>1181</v>
      </c>
      <c r="G155" s="120" t="s">
        <v>68</v>
      </c>
      <c r="H155" s="120" t="s">
        <v>702</v>
      </c>
      <c r="I155" s="120"/>
      <c r="J155" s="100">
        <f>68/ATHENS!O1*ATHENS!O2</f>
        <v>123.63636363636363</v>
      </c>
      <c r="K155" s="100">
        <f>96.5/ATHENS!O1*ATHENS!O2</f>
        <v>175.45454545454544</v>
      </c>
      <c r="L155" s="100">
        <f>140/ATHENS!O1*ATHENS!O2</f>
        <v>254.54545454545453</v>
      </c>
      <c r="M155" s="100"/>
      <c r="N155" s="100"/>
    </row>
    <row r="156" spans="1:14" s="111" customFormat="1" x14ac:dyDescent="0.2">
      <c r="A156" s="116"/>
      <c r="B156" s="461" t="s">
        <v>67</v>
      </c>
      <c r="C156" s="461"/>
      <c r="D156" s="461"/>
      <c r="E156" s="120"/>
      <c r="F156" s="120" t="s">
        <v>1182</v>
      </c>
      <c r="G156" s="120" t="s">
        <v>68</v>
      </c>
      <c r="H156" s="120" t="s">
        <v>702</v>
      </c>
      <c r="I156" s="120"/>
      <c r="J156" s="100">
        <f>66/ATHENS!O1*ATHENS!O2</f>
        <v>119.99999999999999</v>
      </c>
      <c r="K156" s="100">
        <f>94.5/ATHENS!O1*ATHENS!O2</f>
        <v>171.81818181818181</v>
      </c>
      <c r="L156" s="100">
        <f>128.5/ATHENS!O1*ATHENS!O2</f>
        <v>233.63636363636363</v>
      </c>
      <c r="M156" s="100"/>
      <c r="N156" s="100"/>
    </row>
    <row r="157" spans="1:14" s="111" customFormat="1" ht="13.5" thickBot="1" x14ac:dyDescent="0.25">
      <c r="A157" s="121"/>
      <c r="B157" s="460" t="s">
        <v>902</v>
      </c>
      <c r="C157" s="460"/>
      <c r="D157" s="460"/>
      <c r="E157" s="123"/>
      <c r="F157" s="123"/>
      <c r="G157" s="123"/>
      <c r="H157" s="123" t="s">
        <v>702</v>
      </c>
      <c r="I157" s="123"/>
      <c r="J157" s="105">
        <f>50/ATHENS!O1*ATHENS!O2</f>
        <v>90.909090909090907</v>
      </c>
      <c r="K157" s="105">
        <f>50/ATHENS!O1*ATHENS!O2</f>
        <v>90.909090909090907</v>
      </c>
      <c r="L157" s="105">
        <f>50/ATHENS!O1*ATHENS!O2</f>
        <v>90.909090909090907</v>
      </c>
      <c r="M157" s="105"/>
      <c r="N157" s="105"/>
    </row>
    <row r="158" spans="1:14" s="111" customFormat="1" x14ac:dyDescent="0.2">
      <c r="A158" s="239"/>
      <c r="B158" s="119"/>
      <c r="C158" s="119"/>
      <c r="D158" s="119"/>
      <c r="E158" s="120"/>
      <c r="F158" s="120"/>
      <c r="G158" s="120"/>
      <c r="H158" s="120"/>
      <c r="I158" s="120"/>
      <c r="J158" s="120"/>
      <c r="K158" s="120"/>
      <c r="L158" s="120"/>
      <c r="M158" s="120"/>
      <c r="N158" s="120"/>
    </row>
    <row r="159" spans="1:14" s="111" customFormat="1" x14ac:dyDescent="0.2">
      <c r="A159" s="239"/>
      <c r="B159" s="119"/>
      <c r="C159" s="119"/>
      <c r="D159" s="119"/>
      <c r="E159" s="120"/>
      <c r="F159" s="120"/>
      <c r="G159" s="120"/>
      <c r="H159" s="120"/>
      <c r="I159" s="120"/>
      <c r="J159" s="120"/>
      <c r="K159" s="120"/>
      <c r="L159" s="120"/>
      <c r="M159" s="120"/>
      <c r="N159" s="120"/>
    </row>
    <row r="160" spans="1:14" s="111" customFormat="1" x14ac:dyDescent="0.2">
      <c r="A160" s="239"/>
      <c r="B160" s="119"/>
      <c r="C160" s="119"/>
      <c r="D160" s="119"/>
      <c r="E160" s="120"/>
      <c r="F160" s="120"/>
      <c r="G160" s="120"/>
      <c r="H160" s="120"/>
      <c r="I160" s="120"/>
      <c r="J160" s="120"/>
      <c r="K160" s="120"/>
      <c r="L160" s="120"/>
      <c r="M160" s="120"/>
      <c r="N160" s="120"/>
    </row>
    <row r="161" spans="1:14" s="111" customFormat="1" x14ac:dyDescent="0.2">
      <c r="A161" s="239"/>
      <c r="B161" s="119"/>
      <c r="C161" s="119"/>
      <c r="D161" s="119"/>
      <c r="E161" s="120"/>
      <c r="F161" s="120"/>
      <c r="G161" s="120"/>
      <c r="H161" s="120"/>
      <c r="I161" s="120"/>
      <c r="J161" s="120"/>
      <c r="K161" s="120"/>
      <c r="L161" s="120"/>
      <c r="M161" s="120"/>
      <c r="N161" s="120"/>
    </row>
    <row r="162" spans="1:14" s="111" customFormat="1" x14ac:dyDescent="0.2">
      <c r="A162" s="239"/>
      <c r="B162" s="119"/>
      <c r="C162" s="119"/>
      <c r="D162" s="119"/>
      <c r="E162" s="120"/>
      <c r="F162" s="120"/>
      <c r="G162" s="120"/>
      <c r="H162" s="120"/>
      <c r="I162" s="120"/>
      <c r="J162" s="120"/>
      <c r="K162" s="120"/>
      <c r="L162" s="120"/>
      <c r="M162" s="120"/>
      <c r="N162" s="120"/>
    </row>
    <row r="163" spans="1:14" s="111" customFormat="1" x14ac:dyDescent="0.2">
      <c r="A163" s="239"/>
      <c r="B163" s="119"/>
      <c r="C163" s="119"/>
      <c r="D163" s="119"/>
      <c r="E163" s="120"/>
      <c r="F163" s="120"/>
      <c r="G163" s="120"/>
      <c r="H163" s="120"/>
      <c r="I163" s="120"/>
      <c r="J163" s="120"/>
      <c r="K163" s="120"/>
      <c r="L163" s="120"/>
      <c r="M163" s="120"/>
      <c r="N163" s="120"/>
    </row>
    <row r="164" spans="1:14" s="111" customFormat="1" x14ac:dyDescent="0.2">
      <c r="A164" s="239"/>
      <c r="B164" s="119"/>
      <c r="C164" s="119"/>
      <c r="D164" s="119"/>
      <c r="E164" s="120"/>
      <c r="F164" s="120"/>
      <c r="G164" s="120"/>
      <c r="H164" s="120"/>
      <c r="I164" s="120"/>
      <c r="J164" s="120"/>
      <c r="K164" s="120"/>
      <c r="L164" s="120"/>
      <c r="M164" s="120"/>
      <c r="N164" s="120"/>
    </row>
    <row r="165" spans="1:14" s="111" customFormat="1" x14ac:dyDescent="0.2">
      <c r="A165" s="239"/>
      <c r="B165" s="119"/>
      <c r="C165" s="119"/>
      <c r="D165" s="119"/>
      <c r="E165" s="120"/>
      <c r="F165" s="120"/>
      <c r="G165" s="120"/>
      <c r="H165" s="120"/>
      <c r="I165" s="120"/>
      <c r="J165" s="120"/>
      <c r="K165" s="120"/>
      <c r="L165" s="120"/>
      <c r="M165" s="120"/>
      <c r="N165" s="120"/>
    </row>
    <row r="166" spans="1:14" s="111" customFormat="1" x14ac:dyDescent="0.2">
      <c r="A166" s="239"/>
      <c r="B166" s="119"/>
      <c r="C166" s="119"/>
      <c r="D166" s="119"/>
      <c r="E166" s="120"/>
      <c r="F166" s="120"/>
      <c r="G166" s="120"/>
      <c r="H166" s="120"/>
      <c r="I166" s="120"/>
      <c r="J166" s="120"/>
      <c r="K166" s="120"/>
      <c r="L166" s="120"/>
      <c r="M166" s="120"/>
      <c r="N166" s="120"/>
    </row>
    <row r="167" spans="1:14" s="111" customFormat="1" x14ac:dyDescent="0.2">
      <c r="A167" s="239"/>
      <c r="B167" s="119"/>
      <c r="C167" s="119"/>
      <c r="D167" s="119"/>
      <c r="E167" s="120"/>
      <c r="F167" s="120"/>
      <c r="G167" s="120"/>
      <c r="H167" s="120"/>
      <c r="I167" s="120"/>
      <c r="J167" s="120"/>
      <c r="K167" s="120"/>
      <c r="L167" s="120"/>
      <c r="M167" s="120"/>
      <c r="N167" s="120"/>
    </row>
    <row r="168" spans="1:14" s="111" customFormat="1" x14ac:dyDescent="0.2">
      <c r="A168" s="239"/>
      <c r="B168" s="119"/>
      <c r="C168" s="119"/>
      <c r="D168" s="119"/>
      <c r="E168" s="120"/>
      <c r="F168" s="120"/>
      <c r="G168" s="120"/>
      <c r="H168" s="120"/>
      <c r="I168" s="120"/>
      <c r="J168" s="120"/>
      <c r="K168" s="120"/>
      <c r="L168" s="120"/>
      <c r="M168" s="120"/>
      <c r="N168" s="120"/>
    </row>
    <row r="169" spans="1:14" s="111" customFormat="1" x14ac:dyDescent="0.2">
      <c r="A169" s="239"/>
      <c r="B169" s="119"/>
      <c r="C169" s="119"/>
      <c r="D169" s="119"/>
      <c r="E169" s="120"/>
      <c r="F169" s="120"/>
      <c r="G169" s="120"/>
      <c r="H169" s="120"/>
      <c r="I169" s="120"/>
      <c r="J169" s="120"/>
      <c r="K169" s="120"/>
      <c r="L169" s="120"/>
      <c r="M169" s="120"/>
      <c r="N169" s="120"/>
    </row>
    <row r="170" spans="1:14" s="111" customFormat="1" x14ac:dyDescent="0.2">
      <c r="A170" s="239"/>
      <c r="B170" s="119"/>
      <c r="C170" s="119"/>
      <c r="D170" s="119"/>
      <c r="E170" s="120"/>
      <c r="F170" s="120"/>
      <c r="G170" s="120"/>
      <c r="H170" s="120"/>
      <c r="I170" s="120"/>
      <c r="J170" s="120"/>
      <c r="K170" s="120"/>
      <c r="L170" s="120"/>
      <c r="M170" s="120"/>
      <c r="N170" s="120"/>
    </row>
    <row r="171" spans="1:14" s="111" customFormat="1" ht="13.5" thickBot="1" x14ac:dyDescent="0.25">
      <c r="A171" s="108"/>
      <c r="B171" s="109"/>
      <c r="C171" s="109"/>
      <c r="D171" s="109"/>
      <c r="E171" s="110"/>
      <c r="F171" s="110"/>
      <c r="G171" s="110"/>
      <c r="H171" s="110"/>
      <c r="I171" s="110"/>
      <c r="J171" s="110"/>
      <c r="K171" s="110"/>
      <c r="L171" s="110"/>
      <c r="M171" s="110"/>
      <c r="N171" s="110"/>
    </row>
    <row r="172" spans="1:14" s="111" customFormat="1" x14ac:dyDescent="0.2">
      <c r="A172" s="112"/>
      <c r="B172" s="113"/>
      <c r="C172" s="113"/>
      <c r="D172" s="113"/>
      <c r="E172" s="114"/>
      <c r="F172" s="114"/>
      <c r="G172" s="114"/>
      <c r="H172" s="114"/>
      <c r="I172" s="114"/>
      <c r="J172" s="114"/>
      <c r="K172" s="114"/>
      <c r="L172" s="114"/>
      <c r="M172" s="114"/>
      <c r="N172" s="115"/>
    </row>
    <row r="173" spans="1:14" s="111" customFormat="1" ht="15" x14ac:dyDescent="0.2">
      <c r="A173" s="116"/>
      <c r="B173" s="462" t="s">
        <v>288</v>
      </c>
      <c r="C173" s="463"/>
      <c r="D173" s="463"/>
      <c r="E173" s="463"/>
      <c r="F173" s="463"/>
      <c r="G173" s="463"/>
      <c r="H173" s="463"/>
      <c r="I173" s="463"/>
      <c r="J173" s="463"/>
      <c r="K173" s="463"/>
      <c r="L173" s="463"/>
      <c r="M173" s="464"/>
      <c r="N173" s="117" t="s">
        <v>904</v>
      </c>
    </row>
    <row r="174" spans="1:14" s="111" customFormat="1" x14ac:dyDescent="0.2">
      <c r="A174" s="116"/>
      <c r="B174" s="118" t="s">
        <v>428</v>
      </c>
      <c r="C174" s="119" t="s">
        <v>289</v>
      </c>
      <c r="D174" s="119"/>
      <c r="E174" s="120"/>
      <c r="F174" s="120"/>
      <c r="G174" s="120"/>
      <c r="H174" s="120"/>
      <c r="I174" s="120"/>
      <c r="J174" s="120"/>
      <c r="K174" s="120"/>
      <c r="L174" s="120"/>
      <c r="M174" s="120"/>
      <c r="N174" s="101"/>
    </row>
    <row r="175" spans="1:14" s="111" customFormat="1" x14ac:dyDescent="0.2">
      <c r="A175" s="116"/>
      <c r="B175" s="118" t="s">
        <v>429</v>
      </c>
      <c r="C175" s="119" t="s">
        <v>17</v>
      </c>
      <c r="D175" s="119"/>
      <c r="E175" s="120"/>
      <c r="F175" s="120"/>
      <c r="G175" s="120"/>
      <c r="H175" s="120"/>
      <c r="I175" s="120"/>
      <c r="J175" s="120"/>
      <c r="K175" s="120"/>
      <c r="L175" s="120"/>
      <c r="M175" s="120"/>
      <c r="N175" s="101"/>
    </row>
    <row r="176" spans="1:14" s="111" customFormat="1" x14ac:dyDescent="0.2">
      <c r="A176" s="116"/>
      <c r="B176" s="118" t="s">
        <v>427</v>
      </c>
      <c r="C176" s="465" t="s">
        <v>1312</v>
      </c>
      <c r="D176" s="465"/>
      <c r="E176" s="465"/>
      <c r="F176" s="465"/>
      <c r="G176" s="465"/>
      <c r="H176" s="465"/>
      <c r="I176" s="465"/>
      <c r="J176" s="465"/>
      <c r="K176" s="465"/>
      <c r="L176" s="465"/>
      <c r="M176" s="465"/>
      <c r="N176" s="466"/>
    </row>
    <row r="177" spans="1:14" s="111" customFormat="1" x14ac:dyDescent="0.2">
      <c r="A177" s="116"/>
      <c r="B177" s="109"/>
      <c r="C177" s="465"/>
      <c r="D177" s="465"/>
      <c r="E177" s="465"/>
      <c r="F177" s="465"/>
      <c r="G177" s="465"/>
      <c r="H177" s="465"/>
      <c r="I177" s="465"/>
      <c r="J177" s="465"/>
      <c r="K177" s="465"/>
      <c r="L177" s="465"/>
      <c r="M177" s="465"/>
      <c r="N177" s="466"/>
    </row>
    <row r="178" spans="1:14" s="111" customFormat="1" x14ac:dyDescent="0.2">
      <c r="A178" s="116"/>
      <c r="B178" s="109"/>
      <c r="C178" s="468"/>
      <c r="D178" s="468"/>
      <c r="E178" s="468"/>
      <c r="F178" s="468"/>
      <c r="G178" s="468"/>
      <c r="H178" s="468"/>
      <c r="I178" s="468"/>
      <c r="J178" s="468"/>
      <c r="K178" s="468"/>
      <c r="L178" s="468"/>
      <c r="M178" s="468"/>
      <c r="N178" s="469"/>
    </row>
    <row r="179" spans="1:14" s="111" customFormat="1" x14ac:dyDescent="0.2">
      <c r="A179" s="116"/>
      <c r="B179" s="118" t="s">
        <v>426</v>
      </c>
      <c r="C179" s="119"/>
      <c r="D179" s="119"/>
      <c r="E179" s="120"/>
      <c r="F179" s="120"/>
      <c r="G179" s="120"/>
      <c r="H179" s="120"/>
      <c r="I179" s="120"/>
      <c r="J179" s="120"/>
      <c r="K179" s="120"/>
      <c r="L179" s="120"/>
      <c r="M179" s="120"/>
      <c r="N179" s="101"/>
    </row>
    <row r="180" spans="1:14" s="111" customFormat="1" ht="13.5" thickBot="1" x14ac:dyDescent="0.25">
      <c r="A180" s="116"/>
      <c r="B180" s="118" t="s">
        <v>430</v>
      </c>
      <c r="C180" s="119"/>
      <c r="D180" s="119"/>
      <c r="E180" s="120"/>
      <c r="F180" s="120"/>
      <c r="G180" s="120"/>
      <c r="H180" s="120"/>
      <c r="I180" s="120"/>
      <c r="J180" s="120"/>
      <c r="K180" s="120"/>
      <c r="L180" s="120"/>
      <c r="M180" s="120"/>
      <c r="N180" s="101"/>
    </row>
    <row r="181" spans="1:14" s="111" customFormat="1" x14ac:dyDescent="0.2">
      <c r="A181" s="112"/>
      <c r="B181" s="113" t="s">
        <v>263</v>
      </c>
      <c r="C181" s="113"/>
      <c r="D181" s="113"/>
      <c r="E181" s="114"/>
      <c r="F181" s="114"/>
      <c r="G181" s="114"/>
      <c r="H181" s="114"/>
      <c r="I181" s="114"/>
      <c r="J181" s="127" t="s">
        <v>2205</v>
      </c>
      <c r="K181" s="126" t="s">
        <v>1986</v>
      </c>
      <c r="L181" s="126" t="s">
        <v>2206</v>
      </c>
      <c r="M181" s="126"/>
      <c r="N181" s="126"/>
    </row>
    <row r="182" spans="1:14" s="111" customFormat="1" ht="13.5" thickBot="1" x14ac:dyDescent="0.25">
      <c r="A182" s="121"/>
      <c r="B182" s="122"/>
      <c r="C182" s="122"/>
      <c r="D182" s="122"/>
      <c r="E182" s="123"/>
      <c r="F182" s="123"/>
      <c r="G182" s="123"/>
      <c r="H182" s="123"/>
      <c r="I182" s="123"/>
      <c r="J182" s="125" t="s">
        <v>2202</v>
      </c>
      <c r="K182" s="105" t="s">
        <v>296</v>
      </c>
      <c r="L182" s="105" t="s">
        <v>2052</v>
      </c>
      <c r="M182" s="105" t="s">
        <v>2198</v>
      </c>
      <c r="N182" s="105"/>
    </row>
    <row r="183" spans="1:14" s="111" customFormat="1" x14ac:dyDescent="0.2">
      <c r="A183" s="116"/>
      <c r="B183" s="461" t="s">
        <v>67</v>
      </c>
      <c r="C183" s="461"/>
      <c r="D183" s="461"/>
      <c r="E183" s="120"/>
      <c r="F183" s="120" t="s">
        <v>1180</v>
      </c>
      <c r="G183" s="120" t="s">
        <v>68</v>
      </c>
      <c r="H183" s="120" t="s">
        <v>702</v>
      </c>
      <c r="I183" s="120"/>
      <c r="J183" s="100">
        <f>220/ATHENS!O1*ATHENS!O2</f>
        <v>399.99999999999994</v>
      </c>
      <c r="K183" s="100">
        <f>240/ATHENS!O1*ATHENS!O2</f>
        <v>436.36363636363632</v>
      </c>
      <c r="L183" s="100">
        <f>310/ATHENS!O1*ATHENS!O2</f>
        <v>563.63636363636363</v>
      </c>
      <c r="M183" s="100">
        <f>380/ATHENS!O1*ATHENS!O2</f>
        <v>690.90909090909088</v>
      </c>
      <c r="N183" s="100"/>
    </row>
    <row r="184" spans="1:14" s="111" customFormat="1" x14ac:dyDescent="0.2">
      <c r="A184" s="116"/>
      <c r="B184" s="461" t="s">
        <v>67</v>
      </c>
      <c r="C184" s="461"/>
      <c r="D184" s="461"/>
      <c r="E184" s="120"/>
      <c r="F184" s="120" t="s">
        <v>1181</v>
      </c>
      <c r="G184" s="120" t="s">
        <v>68</v>
      </c>
      <c r="H184" s="120" t="s">
        <v>702</v>
      </c>
      <c r="I184" s="120"/>
      <c r="J184" s="100">
        <f>110/ATHENS!O1*ATHENS!O2</f>
        <v>199.99999999999997</v>
      </c>
      <c r="K184" s="100">
        <f>120/ATHENS!O1*ATHENS!O2</f>
        <v>218.18181818181816</v>
      </c>
      <c r="L184" s="100">
        <f>155/ATHENS!O1*ATHENS!O2</f>
        <v>281.81818181818181</v>
      </c>
      <c r="M184" s="100">
        <f>190/ATHENS!O1*ATHENS!O2</f>
        <v>345.45454545454544</v>
      </c>
      <c r="N184" s="100"/>
    </row>
    <row r="185" spans="1:14" s="111" customFormat="1" ht="13.5" thickBot="1" x14ac:dyDescent="0.25">
      <c r="A185" s="121"/>
      <c r="B185" s="460" t="s">
        <v>67</v>
      </c>
      <c r="C185" s="460"/>
      <c r="D185" s="460"/>
      <c r="E185" s="123"/>
      <c r="F185" s="123" t="s">
        <v>1182</v>
      </c>
      <c r="G185" s="123" t="s">
        <v>68</v>
      </c>
      <c r="H185" s="123" t="s">
        <v>702</v>
      </c>
      <c r="I185" s="123"/>
      <c r="J185" s="105">
        <f>110/ATHENS!O1*ATHENS!O2</f>
        <v>199.99999999999997</v>
      </c>
      <c r="K185" s="105">
        <f>116.6/ATHENS!O1*ATHENS!O2</f>
        <v>211.99999999999997</v>
      </c>
      <c r="L185" s="105">
        <f>140/ATHENS!O1*ATHENS!O2</f>
        <v>254.54545454545453</v>
      </c>
      <c r="M185" s="105">
        <f>163.5/ATHENS!O1*ATHENS!O2</f>
        <v>297.27272727272725</v>
      </c>
      <c r="N185" s="105"/>
    </row>
    <row r="186" spans="1:14" s="111" customFormat="1" x14ac:dyDescent="0.2">
      <c r="A186" s="108"/>
      <c r="B186" s="109"/>
      <c r="C186" s="109"/>
      <c r="D186" s="109"/>
      <c r="E186" s="110"/>
      <c r="F186" s="110"/>
      <c r="G186" s="110"/>
      <c r="H186" s="110"/>
      <c r="I186" s="110"/>
      <c r="J186" s="110"/>
      <c r="K186" s="110"/>
      <c r="L186" s="110"/>
      <c r="M186" s="110"/>
      <c r="N186" s="110"/>
    </row>
    <row r="187" spans="1:14" s="111" customFormat="1" ht="13.5" thickBot="1" x14ac:dyDescent="0.25">
      <c r="A187" s="108"/>
      <c r="B187" s="109"/>
      <c r="C187" s="109"/>
      <c r="D187" s="109"/>
      <c r="E187" s="110"/>
      <c r="F187" s="110"/>
      <c r="G187" s="110"/>
      <c r="H187" s="110"/>
      <c r="I187" s="110"/>
      <c r="J187" s="110"/>
      <c r="K187" s="110"/>
      <c r="L187" s="110"/>
      <c r="M187" s="110"/>
      <c r="N187" s="110"/>
    </row>
    <row r="188" spans="1:14" s="111" customFormat="1" x14ac:dyDescent="0.2">
      <c r="A188" s="112"/>
      <c r="B188" s="113"/>
      <c r="C188" s="113"/>
      <c r="D188" s="113"/>
      <c r="E188" s="114"/>
      <c r="F188" s="114"/>
      <c r="G188" s="114"/>
      <c r="H188" s="114"/>
      <c r="I188" s="114"/>
      <c r="J188" s="114"/>
      <c r="K188" s="114"/>
      <c r="L188" s="114"/>
      <c r="M188" s="114"/>
      <c r="N188" s="115"/>
    </row>
    <row r="189" spans="1:14" s="111" customFormat="1" ht="15" x14ac:dyDescent="0.2">
      <c r="A189" s="116"/>
      <c r="B189" s="462" t="s">
        <v>298</v>
      </c>
      <c r="C189" s="463"/>
      <c r="D189" s="463"/>
      <c r="E189" s="463"/>
      <c r="F189" s="463"/>
      <c r="G189" s="463"/>
      <c r="H189" s="463"/>
      <c r="I189" s="463"/>
      <c r="J189" s="463"/>
      <c r="K189" s="463"/>
      <c r="L189" s="463"/>
      <c r="M189" s="464"/>
      <c r="N189" s="117" t="s">
        <v>96</v>
      </c>
    </row>
    <row r="190" spans="1:14" s="111" customFormat="1" x14ac:dyDescent="0.2">
      <c r="A190" s="116"/>
      <c r="B190" s="118" t="s">
        <v>428</v>
      </c>
      <c r="C190" s="119" t="s">
        <v>1060</v>
      </c>
      <c r="D190" s="119"/>
      <c r="E190" s="120"/>
      <c r="F190" s="120"/>
      <c r="G190" s="120"/>
      <c r="H190" s="120"/>
      <c r="I190" s="120"/>
      <c r="J190" s="120"/>
      <c r="K190" s="120"/>
      <c r="L190" s="120"/>
      <c r="M190" s="120"/>
      <c r="N190" s="101"/>
    </row>
    <row r="191" spans="1:14" s="111" customFormat="1" x14ac:dyDescent="0.2">
      <c r="A191" s="116"/>
      <c r="B191" s="118" t="s">
        <v>429</v>
      </c>
      <c r="C191" s="119" t="s">
        <v>241</v>
      </c>
      <c r="D191" s="119"/>
      <c r="E191" s="120"/>
      <c r="F191" s="120"/>
      <c r="G191" s="120"/>
      <c r="H191" s="120"/>
      <c r="I191" s="120"/>
      <c r="J191" s="120"/>
      <c r="K191" s="120"/>
      <c r="L191" s="120"/>
      <c r="M191" s="120"/>
      <c r="N191" s="101"/>
    </row>
    <row r="192" spans="1:14" s="111" customFormat="1" x14ac:dyDescent="0.2">
      <c r="A192" s="116"/>
      <c r="B192" s="118" t="s">
        <v>427</v>
      </c>
      <c r="C192" s="465" t="s">
        <v>1551</v>
      </c>
      <c r="D192" s="465"/>
      <c r="E192" s="465"/>
      <c r="F192" s="465"/>
      <c r="G192" s="465"/>
      <c r="H192" s="465"/>
      <c r="I192" s="465"/>
      <c r="J192" s="465"/>
      <c r="K192" s="465"/>
      <c r="L192" s="465"/>
      <c r="M192" s="465"/>
      <c r="N192" s="466"/>
    </row>
    <row r="193" spans="1:14" s="111" customFormat="1" x14ac:dyDescent="0.2">
      <c r="A193" s="116"/>
      <c r="B193" s="109"/>
      <c r="C193" s="465"/>
      <c r="D193" s="465"/>
      <c r="E193" s="465"/>
      <c r="F193" s="465"/>
      <c r="G193" s="465"/>
      <c r="H193" s="465"/>
      <c r="I193" s="465"/>
      <c r="J193" s="465"/>
      <c r="K193" s="465"/>
      <c r="L193" s="465"/>
      <c r="M193" s="465"/>
      <c r="N193" s="466"/>
    </row>
    <row r="194" spans="1:14" s="111" customFormat="1" x14ac:dyDescent="0.2">
      <c r="A194" s="116"/>
      <c r="B194" s="109"/>
      <c r="C194" s="468"/>
      <c r="D194" s="468"/>
      <c r="E194" s="468"/>
      <c r="F194" s="468"/>
      <c r="G194" s="468"/>
      <c r="H194" s="468"/>
      <c r="I194" s="468"/>
      <c r="J194" s="468"/>
      <c r="K194" s="468"/>
      <c r="L194" s="468"/>
      <c r="M194" s="468"/>
      <c r="N194" s="469"/>
    </row>
    <row r="195" spans="1:14" s="111" customFormat="1" x14ac:dyDescent="0.2">
      <c r="A195" s="116"/>
      <c r="B195" s="109"/>
      <c r="C195" s="468"/>
      <c r="D195" s="468"/>
      <c r="E195" s="468"/>
      <c r="F195" s="468"/>
      <c r="G195" s="468"/>
      <c r="H195" s="468"/>
      <c r="I195" s="468"/>
      <c r="J195" s="468"/>
      <c r="K195" s="468"/>
      <c r="L195" s="468"/>
      <c r="M195" s="468"/>
      <c r="N195" s="469"/>
    </row>
    <row r="196" spans="1:14" s="111" customFormat="1" x14ac:dyDescent="0.2">
      <c r="A196" s="116"/>
      <c r="B196" s="118" t="s">
        <v>426</v>
      </c>
      <c r="C196" s="119"/>
      <c r="D196" s="119"/>
      <c r="E196" s="120"/>
      <c r="F196" s="120"/>
      <c r="G196" s="120"/>
      <c r="H196" s="120"/>
      <c r="I196" s="120"/>
      <c r="J196" s="120"/>
      <c r="K196" s="120"/>
      <c r="L196" s="120"/>
      <c r="M196" s="120"/>
      <c r="N196" s="101"/>
    </row>
    <row r="197" spans="1:14" s="111" customFormat="1" ht="13.5" thickBot="1" x14ac:dyDescent="0.25">
      <c r="A197" s="121"/>
      <c r="B197" s="118" t="s">
        <v>430</v>
      </c>
      <c r="C197" s="122"/>
      <c r="D197" s="122"/>
      <c r="E197" s="123"/>
      <c r="F197" s="123"/>
      <c r="G197" s="123"/>
      <c r="H197" s="123"/>
      <c r="I197" s="123"/>
      <c r="J197" s="123"/>
      <c r="K197" s="123"/>
      <c r="L197" s="123"/>
      <c r="M197" s="123"/>
      <c r="N197" s="104"/>
    </row>
    <row r="198" spans="1:14" s="111" customFormat="1" x14ac:dyDescent="0.2">
      <c r="A198" s="112"/>
      <c r="B198" s="113" t="s">
        <v>263</v>
      </c>
      <c r="C198" s="113"/>
      <c r="D198" s="113"/>
      <c r="E198" s="114"/>
      <c r="F198" s="114"/>
      <c r="G198" s="114"/>
      <c r="H198" s="114"/>
      <c r="I198" s="114"/>
      <c r="J198" s="127" t="s">
        <v>2048</v>
      </c>
      <c r="K198" s="127" t="s">
        <v>1559</v>
      </c>
      <c r="L198" s="127"/>
      <c r="M198" s="126" t="s">
        <v>2051</v>
      </c>
      <c r="N198" s="126"/>
    </row>
    <row r="199" spans="1:14" s="111" customFormat="1" ht="13.5" thickBot="1" x14ac:dyDescent="0.25">
      <c r="A199" s="121"/>
      <c r="B199" s="122"/>
      <c r="C199" s="122"/>
      <c r="D199" s="122"/>
      <c r="E199" s="123"/>
      <c r="F199" s="123"/>
      <c r="G199" s="123"/>
      <c r="H199" s="123"/>
      <c r="I199" s="123"/>
      <c r="J199" s="125" t="s">
        <v>282</v>
      </c>
      <c r="K199" s="105" t="s">
        <v>523</v>
      </c>
      <c r="L199" s="105" t="s">
        <v>2049</v>
      </c>
      <c r="M199" s="105" t="s">
        <v>2052</v>
      </c>
      <c r="N199" s="105" t="s">
        <v>2050</v>
      </c>
    </row>
    <row r="200" spans="1:14" s="111" customFormat="1" x14ac:dyDescent="0.2">
      <c r="A200" s="112"/>
      <c r="B200" s="467" t="s">
        <v>67</v>
      </c>
      <c r="C200" s="467"/>
      <c r="D200" s="467"/>
      <c r="E200" s="114"/>
      <c r="F200" s="114" t="s">
        <v>1180</v>
      </c>
      <c r="G200" s="114" t="s">
        <v>68</v>
      </c>
      <c r="H200" s="114" t="s">
        <v>702</v>
      </c>
      <c r="I200" s="114"/>
      <c r="J200" s="100">
        <f>73.5/ATHENS!O1*ATHENS!O2</f>
        <v>133.63636363636363</v>
      </c>
      <c r="K200" s="100">
        <f>120.5/ATHENS!O1*ATHENS!O2</f>
        <v>219.09090909090907</v>
      </c>
      <c r="L200" s="100">
        <f>181.69/ATHENS!O1*ATHENS!O2</f>
        <v>330.34545454545452</v>
      </c>
      <c r="M200" s="126">
        <f>227.5/ATHENS!O1*ATHENS!O2</f>
        <v>413.63636363636363</v>
      </c>
      <c r="N200" s="126">
        <f>258.5/ATHENS!O1*ATHENS!O2</f>
        <v>469.99999999999994</v>
      </c>
    </row>
    <row r="201" spans="1:14" s="111" customFormat="1" x14ac:dyDescent="0.2">
      <c r="A201" s="116"/>
      <c r="B201" s="461" t="s">
        <v>67</v>
      </c>
      <c r="C201" s="461"/>
      <c r="D201" s="461"/>
      <c r="E201" s="120"/>
      <c r="F201" s="120" t="s">
        <v>1181</v>
      </c>
      <c r="G201" s="120" t="s">
        <v>68</v>
      </c>
      <c r="H201" s="120" t="s">
        <v>702</v>
      </c>
      <c r="I201" s="120"/>
      <c r="J201" s="100">
        <f>40.6/ATHENS!O1*ATHENS!O2</f>
        <v>73.818181818181813</v>
      </c>
      <c r="K201" s="100">
        <f>66.95/ATHENS!O1*ATHENS!O2</f>
        <v>121.72727272727272</v>
      </c>
      <c r="L201" s="100">
        <f>100.94/ATHENS!O1*ATHENS!O2</f>
        <v>183.5272727272727</v>
      </c>
      <c r="M201" s="100">
        <f>126.5/ATHENS!O1*ATHENS!O2</f>
        <v>229.99999999999997</v>
      </c>
      <c r="N201" s="100">
        <f>143.65/ATHENS!O1*ATHENS!O2</f>
        <v>261.18181818181819</v>
      </c>
    </row>
    <row r="202" spans="1:14" s="111" customFormat="1" ht="13.5" thickBot="1" x14ac:dyDescent="0.25">
      <c r="A202" s="121"/>
      <c r="B202" s="460" t="s">
        <v>67</v>
      </c>
      <c r="C202" s="460"/>
      <c r="D202" s="460"/>
      <c r="E202" s="123"/>
      <c r="F202" s="123" t="s">
        <v>1182</v>
      </c>
      <c r="G202" s="123" t="s">
        <v>68</v>
      </c>
      <c r="H202" s="123" t="s">
        <v>702</v>
      </c>
      <c r="I202" s="123"/>
      <c r="J202" s="105">
        <f>36.6/ATHENS!O1*ATHENS!O2</f>
        <v>66.545454545454547</v>
      </c>
      <c r="K202" s="105">
        <f>60.5/ATHENS!O1*ATHENS!O2</f>
        <v>109.99999999999999</v>
      </c>
      <c r="L202" s="105">
        <f>90.8/ATHENS!O1*ATHENS!O2</f>
        <v>165.09090909090907</v>
      </c>
      <c r="M202" s="105">
        <f>113.5/ATHENS!O1*ATHENS!O2</f>
        <v>206.36363636363635</v>
      </c>
      <c r="N202" s="105">
        <f>129.5/ATHENS!O1*ATHENS!O2</f>
        <v>235.45454545454544</v>
      </c>
    </row>
    <row r="203" spans="1:14" s="111" customFormat="1" ht="13.5" thickBot="1" x14ac:dyDescent="0.25">
      <c r="A203" s="108"/>
      <c r="B203" s="109"/>
      <c r="C203" s="109"/>
      <c r="D203" s="109"/>
      <c r="E203" s="110"/>
      <c r="F203" s="110"/>
      <c r="G203" s="110"/>
      <c r="H203" s="110"/>
      <c r="I203" s="110"/>
      <c r="J203" s="110"/>
      <c r="K203" s="110"/>
      <c r="L203" s="110"/>
      <c r="M203" s="110"/>
      <c r="N203" s="110"/>
    </row>
    <row r="204" spans="1:14" s="111" customFormat="1" x14ac:dyDescent="0.2">
      <c r="A204" s="112"/>
      <c r="B204" s="113"/>
      <c r="C204" s="113"/>
      <c r="D204" s="113"/>
      <c r="E204" s="114"/>
      <c r="F204" s="114"/>
      <c r="G204" s="114"/>
      <c r="H204" s="114"/>
      <c r="I204" s="114"/>
      <c r="J204" s="114"/>
      <c r="K204" s="114"/>
      <c r="L204" s="114"/>
      <c r="M204" s="114"/>
      <c r="N204" s="115"/>
    </row>
    <row r="205" spans="1:14" s="111" customFormat="1" ht="15" x14ac:dyDescent="0.2">
      <c r="A205" s="116"/>
      <c r="B205" s="462" t="s">
        <v>1348</v>
      </c>
      <c r="C205" s="463"/>
      <c r="D205" s="463"/>
      <c r="E205" s="463"/>
      <c r="F205" s="463"/>
      <c r="G205" s="463"/>
      <c r="H205" s="463"/>
      <c r="I205" s="463"/>
      <c r="J205" s="463"/>
      <c r="K205" s="463"/>
      <c r="L205" s="463"/>
      <c r="M205" s="464"/>
      <c r="N205" s="117" t="s">
        <v>96</v>
      </c>
    </row>
    <row r="206" spans="1:14" s="111" customFormat="1" x14ac:dyDescent="0.2">
      <c r="A206" s="116"/>
      <c r="B206" s="118" t="s">
        <v>428</v>
      </c>
      <c r="C206" s="119" t="s">
        <v>575</v>
      </c>
      <c r="D206" s="119"/>
      <c r="E206" s="120"/>
      <c r="F206" s="120"/>
      <c r="G206" s="120"/>
      <c r="H206" s="120"/>
      <c r="I206" s="120"/>
      <c r="J206" s="120"/>
      <c r="K206" s="120"/>
      <c r="L206" s="120"/>
      <c r="M206" s="120"/>
      <c r="N206" s="101"/>
    </row>
    <row r="207" spans="1:14" s="111" customFormat="1" x14ac:dyDescent="0.2">
      <c r="A207" s="116"/>
      <c r="B207" s="118" t="s">
        <v>429</v>
      </c>
      <c r="C207" s="119" t="s">
        <v>616</v>
      </c>
      <c r="D207" s="119"/>
      <c r="E207" s="120"/>
      <c r="F207" s="120"/>
      <c r="G207" s="120"/>
      <c r="H207" s="120"/>
      <c r="I207" s="120"/>
      <c r="J207" s="120"/>
      <c r="K207" s="120"/>
      <c r="L207" s="120"/>
      <c r="M207" s="120"/>
      <c r="N207" s="101"/>
    </row>
    <row r="208" spans="1:14" s="111" customFormat="1" x14ac:dyDescent="0.2">
      <c r="A208" s="116"/>
      <c r="B208" s="118" t="s">
        <v>427</v>
      </c>
      <c r="C208" s="465" t="s">
        <v>710</v>
      </c>
      <c r="D208" s="465"/>
      <c r="E208" s="465"/>
      <c r="F208" s="465"/>
      <c r="G208" s="465"/>
      <c r="H208" s="465"/>
      <c r="I208" s="465"/>
      <c r="J208" s="465"/>
      <c r="K208" s="465"/>
      <c r="L208" s="465"/>
      <c r="M208" s="465"/>
      <c r="N208" s="466"/>
    </row>
    <row r="209" spans="1:25" s="111" customFormat="1" x14ac:dyDescent="0.2">
      <c r="A209" s="116"/>
      <c r="B209" s="119"/>
      <c r="C209" s="465"/>
      <c r="D209" s="465"/>
      <c r="E209" s="465"/>
      <c r="F209" s="465"/>
      <c r="G209" s="465"/>
      <c r="H209" s="465"/>
      <c r="I209" s="465"/>
      <c r="J209" s="465"/>
      <c r="K209" s="465"/>
      <c r="L209" s="465"/>
      <c r="M209" s="465"/>
      <c r="N209" s="466"/>
    </row>
    <row r="210" spans="1:25" s="111" customFormat="1" x14ac:dyDescent="0.2">
      <c r="A210" s="116"/>
      <c r="B210" s="119"/>
      <c r="C210" s="468"/>
      <c r="D210" s="468"/>
      <c r="E210" s="468"/>
      <c r="F210" s="468"/>
      <c r="G210" s="468"/>
      <c r="H210" s="468"/>
      <c r="I210" s="468"/>
      <c r="J210" s="468"/>
      <c r="K210" s="468"/>
      <c r="L210" s="468"/>
      <c r="M210" s="468"/>
      <c r="N210" s="469"/>
    </row>
    <row r="211" spans="1:25" s="111" customFormat="1" x14ac:dyDescent="0.2">
      <c r="A211" s="116"/>
      <c r="B211" s="118" t="s">
        <v>426</v>
      </c>
      <c r="C211" s="119" t="s">
        <v>598</v>
      </c>
      <c r="D211" s="119"/>
      <c r="E211" s="120"/>
      <c r="F211" s="120"/>
      <c r="G211" s="120"/>
      <c r="H211" s="120"/>
      <c r="I211" s="120"/>
      <c r="J211" s="120"/>
      <c r="K211" s="120"/>
      <c r="L211" s="120"/>
      <c r="M211" s="120"/>
      <c r="N211" s="101"/>
    </row>
    <row r="212" spans="1:25" s="111" customFormat="1" ht="13.5" thickBot="1" x14ac:dyDescent="0.25">
      <c r="A212" s="121"/>
      <c r="B212" s="118" t="s">
        <v>430</v>
      </c>
      <c r="C212" s="122"/>
      <c r="D212" s="122"/>
      <c r="E212" s="123"/>
      <c r="F212" s="123"/>
      <c r="G212" s="123"/>
      <c r="H212" s="123"/>
      <c r="I212" s="123"/>
      <c r="J212" s="123"/>
      <c r="K212" s="123"/>
      <c r="L212" s="123"/>
      <c r="M212" s="123"/>
      <c r="N212" s="104"/>
    </row>
    <row r="213" spans="1:25" s="111" customFormat="1" x14ac:dyDescent="0.2">
      <c r="A213" s="112"/>
      <c r="B213" s="113" t="s">
        <v>263</v>
      </c>
      <c r="C213" s="113"/>
      <c r="D213" s="113"/>
      <c r="E213" s="114"/>
      <c r="F213" s="114"/>
      <c r="G213" s="114"/>
      <c r="H213" s="114"/>
      <c r="I213" s="114"/>
      <c r="J213" s="127" t="s">
        <v>758</v>
      </c>
      <c r="K213" s="127"/>
      <c r="L213" s="127" t="s">
        <v>820</v>
      </c>
      <c r="M213" s="127"/>
      <c r="N213" s="126"/>
    </row>
    <row r="214" spans="1:25" s="111" customFormat="1" ht="13.5" thickBot="1" x14ac:dyDescent="0.25">
      <c r="A214" s="121"/>
      <c r="B214" s="122"/>
      <c r="C214" s="122"/>
      <c r="D214" s="122"/>
      <c r="E214" s="123"/>
      <c r="F214" s="123"/>
      <c r="G214" s="123"/>
      <c r="H214" s="123"/>
      <c r="I214" s="123"/>
      <c r="J214" s="125" t="s">
        <v>754</v>
      </c>
      <c r="K214" s="125" t="s">
        <v>279</v>
      </c>
      <c r="L214" s="105" t="s">
        <v>821</v>
      </c>
      <c r="M214" s="105" t="s">
        <v>822</v>
      </c>
      <c r="N214" s="105"/>
    </row>
    <row r="215" spans="1:25" s="111" customFormat="1" x14ac:dyDescent="0.2">
      <c r="A215" s="112"/>
      <c r="B215" s="467" t="s">
        <v>67</v>
      </c>
      <c r="C215" s="467"/>
      <c r="D215" s="467"/>
      <c r="E215" s="114"/>
      <c r="F215" s="114" t="s">
        <v>1180</v>
      </c>
      <c r="G215" s="114" t="s">
        <v>68</v>
      </c>
      <c r="H215" s="114" t="s">
        <v>702</v>
      </c>
      <c r="I215" s="114"/>
      <c r="J215" s="100">
        <f>110.76/ATHENS!O1*ATHENS!O2</f>
        <v>201.38181818181818</v>
      </c>
      <c r="K215" s="100">
        <f>134.5/ATHENS!O1*ATHENS!O2</f>
        <v>244.54545454545453</v>
      </c>
      <c r="L215" s="100">
        <f>193.5/ATHENS!O1*ATHENS!O2</f>
        <v>351.81818181818181</v>
      </c>
      <c r="M215" s="100">
        <f>278.5/ATHENS!O1*ATHENS!O2</f>
        <v>506.36363636363632</v>
      </c>
      <c r="N215" s="126"/>
    </row>
    <row r="216" spans="1:25" s="111" customFormat="1" x14ac:dyDescent="0.2">
      <c r="A216" s="116"/>
      <c r="B216" s="461" t="s">
        <v>67</v>
      </c>
      <c r="C216" s="461"/>
      <c r="D216" s="461"/>
      <c r="E216" s="120"/>
      <c r="F216" s="120" t="s">
        <v>1181</v>
      </c>
      <c r="G216" s="120" t="s">
        <v>68</v>
      </c>
      <c r="H216" s="120" t="s">
        <v>702</v>
      </c>
      <c r="I216" s="120"/>
      <c r="J216" s="100">
        <f>62.9/ATHENS!O1*ATHENS!O2</f>
        <v>114.36363636363635</v>
      </c>
      <c r="K216" s="100">
        <f>74.7/ATHENS!O1*ATHENS!O2</f>
        <v>135.81818181818181</v>
      </c>
      <c r="L216" s="100">
        <f>103.7/ATHENS!O1*ATHENS!O2</f>
        <v>188.54545454545453</v>
      </c>
      <c r="M216" s="100">
        <f>147.5/ATHENS!O1*ATHENS!O2</f>
        <v>268.18181818181819</v>
      </c>
      <c r="N216" s="100"/>
    </row>
    <row r="217" spans="1:25" s="111" customFormat="1" ht="13.5" thickBot="1" x14ac:dyDescent="0.25">
      <c r="A217" s="121"/>
      <c r="B217" s="460" t="s">
        <v>819</v>
      </c>
      <c r="C217" s="460"/>
      <c r="D217" s="460"/>
      <c r="E217" s="123"/>
      <c r="F217" s="123" t="s">
        <v>1181</v>
      </c>
      <c r="G217" s="123" t="s">
        <v>68</v>
      </c>
      <c r="H217" s="123" t="s">
        <v>702</v>
      </c>
      <c r="I217" s="123"/>
      <c r="J217" s="105">
        <f>79.5/ATHENS!O1*ATHENS!O2</f>
        <v>144.54545454545453</v>
      </c>
      <c r="K217" s="105">
        <f>91.5/ATHENS!O1*ATHENS!O2</f>
        <v>166.36363636363635</v>
      </c>
      <c r="L217" s="105">
        <f>124.7/ATHENS!O1*ATHENS!O2</f>
        <v>226.72727272727272</v>
      </c>
      <c r="M217" s="105">
        <f>170.5/ATHENS!O1*ATHENS!O2</f>
        <v>310</v>
      </c>
      <c r="N217" s="104"/>
    </row>
    <row r="218" spans="1:25" s="111" customFormat="1" x14ac:dyDescent="0.2">
      <c r="A218" s="108"/>
      <c r="B218" s="109"/>
      <c r="C218" s="109"/>
      <c r="D218" s="109"/>
      <c r="E218" s="110"/>
      <c r="F218" s="110"/>
      <c r="G218" s="110"/>
      <c r="H218" s="110"/>
      <c r="I218" s="110"/>
      <c r="J218" s="110"/>
      <c r="K218" s="110"/>
      <c r="L218" s="110"/>
      <c r="M218" s="110"/>
      <c r="N218" s="110"/>
      <c r="O218" s="130"/>
      <c r="P218" s="131"/>
      <c r="Q218" s="131"/>
      <c r="R218" s="130"/>
      <c r="S218" s="130"/>
      <c r="T218" s="130"/>
      <c r="U218" s="130"/>
      <c r="V218" s="130"/>
      <c r="W218" s="130"/>
      <c r="X218" s="130"/>
      <c r="Y218" s="130"/>
    </row>
    <row r="219" spans="1:25" s="111" customFormat="1" x14ac:dyDescent="0.2">
      <c r="A219" s="108"/>
      <c r="B219" s="109"/>
      <c r="C219" s="109"/>
      <c r="D219" s="109"/>
      <c r="E219" s="110"/>
      <c r="F219" s="110"/>
      <c r="G219" s="110"/>
      <c r="H219" s="110"/>
      <c r="I219" s="110"/>
      <c r="J219" s="110"/>
      <c r="K219" s="110"/>
      <c r="L219" s="110"/>
      <c r="M219" s="110"/>
      <c r="N219" s="110"/>
      <c r="O219" s="130"/>
      <c r="P219" s="131"/>
      <c r="Q219" s="131"/>
      <c r="R219" s="130"/>
      <c r="S219" s="130"/>
      <c r="T219" s="130"/>
      <c r="U219" s="130"/>
      <c r="V219" s="130"/>
      <c r="W219" s="130"/>
      <c r="X219" s="130"/>
      <c r="Y219" s="130"/>
    </row>
    <row r="220" spans="1:25" s="111" customFormat="1" x14ac:dyDescent="0.2">
      <c r="A220" s="108"/>
      <c r="B220" s="109"/>
      <c r="C220" s="109"/>
      <c r="D220" s="109"/>
      <c r="E220" s="110"/>
      <c r="F220" s="110"/>
      <c r="G220" s="110"/>
      <c r="H220" s="110"/>
      <c r="I220" s="110"/>
      <c r="J220" s="110"/>
      <c r="K220" s="110"/>
      <c r="L220" s="110"/>
      <c r="M220" s="110"/>
      <c r="N220" s="110"/>
      <c r="O220" s="130"/>
      <c r="P220" s="131"/>
      <c r="Q220" s="131"/>
      <c r="R220" s="130"/>
      <c r="S220" s="130"/>
      <c r="T220" s="130"/>
      <c r="U220" s="130"/>
      <c r="V220" s="130"/>
      <c r="W220" s="130"/>
      <c r="X220" s="130"/>
      <c r="Y220" s="130"/>
    </row>
    <row r="221" spans="1:25" s="111" customFormat="1" x14ac:dyDescent="0.2">
      <c r="A221" s="108"/>
      <c r="B221" s="109"/>
      <c r="C221" s="109"/>
      <c r="D221" s="109"/>
      <c r="E221" s="110"/>
      <c r="F221" s="110"/>
      <c r="G221" s="110"/>
      <c r="H221" s="110"/>
      <c r="I221" s="110"/>
      <c r="J221" s="110"/>
      <c r="K221" s="110"/>
      <c r="L221" s="110"/>
      <c r="M221" s="110"/>
      <c r="N221" s="110"/>
      <c r="O221" s="130"/>
      <c r="P221" s="131"/>
      <c r="Q221" s="131"/>
      <c r="R221" s="130"/>
      <c r="S221" s="130"/>
      <c r="T221" s="130"/>
      <c r="U221" s="130"/>
      <c r="V221" s="130"/>
      <c r="W221" s="130"/>
      <c r="X221" s="130"/>
      <c r="Y221" s="130"/>
    </row>
    <row r="222" spans="1:25" s="111" customFormat="1" x14ac:dyDescent="0.2">
      <c r="A222" s="108"/>
      <c r="B222" s="109"/>
      <c r="C222" s="109"/>
      <c r="D222" s="109"/>
      <c r="E222" s="110"/>
      <c r="F222" s="110"/>
      <c r="G222" s="110"/>
      <c r="H222" s="110"/>
      <c r="I222" s="110"/>
      <c r="J222" s="110"/>
      <c r="K222" s="110"/>
      <c r="L222" s="110"/>
      <c r="M222" s="110"/>
      <c r="N222" s="110"/>
      <c r="O222" s="130"/>
      <c r="P222" s="131"/>
      <c r="Q222" s="131"/>
      <c r="R222" s="130"/>
      <c r="S222" s="130"/>
      <c r="T222" s="130"/>
      <c r="U222" s="130"/>
      <c r="V222" s="130"/>
      <c r="W222" s="130"/>
      <c r="X222" s="130"/>
      <c r="Y222" s="130"/>
    </row>
    <row r="223" spans="1:25" s="111" customFormat="1" x14ac:dyDescent="0.2">
      <c r="A223" s="108"/>
      <c r="B223" s="109"/>
      <c r="C223" s="109"/>
      <c r="D223" s="109"/>
      <c r="E223" s="110"/>
      <c r="F223" s="110"/>
      <c r="G223" s="110"/>
      <c r="H223" s="110"/>
      <c r="I223" s="110"/>
      <c r="J223" s="110"/>
      <c r="K223" s="110"/>
      <c r="L223" s="110"/>
      <c r="M223" s="110"/>
      <c r="N223" s="110"/>
      <c r="O223" s="130"/>
      <c r="P223" s="131"/>
      <c r="Q223" s="131"/>
      <c r="R223" s="130"/>
      <c r="S223" s="130"/>
      <c r="T223" s="130"/>
      <c r="U223" s="130"/>
      <c r="V223" s="130"/>
      <c r="W223" s="130"/>
      <c r="X223" s="130"/>
      <c r="Y223" s="130"/>
    </row>
    <row r="224" spans="1:25" s="111" customFormat="1" x14ac:dyDescent="0.2">
      <c r="A224" s="108"/>
      <c r="B224" s="109"/>
      <c r="C224" s="109"/>
      <c r="D224" s="109"/>
      <c r="E224" s="110"/>
      <c r="F224" s="110"/>
      <c r="G224" s="110"/>
      <c r="H224" s="110"/>
      <c r="I224" s="110"/>
      <c r="J224" s="110"/>
      <c r="K224" s="110"/>
      <c r="L224" s="110"/>
      <c r="M224" s="110"/>
      <c r="N224" s="110"/>
      <c r="O224" s="130"/>
      <c r="P224" s="131"/>
      <c r="Q224" s="131"/>
      <c r="R224" s="130"/>
      <c r="S224" s="130"/>
      <c r="T224" s="130"/>
      <c r="U224" s="130"/>
      <c r="V224" s="130"/>
      <c r="W224" s="130"/>
      <c r="X224" s="130"/>
      <c r="Y224" s="130"/>
    </row>
    <row r="225" spans="1:25" s="111" customFormat="1" x14ac:dyDescent="0.2">
      <c r="A225" s="108"/>
      <c r="B225" s="109"/>
      <c r="C225" s="109"/>
      <c r="D225" s="109"/>
      <c r="E225" s="110"/>
      <c r="F225" s="110"/>
      <c r="G225" s="110"/>
      <c r="H225" s="110"/>
      <c r="I225" s="110"/>
      <c r="J225" s="110"/>
      <c r="K225" s="110"/>
      <c r="L225" s="110"/>
      <c r="M225" s="110"/>
      <c r="N225" s="110"/>
      <c r="O225" s="130"/>
      <c r="P225" s="131"/>
      <c r="Q225" s="131"/>
      <c r="R225" s="130"/>
      <c r="S225" s="130"/>
      <c r="T225" s="130"/>
      <c r="U225" s="130"/>
      <c r="V225" s="130"/>
      <c r="W225" s="130"/>
      <c r="X225" s="130"/>
      <c r="Y225" s="130"/>
    </row>
    <row r="226" spans="1:25" s="111" customFormat="1" ht="13.5" thickBot="1" x14ac:dyDescent="0.25">
      <c r="A226" s="108"/>
      <c r="B226" s="109"/>
      <c r="C226" s="109"/>
      <c r="D226" s="109"/>
      <c r="E226" s="110"/>
      <c r="F226" s="110"/>
      <c r="G226" s="110"/>
      <c r="H226" s="110"/>
      <c r="I226" s="110"/>
      <c r="J226" s="110"/>
      <c r="K226" s="110"/>
      <c r="L226" s="110"/>
      <c r="M226" s="110"/>
      <c r="N226" s="110"/>
    </row>
    <row r="227" spans="1:25" s="111" customFormat="1" x14ac:dyDescent="0.2">
      <c r="A227" s="112"/>
      <c r="B227" s="113"/>
      <c r="C227" s="113"/>
      <c r="D227" s="113"/>
      <c r="E227" s="114"/>
      <c r="F227" s="114"/>
      <c r="G227" s="114"/>
      <c r="H227" s="114"/>
      <c r="I227" s="114"/>
      <c r="J227" s="114"/>
      <c r="K227" s="114"/>
      <c r="L227" s="114"/>
      <c r="M227" s="114"/>
      <c r="N227" s="115"/>
    </row>
    <row r="228" spans="1:25" s="111" customFormat="1" ht="15" x14ac:dyDescent="0.2">
      <c r="A228" s="116"/>
      <c r="B228" s="462" t="s">
        <v>368</v>
      </c>
      <c r="C228" s="463"/>
      <c r="D228" s="463"/>
      <c r="E228" s="463"/>
      <c r="F228" s="463"/>
      <c r="G228" s="463"/>
      <c r="H228" s="463"/>
      <c r="I228" s="463"/>
      <c r="J228" s="463"/>
      <c r="K228" s="463"/>
      <c r="L228" s="463"/>
      <c r="M228" s="464"/>
      <c r="N228" s="117" t="s">
        <v>96</v>
      </c>
    </row>
    <row r="229" spans="1:25" s="111" customFormat="1" x14ac:dyDescent="0.2">
      <c r="A229" s="116"/>
      <c r="B229" s="118" t="s">
        <v>428</v>
      </c>
      <c r="C229" s="119" t="s">
        <v>262</v>
      </c>
      <c r="D229" s="119"/>
      <c r="E229" s="120"/>
      <c r="F229" s="120"/>
      <c r="G229" s="120"/>
      <c r="H229" s="120"/>
      <c r="I229" s="120"/>
      <c r="J229" s="120"/>
      <c r="K229" s="120"/>
      <c r="L229" s="120"/>
      <c r="M229" s="120"/>
      <c r="N229" s="101"/>
    </row>
    <row r="230" spans="1:25" s="111" customFormat="1" x14ac:dyDescent="0.2">
      <c r="A230" s="116"/>
      <c r="B230" s="118" t="s">
        <v>429</v>
      </c>
      <c r="C230" s="119" t="s">
        <v>120</v>
      </c>
      <c r="D230" s="119"/>
      <c r="E230" s="120"/>
      <c r="F230" s="120"/>
      <c r="G230" s="120"/>
      <c r="H230" s="120"/>
      <c r="I230" s="120"/>
      <c r="J230" s="120"/>
      <c r="K230" s="120"/>
      <c r="L230" s="120"/>
      <c r="M230" s="120"/>
      <c r="N230" s="101"/>
    </row>
    <row r="231" spans="1:25" s="111" customFormat="1" x14ac:dyDescent="0.2">
      <c r="A231" s="116"/>
      <c r="B231" s="118" t="s">
        <v>427</v>
      </c>
      <c r="C231" s="465" t="s">
        <v>1319</v>
      </c>
      <c r="D231" s="465"/>
      <c r="E231" s="465"/>
      <c r="F231" s="465"/>
      <c r="G231" s="465"/>
      <c r="H231" s="465"/>
      <c r="I231" s="465"/>
      <c r="J231" s="465"/>
      <c r="K231" s="465"/>
      <c r="L231" s="465"/>
      <c r="M231" s="465"/>
      <c r="N231" s="466"/>
    </row>
    <row r="232" spans="1:25" s="111" customFormat="1" x14ac:dyDescent="0.2">
      <c r="A232" s="116"/>
      <c r="B232" s="118"/>
      <c r="C232" s="465"/>
      <c r="D232" s="465"/>
      <c r="E232" s="465"/>
      <c r="F232" s="465"/>
      <c r="G232" s="465"/>
      <c r="H232" s="465"/>
      <c r="I232" s="465"/>
      <c r="J232" s="465"/>
      <c r="K232" s="465"/>
      <c r="L232" s="465"/>
      <c r="M232" s="465"/>
      <c r="N232" s="466"/>
    </row>
    <row r="233" spans="1:25" s="111" customFormat="1" x14ac:dyDescent="0.2">
      <c r="A233" s="116"/>
      <c r="B233" s="118"/>
      <c r="C233" s="468"/>
      <c r="D233" s="468"/>
      <c r="E233" s="468"/>
      <c r="F233" s="468"/>
      <c r="G233" s="468"/>
      <c r="H233" s="468"/>
      <c r="I233" s="468"/>
      <c r="J233" s="468"/>
      <c r="K233" s="468"/>
      <c r="L233" s="468"/>
      <c r="M233" s="468"/>
      <c r="N233" s="469"/>
    </row>
    <row r="234" spans="1:25" s="111" customFormat="1" x14ac:dyDescent="0.2">
      <c r="A234" s="116"/>
      <c r="B234" s="118" t="s">
        <v>426</v>
      </c>
      <c r="C234" s="119"/>
      <c r="D234" s="119"/>
      <c r="E234" s="120"/>
      <c r="F234" s="120"/>
      <c r="G234" s="120"/>
      <c r="H234" s="120"/>
      <c r="I234" s="120"/>
      <c r="J234" s="120"/>
      <c r="K234" s="120"/>
      <c r="L234" s="120"/>
      <c r="M234" s="120"/>
      <c r="N234" s="101"/>
    </row>
    <row r="235" spans="1:25" s="111" customFormat="1" ht="13.5" thickBot="1" x14ac:dyDescent="0.25">
      <c r="A235" s="116"/>
      <c r="B235" s="118" t="s">
        <v>430</v>
      </c>
      <c r="C235" s="119" t="s">
        <v>369</v>
      </c>
      <c r="D235" s="119"/>
      <c r="E235" s="120"/>
      <c r="F235" s="120"/>
      <c r="G235" s="120"/>
      <c r="H235" s="120"/>
      <c r="I235" s="120"/>
      <c r="J235" s="120"/>
      <c r="K235" s="120"/>
      <c r="L235" s="120"/>
      <c r="M235" s="120"/>
      <c r="N235" s="101"/>
    </row>
    <row r="236" spans="1:25" s="111" customFormat="1" x14ac:dyDescent="0.2">
      <c r="A236" s="112"/>
      <c r="B236" s="113" t="s">
        <v>263</v>
      </c>
      <c r="C236" s="113"/>
      <c r="D236" s="113"/>
      <c r="E236" s="114"/>
      <c r="F236" s="114"/>
      <c r="G236" s="114"/>
      <c r="H236" s="114"/>
      <c r="I236" s="114"/>
      <c r="J236" s="126"/>
      <c r="K236" s="126" t="s">
        <v>1799</v>
      </c>
      <c r="L236" s="126" t="s">
        <v>1800</v>
      </c>
      <c r="M236" s="126"/>
      <c r="N236" s="115"/>
    </row>
    <row r="237" spans="1:25" s="111" customFormat="1" x14ac:dyDescent="0.2">
      <c r="A237" s="116"/>
      <c r="B237" s="119"/>
      <c r="C237" s="119"/>
      <c r="D237" s="119"/>
      <c r="E237" s="120"/>
      <c r="F237" s="120"/>
      <c r="G237" s="120"/>
      <c r="H237" s="120"/>
      <c r="I237" s="120"/>
      <c r="J237" s="100"/>
      <c r="K237" s="100" t="s">
        <v>1798</v>
      </c>
      <c r="L237" s="100" t="s">
        <v>1801</v>
      </c>
      <c r="M237" s="100" t="s">
        <v>1802</v>
      </c>
      <c r="N237" s="101"/>
    </row>
    <row r="238" spans="1:25" s="111" customFormat="1" ht="13.5" thickBot="1" x14ac:dyDescent="0.25">
      <c r="A238" s="121"/>
      <c r="B238" s="122"/>
      <c r="C238" s="122"/>
      <c r="D238" s="122"/>
      <c r="E238" s="123"/>
      <c r="F238" s="123"/>
      <c r="G238" s="123"/>
      <c r="H238" s="123"/>
      <c r="I238" s="123"/>
      <c r="J238" s="105" t="s">
        <v>907</v>
      </c>
      <c r="K238" s="105" t="s">
        <v>481</v>
      </c>
      <c r="L238" s="132" t="s">
        <v>483</v>
      </c>
      <c r="M238" s="105" t="s">
        <v>1554</v>
      </c>
      <c r="N238" s="104" t="s">
        <v>1803</v>
      </c>
    </row>
    <row r="239" spans="1:25" s="111" customFormat="1" x14ac:dyDescent="0.2">
      <c r="A239" s="112"/>
      <c r="B239" s="467" t="s">
        <v>67</v>
      </c>
      <c r="C239" s="467"/>
      <c r="D239" s="467"/>
      <c r="E239" s="114"/>
      <c r="F239" s="114" t="s">
        <v>1180</v>
      </c>
      <c r="G239" s="114" t="s">
        <v>68</v>
      </c>
      <c r="H239" s="114" t="s">
        <v>702</v>
      </c>
      <c r="I239" s="114"/>
      <c r="J239" s="126">
        <f>65/ATHENS!O1*ATHENS!O2</f>
        <v>118.18181818181817</v>
      </c>
      <c r="K239" s="126">
        <f>110/ATHENS!O1*ATHENS!O2</f>
        <v>199.99999999999997</v>
      </c>
      <c r="L239" s="126">
        <f>130/ATHENS!O1*ATHENS!O2</f>
        <v>236.36363636363635</v>
      </c>
      <c r="M239" s="126">
        <f>204/ATHENS!O1*ATHENS!O2</f>
        <v>370.90909090909088</v>
      </c>
      <c r="N239" s="126">
        <f>288/ATHENS!O1*ATHENS!O2</f>
        <v>523.63636363636363</v>
      </c>
    </row>
    <row r="240" spans="1:25" s="111" customFormat="1" x14ac:dyDescent="0.2">
      <c r="A240" s="116"/>
      <c r="B240" s="461" t="s">
        <v>67</v>
      </c>
      <c r="C240" s="461"/>
      <c r="D240" s="461"/>
      <c r="E240" s="120"/>
      <c r="F240" s="120" t="s">
        <v>1181</v>
      </c>
      <c r="G240" s="120" t="s">
        <v>68</v>
      </c>
      <c r="H240" s="120" t="s">
        <v>702</v>
      </c>
      <c r="I240" s="120"/>
      <c r="J240" s="100">
        <f>37.5/ATHENS!O1*ATHENS!O2</f>
        <v>68.181818181818173</v>
      </c>
      <c r="K240" s="100">
        <f>60/ATHENS!O1*ATHENS!O2</f>
        <v>109.09090909090908</v>
      </c>
      <c r="L240" s="100">
        <f>77.5/ATHENS!O1*ATHENS!O2</f>
        <v>140.90909090909091</v>
      </c>
      <c r="M240" s="100">
        <f>115.5/ATHENS!O1*ATHENS!O2</f>
        <v>209.99999999999997</v>
      </c>
      <c r="N240" s="100">
        <f>157/ATHENS!O1*ATHENS!O2</f>
        <v>285.45454545454544</v>
      </c>
    </row>
    <row r="241" spans="1:14" s="111" customFormat="1" ht="13.5" thickBot="1" x14ac:dyDescent="0.25">
      <c r="A241" s="121"/>
      <c r="B241" s="460" t="s">
        <v>67</v>
      </c>
      <c r="C241" s="460"/>
      <c r="D241" s="460"/>
      <c r="E241" s="123"/>
      <c r="F241" s="123" t="s">
        <v>1182</v>
      </c>
      <c r="G241" s="123" t="s">
        <v>68</v>
      </c>
      <c r="H241" s="123" t="s">
        <v>702</v>
      </c>
      <c r="I241" s="123"/>
      <c r="J241" s="105">
        <f>35/ATHENS!O1*ATHENS!O2</f>
        <v>63.636363636363633</v>
      </c>
      <c r="K241" s="105">
        <f>55/ATHENS!O1*ATHENS!O2</f>
        <v>99.999999999999986</v>
      </c>
      <c r="L241" s="105">
        <f>71.66/ATHENS!O1*ATHENS!O2</f>
        <v>130.29090909090908</v>
      </c>
      <c r="M241" s="105">
        <f>103.5/ATHENS!O1*ATHENS!O2</f>
        <v>188.18181818181816</v>
      </c>
      <c r="N241" s="105">
        <f>143.5/ATHENS!O1*ATHENS!O2</f>
        <v>260.90909090909088</v>
      </c>
    </row>
    <row r="242" spans="1:14" s="111" customFormat="1" ht="13.5" thickBot="1" x14ac:dyDescent="0.25">
      <c r="A242" s="108"/>
      <c r="B242" s="109"/>
      <c r="C242" s="109"/>
      <c r="D242" s="109"/>
      <c r="E242" s="110"/>
      <c r="F242" s="110"/>
      <c r="G242" s="110"/>
      <c r="H242" s="110"/>
      <c r="I242" s="110"/>
      <c r="J242" s="110"/>
      <c r="K242" s="110"/>
      <c r="L242" s="110"/>
      <c r="M242" s="110"/>
      <c r="N242" s="110"/>
    </row>
    <row r="243" spans="1:14" s="111" customFormat="1" x14ac:dyDescent="0.2">
      <c r="A243" s="112"/>
      <c r="B243" s="113"/>
      <c r="C243" s="113"/>
      <c r="D243" s="113"/>
      <c r="E243" s="114"/>
      <c r="F243" s="114"/>
      <c r="G243" s="114"/>
      <c r="H243" s="114"/>
      <c r="I243" s="114"/>
      <c r="J243" s="114"/>
      <c r="K243" s="114"/>
      <c r="L243" s="114"/>
      <c r="M243" s="114"/>
      <c r="N243" s="115"/>
    </row>
    <row r="244" spans="1:14" s="111" customFormat="1" ht="15" x14ac:dyDescent="0.2">
      <c r="A244" s="116"/>
      <c r="B244" s="462" t="s">
        <v>371</v>
      </c>
      <c r="C244" s="463"/>
      <c r="D244" s="463"/>
      <c r="E244" s="463"/>
      <c r="F244" s="463"/>
      <c r="G244" s="463"/>
      <c r="H244" s="463"/>
      <c r="I244" s="463"/>
      <c r="J244" s="463"/>
      <c r="K244" s="463"/>
      <c r="L244" s="463"/>
      <c r="M244" s="464"/>
      <c r="N244" s="117" t="s">
        <v>96</v>
      </c>
    </row>
    <row r="245" spans="1:14" s="111" customFormat="1" x14ac:dyDescent="0.2">
      <c r="A245" s="116"/>
      <c r="B245" s="118" t="s">
        <v>428</v>
      </c>
      <c r="C245" s="119" t="s">
        <v>372</v>
      </c>
      <c r="D245" s="119"/>
      <c r="E245" s="120"/>
      <c r="F245" s="120"/>
      <c r="G245" s="120"/>
      <c r="H245" s="120"/>
      <c r="I245" s="120"/>
      <c r="J245" s="120"/>
      <c r="K245" s="120"/>
      <c r="L245" s="120"/>
      <c r="M245" s="120"/>
      <c r="N245" s="101"/>
    </row>
    <row r="246" spans="1:14" s="111" customFormat="1" x14ac:dyDescent="0.2">
      <c r="A246" s="116"/>
      <c r="B246" s="118" t="s">
        <v>429</v>
      </c>
      <c r="C246" s="119" t="s">
        <v>121</v>
      </c>
      <c r="D246" s="119"/>
      <c r="E246" s="120"/>
      <c r="F246" s="120"/>
      <c r="G246" s="120"/>
      <c r="H246" s="120"/>
      <c r="I246" s="120"/>
      <c r="J246" s="120"/>
      <c r="K246" s="120"/>
      <c r="L246" s="120"/>
      <c r="M246" s="120"/>
      <c r="N246" s="101"/>
    </row>
    <row r="247" spans="1:14" s="111" customFormat="1" x14ac:dyDescent="0.2">
      <c r="A247" s="116"/>
      <c r="B247" s="118" t="s">
        <v>427</v>
      </c>
      <c r="C247" s="465" t="s">
        <v>1320</v>
      </c>
      <c r="D247" s="465"/>
      <c r="E247" s="465"/>
      <c r="F247" s="465"/>
      <c r="G247" s="465"/>
      <c r="H247" s="465"/>
      <c r="I247" s="465"/>
      <c r="J247" s="465"/>
      <c r="K247" s="465"/>
      <c r="L247" s="465"/>
      <c r="M247" s="465"/>
      <c r="N247" s="466"/>
    </row>
    <row r="248" spans="1:14" s="111" customFormat="1" x14ac:dyDescent="0.2">
      <c r="A248" s="116"/>
      <c r="B248" s="109"/>
      <c r="C248" s="465"/>
      <c r="D248" s="465"/>
      <c r="E248" s="465"/>
      <c r="F248" s="465"/>
      <c r="G248" s="465"/>
      <c r="H248" s="465"/>
      <c r="I248" s="465"/>
      <c r="J248" s="465"/>
      <c r="K248" s="465"/>
      <c r="L248" s="465"/>
      <c r="M248" s="465"/>
      <c r="N248" s="466"/>
    </row>
    <row r="249" spans="1:14" s="111" customFormat="1" x14ac:dyDescent="0.2">
      <c r="A249" s="116"/>
      <c r="B249" s="109"/>
      <c r="C249" s="468"/>
      <c r="D249" s="468"/>
      <c r="E249" s="468"/>
      <c r="F249" s="468"/>
      <c r="G249" s="468"/>
      <c r="H249" s="468"/>
      <c r="I249" s="468"/>
      <c r="J249" s="468"/>
      <c r="K249" s="468"/>
      <c r="L249" s="468"/>
      <c r="M249" s="468"/>
      <c r="N249" s="469"/>
    </row>
    <row r="250" spans="1:14" s="111" customFormat="1" x14ac:dyDescent="0.2">
      <c r="A250" s="116"/>
      <c r="B250" s="118" t="s">
        <v>426</v>
      </c>
      <c r="C250" s="119" t="s">
        <v>373</v>
      </c>
      <c r="D250" s="119"/>
      <c r="E250" s="120"/>
      <c r="F250" s="120"/>
      <c r="G250" s="120"/>
      <c r="H250" s="120"/>
      <c r="I250" s="120"/>
      <c r="J250" s="120"/>
      <c r="K250" s="120"/>
      <c r="L250" s="120"/>
      <c r="M250" s="120"/>
      <c r="N250" s="101"/>
    </row>
    <row r="251" spans="1:14" s="111" customFormat="1" ht="13.5" thickBot="1" x14ac:dyDescent="0.25">
      <c r="A251" s="121"/>
      <c r="B251" s="133" t="s">
        <v>430</v>
      </c>
      <c r="C251" s="122"/>
      <c r="D251" s="122"/>
      <c r="E251" s="123"/>
      <c r="F251" s="123"/>
      <c r="G251" s="123"/>
      <c r="H251" s="123"/>
      <c r="I251" s="123"/>
      <c r="J251" s="123"/>
      <c r="K251" s="123"/>
      <c r="L251" s="123"/>
      <c r="M251" s="123"/>
      <c r="N251" s="104"/>
    </row>
    <row r="252" spans="1:14" s="111" customFormat="1" x14ac:dyDescent="0.2">
      <c r="A252" s="112"/>
      <c r="B252" s="113" t="s">
        <v>263</v>
      </c>
      <c r="C252" s="113"/>
      <c r="D252" s="113"/>
      <c r="E252" s="114"/>
      <c r="F252" s="114"/>
      <c r="G252" s="114"/>
      <c r="H252" s="114"/>
      <c r="I252" s="114"/>
      <c r="J252" s="127" t="s">
        <v>758</v>
      </c>
      <c r="K252" s="126" t="s">
        <v>279</v>
      </c>
      <c r="L252" s="126" t="s">
        <v>228</v>
      </c>
      <c r="M252" s="126"/>
      <c r="N252" s="126"/>
    </row>
    <row r="253" spans="1:14" s="111" customFormat="1" ht="13.5" thickBot="1" x14ac:dyDescent="0.25">
      <c r="A253" s="121"/>
      <c r="B253" s="122"/>
      <c r="C253" s="122"/>
      <c r="D253" s="122"/>
      <c r="E253" s="123"/>
      <c r="F253" s="123"/>
      <c r="G253" s="123"/>
      <c r="H253" s="123"/>
      <c r="I253" s="123"/>
      <c r="J253" s="125" t="s">
        <v>282</v>
      </c>
      <c r="K253" s="105" t="s">
        <v>682</v>
      </c>
      <c r="L253" s="105" t="s">
        <v>482</v>
      </c>
      <c r="M253" s="105" t="s">
        <v>188</v>
      </c>
      <c r="N253" s="105"/>
    </row>
    <row r="254" spans="1:14" s="111" customFormat="1" x14ac:dyDescent="0.2">
      <c r="A254" s="112"/>
      <c r="B254" s="467" t="s">
        <v>67</v>
      </c>
      <c r="C254" s="467"/>
      <c r="D254" s="467"/>
      <c r="E254" s="114"/>
      <c r="F254" s="114" t="s">
        <v>1180</v>
      </c>
      <c r="G254" s="114" t="s">
        <v>68</v>
      </c>
      <c r="H254" s="114" t="s">
        <v>702</v>
      </c>
      <c r="I254" s="114"/>
      <c r="J254" s="126">
        <f>95.5/ATHENS!O1*ATHENS!O2</f>
        <v>173.63636363636363</v>
      </c>
      <c r="K254" s="126">
        <f>122.6/ATHENS!O1*ATHENS!O2</f>
        <v>222.90909090909088</v>
      </c>
      <c r="L254" s="126">
        <f>180.5/ATHENS!O1*ATHENS!O2</f>
        <v>328.18181818181813</v>
      </c>
      <c r="M254" s="126">
        <f>223.9/ATHENS!O1*ATHENS!O2</f>
        <v>407.09090909090907</v>
      </c>
      <c r="N254" s="126"/>
    </row>
    <row r="255" spans="1:14" s="111" customFormat="1" x14ac:dyDescent="0.2">
      <c r="A255" s="116"/>
      <c r="B255" s="461" t="s">
        <v>67</v>
      </c>
      <c r="C255" s="461"/>
      <c r="D255" s="461"/>
      <c r="E255" s="120"/>
      <c r="F255" s="120" t="s">
        <v>1181</v>
      </c>
      <c r="G255" s="120" t="s">
        <v>68</v>
      </c>
      <c r="H255" s="120" t="s">
        <v>702</v>
      </c>
      <c r="I255" s="120"/>
      <c r="J255" s="100">
        <f>47.5/ATHENS!O1*ATHENS!O2</f>
        <v>86.36363636363636</v>
      </c>
      <c r="K255" s="100">
        <f>61.5/ATHENS!O1*ATHENS!O2</f>
        <v>111.81818181818181</v>
      </c>
      <c r="L255" s="100">
        <f>90.5/ATHENS!O1*ATHENS!O2</f>
        <v>164.54545454545453</v>
      </c>
      <c r="M255" s="100">
        <f>111.9/ATHENS!O1*ATHENS!O2</f>
        <v>203.45454545454544</v>
      </c>
      <c r="N255" s="100"/>
    </row>
    <row r="256" spans="1:14" s="111" customFormat="1" ht="13.5" thickBot="1" x14ac:dyDescent="0.25">
      <c r="A256" s="116"/>
      <c r="B256" s="461" t="s">
        <v>67</v>
      </c>
      <c r="C256" s="461"/>
      <c r="D256" s="461"/>
      <c r="E256" s="120"/>
      <c r="F256" s="120" t="s">
        <v>1182</v>
      </c>
      <c r="G256" s="120" t="s">
        <v>68</v>
      </c>
      <c r="H256" s="120" t="s">
        <v>702</v>
      </c>
      <c r="I256" s="120"/>
      <c r="J256" s="100">
        <f>41.5/ATHENS!O1*ATHENS!O2</f>
        <v>75.454545454545453</v>
      </c>
      <c r="K256" s="100">
        <f>53.5/ATHENS!O1*ATHENS!O2</f>
        <v>97.272727272727266</v>
      </c>
      <c r="L256" s="100">
        <f>78.5/ATHENS!O1*ATHENS!O2</f>
        <v>142.72727272727272</v>
      </c>
      <c r="M256" s="100">
        <f>97.5/ATHENS!O1*ATHENS!O2</f>
        <v>177.27272727272725</v>
      </c>
      <c r="N256" s="100"/>
    </row>
    <row r="257" spans="1:14" s="111" customFormat="1" ht="13.5" thickBot="1" x14ac:dyDescent="0.25">
      <c r="A257" s="134"/>
      <c r="B257" s="135" t="s">
        <v>374</v>
      </c>
      <c r="C257" s="135"/>
      <c r="D257" s="135"/>
      <c r="E257" s="136"/>
      <c r="F257" s="136"/>
      <c r="G257" s="136"/>
      <c r="H257" s="136"/>
      <c r="I257" s="136"/>
      <c r="J257" s="136"/>
      <c r="K257" s="136"/>
      <c r="L257" s="136"/>
      <c r="M257" s="136"/>
      <c r="N257" s="137"/>
    </row>
    <row r="258" spans="1:14" s="111" customFormat="1" ht="13.5" thickBot="1" x14ac:dyDescent="0.25">
      <c r="A258" s="108"/>
      <c r="B258" s="109"/>
      <c r="C258" s="109"/>
      <c r="D258" s="109"/>
      <c r="E258" s="110"/>
      <c r="F258" s="110"/>
      <c r="G258" s="110"/>
      <c r="H258" s="110"/>
      <c r="I258" s="110"/>
      <c r="J258" s="110"/>
      <c r="K258" s="110"/>
      <c r="L258" s="110"/>
      <c r="M258" s="110"/>
      <c r="N258" s="110"/>
    </row>
    <row r="259" spans="1:14" s="111" customFormat="1" x14ac:dyDescent="0.2">
      <c r="A259" s="112"/>
      <c r="B259" s="113"/>
      <c r="C259" s="113"/>
      <c r="D259" s="113"/>
      <c r="E259" s="114"/>
      <c r="F259" s="114"/>
      <c r="G259" s="114"/>
      <c r="H259" s="114"/>
      <c r="I259" s="114"/>
      <c r="J259" s="114"/>
      <c r="K259" s="114"/>
      <c r="L259" s="114"/>
      <c r="M259" s="114"/>
      <c r="N259" s="115"/>
    </row>
    <row r="260" spans="1:14" s="111" customFormat="1" ht="15" x14ac:dyDescent="0.2">
      <c r="A260" s="116"/>
      <c r="B260" s="462" t="s">
        <v>828</v>
      </c>
      <c r="C260" s="463"/>
      <c r="D260" s="463"/>
      <c r="E260" s="463"/>
      <c r="F260" s="463"/>
      <c r="G260" s="463"/>
      <c r="H260" s="463"/>
      <c r="I260" s="463"/>
      <c r="J260" s="463"/>
      <c r="K260" s="463"/>
      <c r="L260" s="463"/>
      <c r="M260" s="464"/>
      <c r="N260" s="117" t="s">
        <v>96</v>
      </c>
    </row>
    <row r="261" spans="1:14" s="111" customFormat="1" x14ac:dyDescent="0.2">
      <c r="A261" s="116"/>
      <c r="B261" s="118" t="s">
        <v>428</v>
      </c>
      <c r="C261" s="119" t="s">
        <v>666</v>
      </c>
      <c r="D261" s="119"/>
      <c r="E261" s="120"/>
      <c r="F261" s="120"/>
      <c r="G261" s="120"/>
      <c r="H261" s="120"/>
      <c r="I261" s="120"/>
      <c r="J261" s="120"/>
      <c r="K261" s="120"/>
      <c r="L261" s="120"/>
      <c r="M261" s="120"/>
      <c r="N261" s="101"/>
    </row>
    <row r="262" spans="1:14" s="111" customFormat="1" x14ac:dyDescent="0.2">
      <c r="A262" s="116"/>
      <c r="B262" s="118" t="s">
        <v>429</v>
      </c>
      <c r="C262" s="119" t="s">
        <v>1153</v>
      </c>
      <c r="D262" s="119"/>
      <c r="E262" s="120"/>
      <c r="F262" s="120"/>
      <c r="G262" s="120"/>
      <c r="H262" s="120"/>
      <c r="I262" s="120"/>
      <c r="J262" s="120"/>
      <c r="K262" s="120"/>
      <c r="L262" s="120"/>
      <c r="M262" s="120"/>
      <c r="N262" s="101"/>
    </row>
    <row r="263" spans="1:14" s="111" customFormat="1" x14ac:dyDescent="0.2">
      <c r="A263" s="116"/>
      <c r="B263" s="118" t="s">
        <v>427</v>
      </c>
      <c r="C263" s="465" t="s">
        <v>1321</v>
      </c>
      <c r="D263" s="465"/>
      <c r="E263" s="465"/>
      <c r="F263" s="465"/>
      <c r="G263" s="465"/>
      <c r="H263" s="465"/>
      <c r="I263" s="465"/>
      <c r="J263" s="465"/>
      <c r="K263" s="465"/>
      <c r="L263" s="465"/>
      <c r="M263" s="465"/>
      <c r="N263" s="466"/>
    </row>
    <row r="264" spans="1:14" s="111" customFormat="1" x14ac:dyDescent="0.2">
      <c r="A264" s="116"/>
      <c r="B264" s="109"/>
      <c r="C264" s="465"/>
      <c r="D264" s="465"/>
      <c r="E264" s="465"/>
      <c r="F264" s="465"/>
      <c r="G264" s="465"/>
      <c r="H264" s="465"/>
      <c r="I264" s="465"/>
      <c r="J264" s="465"/>
      <c r="K264" s="465"/>
      <c r="L264" s="465"/>
      <c r="M264" s="465"/>
      <c r="N264" s="466"/>
    </row>
    <row r="265" spans="1:14" s="111" customFormat="1" x14ac:dyDescent="0.2">
      <c r="A265" s="116"/>
      <c r="B265" s="109"/>
      <c r="C265" s="468"/>
      <c r="D265" s="468"/>
      <c r="E265" s="468"/>
      <c r="F265" s="468"/>
      <c r="G265" s="468"/>
      <c r="H265" s="468"/>
      <c r="I265" s="468"/>
      <c r="J265" s="468"/>
      <c r="K265" s="468"/>
      <c r="L265" s="468"/>
      <c r="M265" s="468"/>
      <c r="N265" s="469"/>
    </row>
    <row r="266" spans="1:14" s="111" customFormat="1" x14ac:dyDescent="0.2">
      <c r="A266" s="116"/>
      <c r="B266" s="118" t="s">
        <v>426</v>
      </c>
      <c r="C266" s="119" t="s">
        <v>283</v>
      </c>
      <c r="D266" s="119"/>
      <c r="E266" s="120"/>
      <c r="F266" s="120"/>
      <c r="G266" s="120"/>
      <c r="H266" s="120"/>
      <c r="I266" s="120"/>
      <c r="J266" s="120"/>
      <c r="K266" s="120"/>
      <c r="L266" s="120"/>
      <c r="M266" s="120"/>
      <c r="N266" s="101"/>
    </row>
    <row r="267" spans="1:14" s="111" customFormat="1" ht="13.5" thickBot="1" x14ac:dyDescent="0.25">
      <c r="A267" s="121"/>
      <c r="B267" s="118" t="s">
        <v>430</v>
      </c>
      <c r="C267" s="122"/>
      <c r="D267" s="122"/>
      <c r="E267" s="123"/>
      <c r="F267" s="123"/>
      <c r="G267" s="123"/>
      <c r="H267" s="123"/>
      <c r="I267" s="123"/>
      <c r="J267" s="123"/>
      <c r="K267" s="123"/>
      <c r="L267" s="123"/>
      <c r="M267" s="123"/>
      <c r="N267" s="104"/>
    </row>
    <row r="268" spans="1:14" s="111" customFormat="1" x14ac:dyDescent="0.2">
      <c r="A268" s="112"/>
      <c r="B268" s="113" t="s">
        <v>263</v>
      </c>
      <c r="C268" s="113"/>
      <c r="D268" s="113"/>
      <c r="E268" s="114"/>
      <c r="F268" s="114"/>
      <c r="G268" s="114"/>
      <c r="H268" s="114"/>
      <c r="I268" s="114"/>
      <c r="J268" s="126" t="s">
        <v>2053</v>
      </c>
      <c r="K268" s="126"/>
      <c r="L268" s="126" t="s">
        <v>2054</v>
      </c>
      <c r="M268" s="126"/>
      <c r="N268" s="126"/>
    </row>
    <row r="269" spans="1:14" s="111" customFormat="1" ht="13.5" thickBot="1" x14ac:dyDescent="0.25">
      <c r="A269" s="121"/>
      <c r="B269" s="119"/>
      <c r="C269" s="122"/>
      <c r="D269" s="122"/>
      <c r="E269" s="123"/>
      <c r="F269" s="123"/>
      <c r="G269" s="123"/>
      <c r="H269" s="123"/>
      <c r="I269" s="123"/>
      <c r="J269" s="105" t="s">
        <v>272</v>
      </c>
      <c r="K269" s="105" t="s">
        <v>279</v>
      </c>
      <c r="L269" s="105" t="s">
        <v>2055</v>
      </c>
      <c r="M269" s="105" t="s">
        <v>2056</v>
      </c>
      <c r="N269" s="105"/>
    </row>
    <row r="270" spans="1:14" s="111" customFormat="1" x14ac:dyDescent="0.2">
      <c r="A270" s="112"/>
      <c r="B270" s="467" t="s">
        <v>67</v>
      </c>
      <c r="C270" s="467"/>
      <c r="D270" s="467"/>
      <c r="E270" s="114"/>
      <c r="F270" s="114" t="s">
        <v>1180</v>
      </c>
      <c r="G270" s="114" t="s">
        <v>68</v>
      </c>
      <c r="H270" s="114" t="s">
        <v>702</v>
      </c>
      <c r="I270" s="114"/>
      <c r="J270" s="100">
        <f>147.5/ATHENS!O1*ATHENS!O2</f>
        <v>268.18181818181819</v>
      </c>
      <c r="K270" s="100">
        <f>210.89/ATHENS!O1*ATHENS!O2</f>
        <v>383.43636363636358</v>
      </c>
      <c r="L270" s="100">
        <f>284.5/ATHENS!O1*ATHENS!O2</f>
        <v>517.27272727272725</v>
      </c>
      <c r="M270" s="100">
        <f>373.8/ATHENS!O1*ATHENS!O2</f>
        <v>679.63636363636363</v>
      </c>
      <c r="N270" s="126"/>
    </row>
    <row r="271" spans="1:14" s="111" customFormat="1" x14ac:dyDescent="0.2">
      <c r="A271" s="116"/>
      <c r="B271" s="461" t="s">
        <v>67</v>
      </c>
      <c r="C271" s="461"/>
      <c r="D271" s="461"/>
      <c r="E271" s="120"/>
      <c r="F271" s="120" t="s">
        <v>1181</v>
      </c>
      <c r="G271" s="120" t="s">
        <v>68</v>
      </c>
      <c r="H271" s="120" t="s">
        <v>702</v>
      </c>
      <c r="I271" s="120"/>
      <c r="J271" s="100">
        <f>73.69/ATHENS!O1*ATHENS!O2</f>
        <v>133.98181818181817</v>
      </c>
      <c r="K271" s="100">
        <f>105.5/ATHENS!O1*ATHENS!O2</f>
        <v>191.81818181818181</v>
      </c>
      <c r="L271" s="100">
        <f>142.5/ATHENS!O1*ATHENS!O2</f>
        <v>259.09090909090907</v>
      </c>
      <c r="M271" s="100">
        <f>186.9/ATHENS!O1*ATHENS!O2</f>
        <v>339.81818181818181</v>
      </c>
      <c r="N271" s="100"/>
    </row>
    <row r="272" spans="1:14" s="111" customFormat="1" ht="13.5" thickBot="1" x14ac:dyDescent="0.25">
      <c r="A272" s="121"/>
      <c r="B272" s="460" t="s">
        <v>67</v>
      </c>
      <c r="C272" s="460"/>
      <c r="D272" s="460"/>
      <c r="E272" s="123"/>
      <c r="F272" s="123" t="s">
        <v>1182</v>
      </c>
      <c r="G272" s="123" t="s">
        <v>68</v>
      </c>
      <c r="H272" s="123" t="s">
        <v>702</v>
      </c>
      <c r="I272" s="123"/>
      <c r="J272" s="105">
        <f>60.7/ATHENS!O1*ATHENS!O2</f>
        <v>110.36363636363636</v>
      </c>
      <c r="K272" s="105">
        <f>85.5/ATHENS!O1*ATHENS!O2</f>
        <v>155.45454545454544</v>
      </c>
      <c r="L272" s="105">
        <f>106.6/ATHENS!O1*ATHENS!O2</f>
        <v>193.81818181818178</v>
      </c>
      <c r="M272" s="105">
        <f>143.5/ATHENS!O1*ATHENS!O2</f>
        <v>260.90909090909088</v>
      </c>
      <c r="N272" s="105"/>
    </row>
    <row r="273" spans="1:14" s="111" customFormat="1" ht="13.5" thickBot="1" x14ac:dyDescent="0.25">
      <c r="A273" s="108"/>
      <c r="B273" s="109"/>
      <c r="C273" s="109"/>
      <c r="D273" s="109"/>
      <c r="E273" s="110"/>
      <c r="F273" s="110"/>
      <c r="G273" s="110"/>
      <c r="H273" s="110"/>
      <c r="I273" s="110"/>
      <c r="J273" s="110"/>
      <c r="K273" s="110"/>
      <c r="L273" s="110"/>
      <c r="M273" s="110"/>
      <c r="N273" s="110"/>
    </row>
    <row r="274" spans="1:14" s="111" customFormat="1" x14ac:dyDescent="0.2">
      <c r="A274" s="112"/>
      <c r="B274" s="113"/>
      <c r="C274" s="113"/>
      <c r="D274" s="113"/>
      <c r="E274" s="114"/>
      <c r="F274" s="114"/>
      <c r="G274" s="114"/>
      <c r="H274" s="114"/>
      <c r="I274" s="114"/>
      <c r="J274" s="114"/>
      <c r="K274" s="114"/>
      <c r="L274" s="114"/>
      <c r="M274" s="114"/>
      <c r="N274" s="115"/>
    </row>
    <row r="275" spans="1:14" s="111" customFormat="1" ht="15" x14ac:dyDescent="0.2">
      <c r="A275" s="116"/>
      <c r="B275" s="462" t="s">
        <v>375</v>
      </c>
      <c r="C275" s="463"/>
      <c r="D275" s="463"/>
      <c r="E275" s="463"/>
      <c r="F275" s="463"/>
      <c r="G275" s="463"/>
      <c r="H275" s="463"/>
      <c r="I275" s="463"/>
      <c r="J275" s="463"/>
      <c r="K275" s="463"/>
      <c r="L275" s="463"/>
      <c r="M275" s="464"/>
      <c r="N275" s="117" t="s">
        <v>96</v>
      </c>
    </row>
    <row r="276" spans="1:14" s="111" customFormat="1" x14ac:dyDescent="0.2">
      <c r="A276" s="116"/>
      <c r="B276" s="118" t="s">
        <v>428</v>
      </c>
      <c r="C276" s="119" t="s">
        <v>575</v>
      </c>
      <c r="D276" s="119"/>
      <c r="E276" s="120"/>
      <c r="F276" s="120"/>
      <c r="G276" s="120"/>
      <c r="H276" s="120"/>
      <c r="I276" s="120"/>
      <c r="J276" s="120"/>
      <c r="K276" s="120"/>
      <c r="L276" s="120"/>
      <c r="M276" s="120"/>
      <c r="N276" s="101"/>
    </row>
    <row r="277" spans="1:14" s="111" customFormat="1" x14ac:dyDescent="0.2">
      <c r="A277" s="116"/>
      <c r="B277" s="118" t="s">
        <v>429</v>
      </c>
      <c r="C277" s="119" t="s">
        <v>122</v>
      </c>
      <c r="D277" s="119"/>
      <c r="E277" s="120"/>
      <c r="F277" s="120"/>
      <c r="G277" s="120"/>
      <c r="H277" s="120"/>
      <c r="I277" s="120"/>
      <c r="J277" s="120"/>
      <c r="K277" s="120"/>
      <c r="L277" s="120"/>
      <c r="M277" s="120"/>
      <c r="N277" s="101"/>
    </row>
    <row r="278" spans="1:14" s="111" customFormat="1" x14ac:dyDescent="0.2">
      <c r="A278" s="116"/>
      <c r="B278" s="118" t="s">
        <v>427</v>
      </c>
      <c r="C278" s="465" t="s">
        <v>1550</v>
      </c>
      <c r="D278" s="465"/>
      <c r="E278" s="465"/>
      <c r="F278" s="465"/>
      <c r="G278" s="465"/>
      <c r="H278" s="465"/>
      <c r="I278" s="465"/>
      <c r="J278" s="465"/>
      <c r="K278" s="465"/>
      <c r="L278" s="465"/>
      <c r="M278" s="465"/>
      <c r="N278" s="466"/>
    </row>
    <row r="279" spans="1:14" s="111" customFormat="1" x14ac:dyDescent="0.2">
      <c r="A279" s="116"/>
      <c r="B279" s="109"/>
      <c r="C279" s="465"/>
      <c r="D279" s="465"/>
      <c r="E279" s="465"/>
      <c r="F279" s="465"/>
      <c r="G279" s="465"/>
      <c r="H279" s="465"/>
      <c r="I279" s="465"/>
      <c r="J279" s="465"/>
      <c r="K279" s="465"/>
      <c r="L279" s="465"/>
      <c r="M279" s="465"/>
      <c r="N279" s="466"/>
    </row>
    <row r="280" spans="1:14" s="111" customFormat="1" x14ac:dyDescent="0.2">
      <c r="A280" s="116"/>
      <c r="B280" s="109"/>
      <c r="C280" s="465"/>
      <c r="D280" s="465"/>
      <c r="E280" s="465"/>
      <c r="F280" s="465"/>
      <c r="G280" s="465"/>
      <c r="H280" s="465"/>
      <c r="I280" s="465"/>
      <c r="J280" s="465"/>
      <c r="K280" s="465"/>
      <c r="L280" s="465"/>
      <c r="M280" s="465"/>
      <c r="N280" s="466"/>
    </row>
    <row r="281" spans="1:14" s="111" customFormat="1" x14ac:dyDescent="0.2">
      <c r="A281" s="116"/>
      <c r="B281" s="109"/>
      <c r="C281" s="468"/>
      <c r="D281" s="468"/>
      <c r="E281" s="468"/>
      <c r="F281" s="468"/>
      <c r="G281" s="468"/>
      <c r="H281" s="468"/>
      <c r="I281" s="468"/>
      <c r="J281" s="468"/>
      <c r="K281" s="468"/>
      <c r="L281" s="468"/>
      <c r="M281" s="468"/>
      <c r="N281" s="469"/>
    </row>
    <row r="282" spans="1:14" s="111" customFormat="1" x14ac:dyDescent="0.2">
      <c r="A282" s="116"/>
      <c r="B282" s="118" t="s">
        <v>426</v>
      </c>
      <c r="C282" s="119" t="s">
        <v>4</v>
      </c>
      <c r="D282" s="119"/>
      <c r="E282" s="120"/>
      <c r="F282" s="120"/>
      <c r="G282" s="120"/>
      <c r="H282" s="120"/>
      <c r="I282" s="120"/>
      <c r="J282" s="120"/>
      <c r="K282" s="120"/>
      <c r="L282" s="120"/>
      <c r="M282" s="120"/>
      <c r="N282" s="101"/>
    </row>
    <row r="283" spans="1:14" s="111" customFormat="1" ht="13.5" thickBot="1" x14ac:dyDescent="0.25">
      <c r="A283" s="116"/>
      <c r="B283" s="118" t="s">
        <v>430</v>
      </c>
      <c r="C283" s="119"/>
      <c r="D283" s="119"/>
      <c r="E283" s="120"/>
      <c r="F283" s="120"/>
      <c r="G283" s="120"/>
      <c r="H283" s="120"/>
      <c r="I283" s="120"/>
      <c r="J283" s="120"/>
      <c r="K283" s="120"/>
      <c r="L283" s="120"/>
      <c r="M283" s="120"/>
      <c r="N283" s="101"/>
    </row>
    <row r="284" spans="1:14" s="111" customFormat="1" x14ac:dyDescent="0.2">
      <c r="A284" s="112"/>
      <c r="B284" s="113" t="s">
        <v>263</v>
      </c>
      <c r="C284" s="113"/>
      <c r="D284" s="113"/>
      <c r="E284" s="114"/>
      <c r="F284" s="114"/>
      <c r="G284" s="114"/>
      <c r="H284" s="114"/>
      <c r="I284" s="114"/>
      <c r="J284" s="127" t="s">
        <v>2057</v>
      </c>
      <c r="K284" s="126" t="s">
        <v>279</v>
      </c>
      <c r="L284" s="126" t="s">
        <v>74</v>
      </c>
      <c r="M284" s="126"/>
      <c r="N284" s="126"/>
    </row>
    <row r="285" spans="1:14" s="111" customFormat="1" ht="13.5" thickBot="1" x14ac:dyDescent="0.25">
      <c r="A285" s="121"/>
      <c r="B285" s="122"/>
      <c r="C285" s="122"/>
      <c r="D285" s="122"/>
      <c r="E285" s="123"/>
      <c r="F285" s="123"/>
      <c r="G285" s="123"/>
      <c r="H285" s="123"/>
      <c r="I285" s="123"/>
      <c r="J285" s="125" t="s">
        <v>481</v>
      </c>
      <c r="K285" s="105" t="s">
        <v>341</v>
      </c>
      <c r="L285" s="105" t="s">
        <v>520</v>
      </c>
      <c r="M285" s="105" t="s">
        <v>524</v>
      </c>
      <c r="N285" s="105"/>
    </row>
    <row r="286" spans="1:14" s="111" customFormat="1" x14ac:dyDescent="0.2">
      <c r="A286" s="116"/>
      <c r="B286" s="461" t="s">
        <v>67</v>
      </c>
      <c r="C286" s="461"/>
      <c r="D286" s="461"/>
      <c r="E286" s="120"/>
      <c r="F286" s="120" t="s">
        <v>1180</v>
      </c>
      <c r="G286" s="120" t="s">
        <v>68</v>
      </c>
      <c r="H286" s="120" t="s">
        <v>702</v>
      </c>
      <c r="I286" s="120"/>
      <c r="J286" s="100">
        <f>205.5/ATHENS!O1*ATHENS!O2</f>
        <v>373.63636363636363</v>
      </c>
      <c r="K286" s="100">
        <f>257.5/ATHENS!O1*ATHENS!O2</f>
        <v>468.18181818181813</v>
      </c>
      <c r="L286" s="100">
        <f>342.8/ATHENS!O1*ATHENS!O2</f>
        <v>623.27272727272725</v>
      </c>
      <c r="M286" s="100">
        <f>402.5/ATHENS!O1*ATHENS!O2</f>
        <v>731.81818181818176</v>
      </c>
      <c r="N286" s="100"/>
    </row>
    <row r="287" spans="1:14" s="111" customFormat="1" x14ac:dyDescent="0.2">
      <c r="A287" s="116"/>
      <c r="B287" s="461" t="s">
        <v>67</v>
      </c>
      <c r="C287" s="461"/>
      <c r="D287" s="461"/>
      <c r="E287" s="120"/>
      <c r="F287" s="120" t="s">
        <v>1181</v>
      </c>
      <c r="G287" s="120" t="s">
        <v>68</v>
      </c>
      <c r="H287" s="120" t="s">
        <v>702</v>
      </c>
      <c r="I287" s="120"/>
      <c r="J287" s="100">
        <f>102.6/ATHENS!O1*ATHENS!O2</f>
        <v>186.54545454545453</v>
      </c>
      <c r="K287" s="100">
        <f>128.7/ATHENS!O1*ATHENS!O2</f>
        <v>233.99999999999997</v>
      </c>
      <c r="L287" s="100">
        <f>171.5/ATHENS!O1*ATHENS!O2</f>
        <v>311.81818181818181</v>
      </c>
      <c r="M287" s="100">
        <f>201.5/ATHENS!O1*ATHENS!O2</f>
        <v>366.36363636363632</v>
      </c>
      <c r="N287" s="100"/>
    </row>
    <row r="288" spans="1:14" s="111" customFormat="1" ht="13.5" thickBot="1" x14ac:dyDescent="0.25">
      <c r="A288" s="121"/>
      <c r="B288" s="460" t="s">
        <v>67</v>
      </c>
      <c r="C288" s="460"/>
      <c r="D288" s="460"/>
      <c r="E288" s="123"/>
      <c r="F288" s="123" t="s">
        <v>1182</v>
      </c>
      <c r="G288" s="123" t="s">
        <v>68</v>
      </c>
      <c r="H288" s="123" t="s">
        <v>702</v>
      </c>
      <c r="I288" s="123"/>
      <c r="J288" s="105">
        <f>92.5/ATHENS!O1*ATHENS!O2</f>
        <v>168.18181818181816</v>
      </c>
      <c r="K288" s="105">
        <f>116.5/ATHENS!O1*ATHENS!O2</f>
        <v>211.81818181818181</v>
      </c>
      <c r="L288" s="105">
        <f>154.5/ATHENS!O1*ATHENS!O2</f>
        <v>280.90909090909088</v>
      </c>
      <c r="M288" s="105">
        <f>180.9/ATHENS!O1*ATHENS!O2</f>
        <v>328.90909090909088</v>
      </c>
      <c r="N288" s="105"/>
    </row>
    <row r="289" spans="1:14" s="111" customFormat="1" ht="13.5" thickBot="1" x14ac:dyDescent="0.25">
      <c r="A289" s="108"/>
      <c r="B289" s="109"/>
      <c r="C289" s="109"/>
      <c r="D289" s="109"/>
      <c r="E289" s="110"/>
      <c r="F289" s="110"/>
      <c r="G289" s="110"/>
      <c r="H289" s="110"/>
      <c r="I289" s="110"/>
      <c r="J289" s="110"/>
      <c r="K289" s="110"/>
      <c r="L289" s="110"/>
      <c r="M289" s="110"/>
      <c r="N289" s="110"/>
    </row>
    <row r="290" spans="1:14" s="111" customFormat="1" x14ac:dyDescent="0.2">
      <c r="A290" s="112"/>
      <c r="B290" s="113"/>
      <c r="C290" s="113"/>
      <c r="D290" s="113"/>
      <c r="E290" s="114"/>
      <c r="F290" s="114"/>
      <c r="G290" s="114"/>
      <c r="H290" s="114"/>
      <c r="I290" s="114"/>
      <c r="J290" s="114"/>
      <c r="K290" s="114"/>
      <c r="L290" s="114"/>
      <c r="M290" s="114"/>
      <c r="N290" s="115"/>
    </row>
    <row r="291" spans="1:14" s="111" customFormat="1" ht="15" x14ac:dyDescent="0.2">
      <c r="A291" s="116"/>
      <c r="B291" s="462" t="s">
        <v>299</v>
      </c>
      <c r="C291" s="463"/>
      <c r="D291" s="463"/>
      <c r="E291" s="463"/>
      <c r="F291" s="463"/>
      <c r="G291" s="463"/>
      <c r="H291" s="463"/>
      <c r="I291" s="463"/>
      <c r="J291" s="463"/>
      <c r="K291" s="463"/>
      <c r="L291" s="463"/>
      <c r="M291" s="464"/>
      <c r="N291" s="117" t="s">
        <v>96</v>
      </c>
    </row>
    <row r="292" spans="1:14" s="111" customFormat="1" x14ac:dyDescent="0.2">
      <c r="A292" s="116"/>
      <c r="B292" s="118" t="s">
        <v>428</v>
      </c>
      <c r="C292" s="119" t="s">
        <v>18</v>
      </c>
      <c r="D292" s="119"/>
      <c r="E292" s="120"/>
      <c r="F292" s="120"/>
      <c r="G292" s="120"/>
      <c r="H292" s="120"/>
      <c r="I292" s="120"/>
      <c r="J292" s="120"/>
      <c r="K292" s="120"/>
      <c r="L292" s="120"/>
      <c r="M292" s="120"/>
      <c r="N292" s="101"/>
    </row>
    <row r="293" spans="1:14" s="111" customFormat="1" x14ac:dyDescent="0.2">
      <c r="A293" s="116"/>
      <c r="B293" s="118" t="s">
        <v>429</v>
      </c>
      <c r="C293" s="119" t="s">
        <v>316</v>
      </c>
      <c r="D293" s="119"/>
      <c r="E293" s="120"/>
      <c r="F293" s="120"/>
      <c r="G293" s="120"/>
      <c r="H293" s="120"/>
      <c r="I293" s="120"/>
      <c r="J293" s="120"/>
      <c r="K293" s="120"/>
      <c r="L293" s="120"/>
      <c r="M293" s="120"/>
      <c r="N293" s="101"/>
    </row>
    <row r="294" spans="1:14" s="111" customFormat="1" x14ac:dyDescent="0.2">
      <c r="A294" s="116"/>
      <c r="B294" s="118" t="s">
        <v>427</v>
      </c>
      <c r="C294" s="465" t="s">
        <v>1549</v>
      </c>
      <c r="D294" s="465"/>
      <c r="E294" s="465"/>
      <c r="F294" s="465"/>
      <c r="G294" s="465"/>
      <c r="H294" s="465"/>
      <c r="I294" s="465"/>
      <c r="J294" s="465"/>
      <c r="K294" s="465"/>
      <c r="L294" s="465"/>
      <c r="M294" s="465"/>
      <c r="N294" s="466"/>
    </row>
    <row r="295" spans="1:14" s="111" customFormat="1" x14ac:dyDescent="0.2">
      <c r="A295" s="116"/>
      <c r="B295" s="109"/>
      <c r="C295" s="465"/>
      <c r="D295" s="465"/>
      <c r="E295" s="465"/>
      <c r="F295" s="465"/>
      <c r="G295" s="465"/>
      <c r="H295" s="465"/>
      <c r="I295" s="465"/>
      <c r="J295" s="465"/>
      <c r="K295" s="465"/>
      <c r="L295" s="465"/>
      <c r="M295" s="465"/>
      <c r="N295" s="466"/>
    </row>
    <row r="296" spans="1:14" s="111" customFormat="1" x14ac:dyDescent="0.2">
      <c r="A296" s="116"/>
      <c r="B296" s="109"/>
      <c r="C296" s="468"/>
      <c r="D296" s="468"/>
      <c r="E296" s="468"/>
      <c r="F296" s="468"/>
      <c r="G296" s="468"/>
      <c r="H296" s="468"/>
      <c r="I296" s="468"/>
      <c r="J296" s="468"/>
      <c r="K296" s="468"/>
      <c r="L296" s="468"/>
      <c r="M296" s="468"/>
      <c r="N296" s="469"/>
    </row>
    <row r="297" spans="1:14" s="111" customFormat="1" x14ac:dyDescent="0.2">
      <c r="A297" s="116"/>
      <c r="B297" s="109"/>
      <c r="C297" s="468"/>
      <c r="D297" s="468"/>
      <c r="E297" s="468"/>
      <c r="F297" s="468"/>
      <c r="G297" s="468"/>
      <c r="H297" s="468"/>
      <c r="I297" s="468"/>
      <c r="J297" s="468"/>
      <c r="K297" s="468"/>
      <c r="L297" s="468"/>
      <c r="M297" s="468"/>
      <c r="N297" s="469"/>
    </row>
    <row r="298" spans="1:14" s="111" customFormat="1" x14ac:dyDescent="0.2">
      <c r="A298" s="116"/>
      <c r="B298" s="109"/>
      <c r="C298" s="468"/>
      <c r="D298" s="468"/>
      <c r="E298" s="468"/>
      <c r="F298" s="468"/>
      <c r="G298" s="468"/>
      <c r="H298" s="468"/>
      <c r="I298" s="468"/>
      <c r="J298" s="468"/>
      <c r="K298" s="468"/>
      <c r="L298" s="468"/>
      <c r="M298" s="468"/>
      <c r="N298" s="469"/>
    </row>
    <row r="299" spans="1:14" s="111" customFormat="1" x14ac:dyDescent="0.2">
      <c r="A299" s="116"/>
      <c r="B299" s="118" t="s">
        <v>426</v>
      </c>
      <c r="C299" s="119"/>
      <c r="D299" s="119"/>
      <c r="E299" s="120"/>
      <c r="F299" s="120"/>
      <c r="G299" s="120"/>
      <c r="H299" s="120"/>
      <c r="I299" s="120"/>
      <c r="J299" s="120"/>
      <c r="K299" s="120"/>
      <c r="L299" s="120"/>
      <c r="M299" s="120"/>
      <c r="N299" s="101"/>
    </row>
    <row r="300" spans="1:14" s="111" customFormat="1" ht="13.5" thickBot="1" x14ac:dyDescent="0.25">
      <c r="A300" s="116"/>
      <c r="B300" s="118" t="s">
        <v>430</v>
      </c>
      <c r="C300" s="119"/>
      <c r="D300" s="119"/>
      <c r="E300" s="120"/>
      <c r="F300" s="120"/>
      <c r="G300" s="120"/>
      <c r="H300" s="120"/>
      <c r="I300" s="120"/>
      <c r="J300" s="120"/>
      <c r="K300" s="120"/>
      <c r="L300" s="120"/>
      <c r="M300" s="120"/>
      <c r="N300" s="101"/>
    </row>
    <row r="301" spans="1:14" s="111" customFormat="1" x14ac:dyDescent="0.2">
      <c r="A301" s="112"/>
      <c r="B301" s="113" t="s">
        <v>263</v>
      </c>
      <c r="C301" s="113"/>
      <c r="D301" s="113"/>
      <c r="E301" s="114"/>
      <c r="F301" s="114"/>
      <c r="G301" s="114"/>
      <c r="H301" s="114"/>
      <c r="I301" s="114"/>
      <c r="J301" s="127" t="s">
        <v>2058</v>
      </c>
      <c r="K301" s="126" t="s">
        <v>2060</v>
      </c>
      <c r="L301" s="126" t="s">
        <v>2062</v>
      </c>
      <c r="M301" s="126"/>
      <c r="N301" s="126"/>
    </row>
    <row r="302" spans="1:14" s="111" customFormat="1" ht="13.5" thickBot="1" x14ac:dyDescent="0.25">
      <c r="A302" s="121"/>
      <c r="B302" s="122"/>
      <c r="C302" s="122"/>
      <c r="D302" s="122"/>
      <c r="E302" s="123"/>
      <c r="F302" s="123"/>
      <c r="G302" s="123"/>
      <c r="H302" s="123"/>
      <c r="I302" s="123"/>
      <c r="J302" s="125" t="s">
        <v>2059</v>
      </c>
      <c r="K302" s="105" t="s">
        <v>2061</v>
      </c>
      <c r="L302" s="105" t="s">
        <v>1793</v>
      </c>
      <c r="M302" s="105" t="s">
        <v>2063</v>
      </c>
      <c r="N302" s="105"/>
    </row>
    <row r="303" spans="1:14" s="111" customFormat="1" x14ac:dyDescent="0.2">
      <c r="A303" s="116"/>
      <c r="B303" s="461" t="s">
        <v>67</v>
      </c>
      <c r="C303" s="461"/>
      <c r="D303" s="461"/>
      <c r="E303" s="120"/>
      <c r="F303" s="120" t="s">
        <v>1180</v>
      </c>
      <c r="G303" s="120" t="s">
        <v>68</v>
      </c>
      <c r="H303" s="120" t="s">
        <v>702</v>
      </c>
      <c r="I303" s="120"/>
      <c r="J303" s="100">
        <f>44.5/ATHENS!O1*ATHENS!O2</f>
        <v>80.909090909090907</v>
      </c>
      <c r="K303" s="100">
        <f>72.5/ATHENS!O1*ATHENS!O2</f>
        <v>131.81818181818181</v>
      </c>
      <c r="L303" s="100">
        <f>127.5/ATHENS!O1*ATHENS!O2</f>
        <v>231.81818181818181</v>
      </c>
      <c r="M303" s="100">
        <f>167.5/ATHENS!O1*ATHENS!O2</f>
        <v>304.5454545454545</v>
      </c>
      <c r="N303" s="100"/>
    </row>
    <row r="304" spans="1:14" s="111" customFormat="1" x14ac:dyDescent="0.2">
      <c r="A304" s="116"/>
      <c r="B304" s="461" t="s">
        <v>67</v>
      </c>
      <c r="C304" s="461"/>
      <c r="D304" s="461"/>
      <c r="E304" s="120"/>
      <c r="F304" s="120" t="s">
        <v>1181</v>
      </c>
      <c r="G304" s="120" t="s">
        <v>68</v>
      </c>
      <c r="H304" s="120" t="s">
        <v>702</v>
      </c>
      <c r="I304" s="120"/>
      <c r="J304" s="100">
        <f>24.7/ATHENS!O1*ATHENS!O2</f>
        <v>44.909090909090907</v>
      </c>
      <c r="K304" s="100">
        <f>40.5/ATHENS!O1*ATHENS!O2</f>
        <v>73.636363636363626</v>
      </c>
      <c r="L304" s="100">
        <f>70.5/ATHENS!O1*ATHENS!O2</f>
        <v>128.18181818181816</v>
      </c>
      <c r="M304" s="100">
        <f>91.5/ATHENS!O1*ATHENS!O2</f>
        <v>166.36363636363635</v>
      </c>
      <c r="N304" s="100"/>
    </row>
    <row r="305" spans="1:14" s="111" customFormat="1" ht="13.5" thickBot="1" x14ac:dyDescent="0.25">
      <c r="A305" s="121"/>
      <c r="B305" s="460" t="s">
        <v>67</v>
      </c>
      <c r="C305" s="460"/>
      <c r="D305" s="460"/>
      <c r="E305" s="123"/>
      <c r="F305" s="123" t="s">
        <v>1182</v>
      </c>
      <c r="G305" s="123" t="s">
        <v>68</v>
      </c>
      <c r="H305" s="123" t="s">
        <v>702</v>
      </c>
      <c r="I305" s="123"/>
      <c r="J305" s="105">
        <f>22.5/ATHENS!O1*ATHENS!O2</f>
        <v>40.909090909090907</v>
      </c>
      <c r="K305" s="105">
        <f>36.5/ATHENS!O1*ATHENS!O2</f>
        <v>66.36363636363636</v>
      </c>
      <c r="L305" s="105">
        <f>63.5/ATHENS!O1*ATHENS!O2</f>
        <v>115.45454545454544</v>
      </c>
      <c r="M305" s="105">
        <f>83.9/ATHENS!O1*ATHENS!O2</f>
        <v>152.54545454545453</v>
      </c>
      <c r="N305" s="105"/>
    </row>
    <row r="306" spans="1:14" s="111" customFormat="1" ht="13.5" thickBot="1" x14ac:dyDescent="0.25">
      <c r="A306" s="108"/>
      <c r="B306" s="109"/>
      <c r="C306" s="109"/>
      <c r="D306" s="109"/>
      <c r="E306" s="110"/>
      <c r="F306" s="110"/>
      <c r="G306" s="110"/>
      <c r="H306" s="110"/>
      <c r="I306" s="110"/>
      <c r="J306" s="110"/>
      <c r="K306" s="110"/>
      <c r="L306" s="110"/>
      <c r="M306" s="110"/>
      <c r="N306" s="110"/>
    </row>
    <row r="307" spans="1:14" s="111" customFormat="1" x14ac:dyDescent="0.2">
      <c r="A307" s="112"/>
      <c r="B307" s="113"/>
      <c r="C307" s="113"/>
      <c r="D307" s="113"/>
      <c r="E307" s="114"/>
      <c r="F307" s="114"/>
      <c r="G307" s="114"/>
      <c r="H307" s="114"/>
      <c r="I307" s="114"/>
      <c r="J307" s="114"/>
      <c r="K307" s="114"/>
      <c r="L307" s="114"/>
      <c r="M307" s="114"/>
      <c r="N307" s="115"/>
    </row>
    <row r="308" spans="1:14" s="111" customFormat="1" ht="15" x14ac:dyDescent="0.2">
      <c r="A308" s="116"/>
      <c r="B308" s="462" t="s">
        <v>477</v>
      </c>
      <c r="C308" s="463"/>
      <c r="D308" s="463"/>
      <c r="E308" s="463"/>
      <c r="F308" s="463"/>
      <c r="G308" s="463"/>
      <c r="H308" s="463"/>
      <c r="I308" s="463"/>
      <c r="J308" s="463"/>
      <c r="K308" s="463"/>
      <c r="L308" s="463"/>
      <c r="M308" s="464"/>
      <c r="N308" s="117" t="s">
        <v>96</v>
      </c>
    </row>
    <row r="309" spans="1:14" s="111" customFormat="1" x14ac:dyDescent="0.2">
      <c r="A309" s="116"/>
      <c r="B309" s="118" t="s">
        <v>428</v>
      </c>
      <c r="C309" s="119" t="s">
        <v>575</v>
      </c>
      <c r="D309" s="119"/>
      <c r="E309" s="120"/>
      <c r="F309" s="120"/>
      <c r="G309" s="120"/>
      <c r="H309" s="120"/>
      <c r="I309" s="120"/>
      <c r="J309" s="120"/>
      <c r="K309" s="120"/>
      <c r="L309" s="120"/>
      <c r="M309" s="120"/>
      <c r="N309" s="101"/>
    </row>
    <row r="310" spans="1:14" s="111" customFormat="1" x14ac:dyDescent="0.2">
      <c r="A310" s="116"/>
      <c r="B310" s="118" t="s">
        <v>429</v>
      </c>
      <c r="C310" s="119" t="s">
        <v>878</v>
      </c>
      <c r="D310" s="119"/>
      <c r="E310" s="120"/>
      <c r="F310" s="120"/>
      <c r="G310" s="120"/>
      <c r="H310" s="120"/>
      <c r="I310" s="120"/>
      <c r="J310" s="120"/>
      <c r="K310" s="120"/>
      <c r="L310" s="120"/>
      <c r="M310" s="120"/>
      <c r="N310" s="101"/>
    </row>
    <row r="311" spans="1:14" s="111" customFormat="1" x14ac:dyDescent="0.2">
      <c r="A311" s="116"/>
      <c r="B311" s="118" t="s">
        <v>427</v>
      </c>
      <c r="C311" s="465" t="s">
        <v>1322</v>
      </c>
      <c r="D311" s="465"/>
      <c r="E311" s="465"/>
      <c r="F311" s="465"/>
      <c r="G311" s="465"/>
      <c r="H311" s="465"/>
      <c r="I311" s="465"/>
      <c r="J311" s="465"/>
      <c r="K311" s="465"/>
      <c r="L311" s="465"/>
      <c r="M311" s="465"/>
      <c r="N311" s="466"/>
    </row>
    <row r="312" spans="1:14" s="111" customFormat="1" x14ac:dyDescent="0.2">
      <c r="A312" s="116"/>
      <c r="B312" s="109"/>
      <c r="C312" s="465"/>
      <c r="D312" s="465"/>
      <c r="E312" s="465"/>
      <c r="F312" s="465"/>
      <c r="G312" s="465"/>
      <c r="H312" s="465"/>
      <c r="I312" s="465"/>
      <c r="J312" s="465"/>
      <c r="K312" s="465"/>
      <c r="L312" s="465"/>
      <c r="M312" s="465"/>
      <c r="N312" s="466"/>
    </row>
    <row r="313" spans="1:14" s="111" customFormat="1" x14ac:dyDescent="0.2">
      <c r="A313" s="116"/>
      <c r="B313" s="118" t="s">
        <v>426</v>
      </c>
      <c r="C313" s="119"/>
      <c r="D313" s="119"/>
      <c r="E313" s="120"/>
      <c r="F313" s="120"/>
      <c r="G313" s="120"/>
      <c r="H313" s="120"/>
      <c r="I313" s="120"/>
      <c r="J313" s="120"/>
      <c r="K313" s="120"/>
      <c r="L313" s="120"/>
      <c r="M313" s="120"/>
      <c r="N313" s="101"/>
    </row>
    <row r="314" spans="1:14" s="111" customFormat="1" ht="13.5" thickBot="1" x14ac:dyDescent="0.25">
      <c r="A314" s="116"/>
      <c r="B314" s="118" t="s">
        <v>430</v>
      </c>
      <c r="C314" s="119"/>
      <c r="D314" s="119"/>
      <c r="E314" s="120"/>
      <c r="F314" s="120"/>
      <c r="G314" s="120"/>
      <c r="H314" s="120"/>
      <c r="I314" s="120"/>
      <c r="J314" s="120"/>
      <c r="K314" s="120"/>
      <c r="L314" s="120"/>
      <c r="M314" s="120"/>
      <c r="N314" s="101"/>
    </row>
    <row r="315" spans="1:14" s="111" customFormat="1" x14ac:dyDescent="0.2">
      <c r="A315" s="112"/>
      <c r="B315" s="113" t="s">
        <v>263</v>
      </c>
      <c r="C315" s="113"/>
      <c r="D315" s="113"/>
      <c r="E315" s="114"/>
      <c r="F315" s="114"/>
      <c r="G315" s="114"/>
      <c r="H315" s="114"/>
      <c r="I315" s="114"/>
      <c r="J315" s="127" t="s">
        <v>1801</v>
      </c>
      <c r="K315" s="126" t="s">
        <v>2203</v>
      </c>
      <c r="L315" s="126" t="s">
        <v>2204</v>
      </c>
      <c r="M315" s="126"/>
      <c r="N315" s="126"/>
    </row>
    <row r="316" spans="1:14" s="111" customFormat="1" ht="13.5" thickBot="1" x14ac:dyDescent="0.25">
      <c r="A316" s="121"/>
      <c r="B316" s="122"/>
      <c r="C316" s="122"/>
      <c r="D316" s="122"/>
      <c r="E316" s="123"/>
      <c r="F316" s="123"/>
      <c r="G316" s="123"/>
      <c r="H316" s="123"/>
      <c r="I316" s="123"/>
      <c r="J316" s="125" t="s">
        <v>2202</v>
      </c>
      <c r="K316" s="105" t="s">
        <v>296</v>
      </c>
      <c r="L316" s="105" t="s">
        <v>2052</v>
      </c>
      <c r="M316" s="105" t="s">
        <v>511</v>
      </c>
      <c r="N316" s="105"/>
    </row>
    <row r="317" spans="1:14" s="111" customFormat="1" x14ac:dyDescent="0.2">
      <c r="A317" s="112"/>
      <c r="B317" s="467" t="s">
        <v>67</v>
      </c>
      <c r="C317" s="467"/>
      <c r="D317" s="467"/>
      <c r="E317" s="114"/>
      <c r="F317" s="114" t="s">
        <v>1180</v>
      </c>
      <c r="G317" s="114" t="s">
        <v>68</v>
      </c>
      <c r="H317" s="114" t="s">
        <v>702</v>
      </c>
      <c r="I317" s="114"/>
      <c r="J317" s="126">
        <f>78/ATHENS!O1*ATHENS!O2</f>
        <v>141.81818181818181</v>
      </c>
      <c r="K317" s="126">
        <f>110/ATHENS!O1*ATHENS!O2</f>
        <v>199.99999999999997</v>
      </c>
      <c r="L317" s="126">
        <f>144/ATHENS!O1*ATHENS!O2</f>
        <v>261.81818181818181</v>
      </c>
      <c r="M317" s="126">
        <f>204/ATHENS!O1*ATHENS!O2</f>
        <v>370.90909090909088</v>
      </c>
      <c r="N317" s="126"/>
    </row>
    <row r="318" spans="1:14" s="111" customFormat="1" x14ac:dyDescent="0.2">
      <c r="A318" s="116"/>
      <c r="B318" s="461" t="s">
        <v>67</v>
      </c>
      <c r="C318" s="461"/>
      <c r="D318" s="461"/>
      <c r="E318" s="120"/>
      <c r="F318" s="120" t="s">
        <v>1181</v>
      </c>
      <c r="G318" s="120" t="s">
        <v>68</v>
      </c>
      <c r="H318" s="120" t="s">
        <v>702</v>
      </c>
      <c r="I318" s="120"/>
      <c r="J318" s="100">
        <f>39/ATHENS!O1*ATHENS!O2</f>
        <v>70.909090909090907</v>
      </c>
      <c r="K318" s="100">
        <f>55/ATHENS!O1*ATHENS!O2</f>
        <v>99.999999999999986</v>
      </c>
      <c r="L318" s="100">
        <f>72/ATHENS!O1*ATHENS!O2</f>
        <v>130.90909090909091</v>
      </c>
      <c r="M318" s="100">
        <f>102/ATHENS!O1*ATHENS!O2</f>
        <v>185.45454545454544</v>
      </c>
      <c r="N318" s="100"/>
    </row>
    <row r="319" spans="1:14" s="111" customFormat="1" x14ac:dyDescent="0.2">
      <c r="A319" s="116"/>
      <c r="B319" s="461" t="s">
        <v>67</v>
      </c>
      <c r="C319" s="461"/>
      <c r="D319" s="461"/>
      <c r="E319" s="120"/>
      <c r="F319" s="120" t="s">
        <v>1182</v>
      </c>
      <c r="G319" s="120" t="s">
        <v>68</v>
      </c>
      <c r="H319" s="120" t="s">
        <v>702</v>
      </c>
      <c r="I319" s="120"/>
      <c r="J319" s="100">
        <f>35.5/ATHENS!O1*ATHENS!O2</f>
        <v>64.545454545454547</v>
      </c>
      <c r="K319" s="100">
        <f>49.5/ATHENS!O1*ATHENS!O2</f>
        <v>89.999999999999986</v>
      </c>
      <c r="L319" s="100">
        <f>64.8/ATHENS!O1*ATHENS!O2</f>
        <v>117.8181818181818</v>
      </c>
      <c r="M319" s="100">
        <f>91.8/ATHENS!O1*ATHENS!O2</f>
        <v>166.90909090909088</v>
      </c>
      <c r="N319" s="100"/>
    </row>
    <row r="320" spans="1:14" s="111" customFormat="1" ht="13.5" thickBot="1" x14ac:dyDescent="0.25">
      <c r="A320" s="108"/>
      <c r="B320" s="109"/>
      <c r="C320" s="109"/>
      <c r="D320" s="109"/>
      <c r="E320" s="110"/>
      <c r="F320" s="110"/>
      <c r="G320" s="110"/>
      <c r="H320" s="110"/>
      <c r="I320" s="110"/>
      <c r="J320" s="110"/>
      <c r="K320" s="110"/>
      <c r="L320" s="110"/>
      <c r="M320" s="110"/>
      <c r="N320" s="110"/>
    </row>
    <row r="321" spans="1:14" s="111" customFormat="1" x14ac:dyDescent="0.2">
      <c r="A321" s="112"/>
      <c r="B321" s="113"/>
      <c r="C321" s="113"/>
      <c r="D321" s="113"/>
      <c r="E321" s="114"/>
      <c r="F321" s="114"/>
      <c r="G321" s="114"/>
      <c r="H321" s="114"/>
      <c r="I321" s="114"/>
      <c r="J321" s="114"/>
      <c r="K321" s="114"/>
      <c r="L321" s="114"/>
      <c r="M321" s="114"/>
      <c r="N321" s="115"/>
    </row>
    <row r="322" spans="1:14" s="111" customFormat="1" ht="15" x14ac:dyDescent="0.2">
      <c r="A322" s="116"/>
      <c r="B322" s="462" t="s">
        <v>1781</v>
      </c>
      <c r="C322" s="463"/>
      <c r="D322" s="463"/>
      <c r="E322" s="463"/>
      <c r="F322" s="463"/>
      <c r="G322" s="463"/>
      <c r="H322" s="463"/>
      <c r="I322" s="463"/>
      <c r="J322" s="463"/>
      <c r="K322" s="463"/>
      <c r="L322" s="463"/>
      <c r="M322" s="464"/>
      <c r="N322" s="117" t="s">
        <v>96</v>
      </c>
    </row>
    <row r="323" spans="1:14" s="111" customFormat="1" x14ac:dyDescent="0.2">
      <c r="A323" s="116"/>
      <c r="B323" s="118" t="s">
        <v>428</v>
      </c>
      <c r="C323" s="119" t="s">
        <v>575</v>
      </c>
      <c r="D323" s="119"/>
      <c r="E323" s="120"/>
      <c r="F323" s="120"/>
      <c r="G323" s="120"/>
      <c r="H323" s="120"/>
      <c r="I323" s="120"/>
      <c r="J323" s="120"/>
      <c r="K323" s="120"/>
      <c r="L323" s="120"/>
      <c r="M323" s="120"/>
      <c r="N323" s="101"/>
    </row>
    <row r="324" spans="1:14" s="111" customFormat="1" x14ac:dyDescent="0.2">
      <c r="A324" s="116"/>
      <c r="B324" s="118" t="s">
        <v>429</v>
      </c>
      <c r="C324" s="119" t="s">
        <v>506</v>
      </c>
      <c r="D324" s="119"/>
      <c r="E324" s="120"/>
      <c r="F324" s="120"/>
      <c r="G324" s="120"/>
      <c r="H324" s="120"/>
      <c r="I324" s="120"/>
      <c r="J324" s="120"/>
      <c r="K324" s="120"/>
      <c r="L324" s="120"/>
      <c r="M324" s="120"/>
      <c r="N324" s="101"/>
    </row>
    <row r="325" spans="1:14" s="111" customFormat="1" x14ac:dyDescent="0.2">
      <c r="A325" s="116"/>
      <c r="B325" s="118" t="s">
        <v>427</v>
      </c>
      <c r="C325" s="465" t="s">
        <v>1330</v>
      </c>
      <c r="D325" s="465"/>
      <c r="E325" s="465"/>
      <c r="F325" s="465"/>
      <c r="G325" s="465"/>
      <c r="H325" s="465"/>
      <c r="I325" s="465"/>
      <c r="J325" s="465"/>
      <c r="K325" s="465"/>
      <c r="L325" s="465"/>
      <c r="M325" s="465"/>
      <c r="N325" s="466"/>
    </row>
    <row r="326" spans="1:14" s="111" customFormat="1" x14ac:dyDescent="0.2">
      <c r="A326" s="116"/>
      <c r="B326" s="109"/>
      <c r="C326" s="465"/>
      <c r="D326" s="465"/>
      <c r="E326" s="465"/>
      <c r="F326" s="465"/>
      <c r="G326" s="465"/>
      <c r="H326" s="465"/>
      <c r="I326" s="465"/>
      <c r="J326" s="465"/>
      <c r="K326" s="465"/>
      <c r="L326" s="465"/>
      <c r="M326" s="465"/>
      <c r="N326" s="466"/>
    </row>
    <row r="327" spans="1:14" s="111" customFormat="1" x14ac:dyDescent="0.2">
      <c r="A327" s="116"/>
      <c r="B327" s="109"/>
      <c r="C327" s="468"/>
      <c r="D327" s="468"/>
      <c r="E327" s="468"/>
      <c r="F327" s="468"/>
      <c r="G327" s="468"/>
      <c r="H327" s="468"/>
      <c r="I327" s="468"/>
      <c r="J327" s="468"/>
      <c r="K327" s="468"/>
      <c r="L327" s="468"/>
      <c r="M327" s="468"/>
      <c r="N327" s="469"/>
    </row>
    <row r="328" spans="1:14" s="111" customFormat="1" x14ac:dyDescent="0.2">
      <c r="A328" s="116"/>
      <c r="B328" s="109"/>
      <c r="C328" s="468"/>
      <c r="D328" s="468"/>
      <c r="E328" s="468"/>
      <c r="F328" s="468"/>
      <c r="G328" s="468"/>
      <c r="H328" s="468"/>
      <c r="I328" s="468"/>
      <c r="J328" s="468"/>
      <c r="K328" s="468"/>
      <c r="L328" s="468"/>
      <c r="M328" s="468"/>
      <c r="N328" s="469"/>
    </row>
    <row r="329" spans="1:14" s="111" customFormat="1" x14ac:dyDescent="0.2">
      <c r="A329" s="116"/>
      <c r="B329" s="109"/>
      <c r="C329" s="468"/>
      <c r="D329" s="468"/>
      <c r="E329" s="468"/>
      <c r="F329" s="468"/>
      <c r="G329" s="468"/>
      <c r="H329" s="468"/>
      <c r="I329" s="468"/>
      <c r="J329" s="468"/>
      <c r="K329" s="468"/>
      <c r="L329" s="468"/>
      <c r="M329" s="468"/>
      <c r="N329" s="469"/>
    </row>
    <row r="330" spans="1:14" s="111" customFormat="1" x14ac:dyDescent="0.2">
      <c r="A330" s="116"/>
      <c r="B330" s="118" t="s">
        <v>426</v>
      </c>
      <c r="C330" s="119" t="s">
        <v>598</v>
      </c>
      <c r="D330" s="119"/>
      <c r="E330" s="120"/>
      <c r="F330" s="120"/>
      <c r="G330" s="120"/>
      <c r="H330" s="120"/>
      <c r="I330" s="120"/>
      <c r="J330" s="120"/>
      <c r="K330" s="120"/>
      <c r="L330" s="120"/>
      <c r="M330" s="120"/>
      <c r="N330" s="101"/>
    </row>
    <row r="331" spans="1:14" s="111" customFormat="1" ht="13.5" thickBot="1" x14ac:dyDescent="0.25">
      <c r="A331" s="116"/>
      <c r="B331" s="118" t="s">
        <v>430</v>
      </c>
      <c r="C331" s="119" t="s">
        <v>1478</v>
      </c>
      <c r="D331" s="119"/>
      <c r="E331" s="120"/>
      <c r="F331" s="120"/>
      <c r="G331" s="120"/>
      <c r="H331" s="120"/>
      <c r="I331" s="120"/>
      <c r="J331" s="120"/>
      <c r="K331" s="120"/>
      <c r="L331" s="120"/>
      <c r="M331" s="120"/>
      <c r="N331" s="101"/>
    </row>
    <row r="332" spans="1:14" s="111" customFormat="1" x14ac:dyDescent="0.2">
      <c r="A332" s="112"/>
      <c r="B332" s="113" t="s">
        <v>263</v>
      </c>
      <c r="C332" s="113"/>
      <c r="D332" s="113"/>
      <c r="E332" s="114"/>
      <c r="F332" s="114"/>
      <c r="G332" s="114"/>
      <c r="H332" s="114"/>
      <c r="I332" s="114"/>
      <c r="J332" s="127" t="s">
        <v>1858</v>
      </c>
      <c r="K332" s="126" t="s">
        <v>1860</v>
      </c>
      <c r="L332" s="126" t="s">
        <v>1584</v>
      </c>
      <c r="M332" s="126"/>
      <c r="N332" s="126"/>
    </row>
    <row r="333" spans="1:14" s="111" customFormat="1" ht="13.5" thickBot="1" x14ac:dyDescent="0.25">
      <c r="A333" s="121"/>
      <c r="B333" s="122"/>
      <c r="C333" s="122"/>
      <c r="D333" s="122"/>
      <c r="E333" s="123"/>
      <c r="F333" s="123"/>
      <c r="G333" s="123"/>
      <c r="H333" s="123"/>
      <c r="I333" s="123"/>
      <c r="J333" s="125" t="s">
        <v>1859</v>
      </c>
      <c r="K333" s="105" t="s">
        <v>1570</v>
      </c>
      <c r="L333" s="105" t="s">
        <v>1780</v>
      </c>
      <c r="M333" s="105" t="s">
        <v>367</v>
      </c>
      <c r="N333" s="105"/>
    </row>
    <row r="334" spans="1:14" s="111" customFormat="1" x14ac:dyDescent="0.2">
      <c r="A334" s="112"/>
      <c r="B334" s="467" t="s">
        <v>67</v>
      </c>
      <c r="C334" s="467"/>
      <c r="D334" s="467"/>
      <c r="E334" s="114"/>
      <c r="F334" s="114" t="s">
        <v>1180</v>
      </c>
      <c r="G334" s="114" t="s">
        <v>68</v>
      </c>
      <c r="H334" s="114" t="s">
        <v>702</v>
      </c>
      <c r="I334" s="114"/>
      <c r="J334" s="126">
        <f>121/ATHENS!O1*ATHENS!O2</f>
        <v>219.99999999999997</v>
      </c>
      <c r="K334" s="126">
        <f>189/ATHENS!O1*ATHENS!O2</f>
        <v>343.63636363636363</v>
      </c>
      <c r="L334" s="126">
        <f>280/ATHENS!O1*ATHENS!O2</f>
        <v>509.09090909090907</v>
      </c>
      <c r="M334" s="126">
        <f>389/ATHENS!O1*ATHENS!O2</f>
        <v>707.27272727272725</v>
      </c>
      <c r="N334" s="126"/>
    </row>
    <row r="335" spans="1:14" s="111" customFormat="1" x14ac:dyDescent="0.2">
      <c r="A335" s="116"/>
      <c r="B335" s="461" t="s">
        <v>67</v>
      </c>
      <c r="C335" s="461"/>
      <c r="D335" s="461"/>
      <c r="E335" s="120"/>
      <c r="F335" s="120" t="s">
        <v>1181</v>
      </c>
      <c r="G335" s="120" t="s">
        <v>68</v>
      </c>
      <c r="H335" s="120" t="s">
        <v>702</v>
      </c>
      <c r="I335" s="120"/>
      <c r="J335" s="100">
        <f>64.5/ATHENS!O1*ATHENS!O2</f>
        <v>117.27272727272727</v>
      </c>
      <c r="K335" s="100">
        <f>98.5/ATHENS!O1*ATHENS!O2</f>
        <v>179.09090909090907</v>
      </c>
      <c r="L335" s="100">
        <f>144/ATHENS!O1*ATHENS!O2</f>
        <v>261.81818181818181</v>
      </c>
      <c r="M335" s="100">
        <f>198.5/ATHENS!O1*ATHENS!O2</f>
        <v>360.90909090909088</v>
      </c>
      <c r="N335" s="100"/>
    </row>
    <row r="336" spans="1:14" s="111" customFormat="1" x14ac:dyDescent="0.2">
      <c r="A336" s="116"/>
      <c r="B336" s="461" t="s">
        <v>67</v>
      </c>
      <c r="C336" s="461"/>
      <c r="D336" s="461"/>
      <c r="E336" s="120"/>
      <c r="F336" s="120" t="s">
        <v>1182</v>
      </c>
      <c r="G336" s="120" t="s">
        <v>68</v>
      </c>
      <c r="H336" s="120" t="s">
        <v>702</v>
      </c>
      <c r="I336" s="120"/>
      <c r="J336" s="100">
        <f>60/ATHENS!O1*ATHENS!O2</f>
        <v>109.09090909090908</v>
      </c>
      <c r="K336" s="100">
        <f>86.5/ATHENS!O1*ATHENS!O2</f>
        <v>157.27272727272725</v>
      </c>
      <c r="L336" s="100">
        <f>116.6/ATHENS!O1*ATHENS!O2</f>
        <v>211.99999999999997</v>
      </c>
      <c r="M336" s="100">
        <f>153.5/ATHENS!O1*ATHENS!O2</f>
        <v>279.09090909090907</v>
      </c>
      <c r="N336" s="100"/>
    </row>
    <row r="337" spans="1:14" s="111" customFormat="1" ht="13.5" thickBot="1" x14ac:dyDescent="0.25">
      <c r="A337" s="121"/>
      <c r="B337" s="460" t="s">
        <v>902</v>
      </c>
      <c r="C337" s="460"/>
      <c r="D337" s="460"/>
      <c r="E337" s="123"/>
      <c r="F337" s="123"/>
      <c r="G337" s="123"/>
      <c r="H337" s="123" t="s">
        <v>702</v>
      </c>
      <c r="I337" s="123"/>
      <c r="J337" s="105">
        <f>39/ATHENS!O1*ATHENS!O2</f>
        <v>70.909090909090907</v>
      </c>
      <c r="K337" s="105">
        <f>39/ATHENS!O1*ATHENS!O2</f>
        <v>70.909090909090907</v>
      </c>
      <c r="L337" s="105">
        <f>39/ATHENS!O1*ATHENS!O2</f>
        <v>70.909090909090907</v>
      </c>
      <c r="M337" s="105">
        <f>39/ATHENS!O1*ATHENS!O2</f>
        <v>70.909090909090907</v>
      </c>
      <c r="N337" s="105"/>
    </row>
    <row r="338" spans="1:14" s="111" customFormat="1" ht="13.5" thickBot="1" x14ac:dyDescent="0.25">
      <c r="A338" s="108"/>
      <c r="B338" s="109"/>
      <c r="C338" s="109"/>
      <c r="D338" s="109"/>
      <c r="E338" s="110"/>
      <c r="F338" s="110"/>
      <c r="G338" s="110"/>
      <c r="H338" s="110"/>
      <c r="I338" s="110"/>
      <c r="J338" s="110"/>
      <c r="K338" s="110"/>
      <c r="L338" s="110"/>
      <c r="M338" s="110"/>
      <c r="N338" s="110"/>
    </row>
    <row r="339" spans="1:14" s="111" customFormat="1" x14ac:dyDescent="0.2">
      <c r="A339" s="112"/>
      <c r="B339" s="113"/>
      <c r="C339" s="113"/>
      <c r="D339" s="113"/>
      <c r="E339" s="114"/>
      <c r="F339" s="114"/>
      <c r="G339" s="114"/>
      <c r="H339" s="114"/>
      <c r="I339" s="114"/>
      <c r="J339" s="114"/>
      <c r="K339" s="114"/>
      <c r="L339" s="114"/>
      <c r="M339" s="114"/>
      <c r="N339" s="115"/>
    </row>
    <row r="340" spans="1:14" s="111" customFormat="1" ht="15" x14ac:dyDescent="0.2">
      <c r="A340" s="116"/>
      <c r="B340" s="462" t="s">
        <v>1331</v>
      </c>
      <c r="C340" s="463"/>
      <c r="D340" s="463"/>
      <c r="E340" s="463"/>
      <c r="F340" s="463"/>
      <c r="G340" s="463"/>
      <c r="H340" s="463"/>
      <c r="I340" s="463"/>
      <c r="J340" s="463"/>
      <c r="K340" s="463"/>
      <c r="L340" s="463"/>
      <c r="M340" s="464"/>
      <c r="N340" s="117" t="s">
        <v>96</v>
      </c>
    </row>
    <row r="341" spans="1:14" s="111" customFormat="1" x14ac:dyDescent="0.2">
      <c r="A341" s="116"/>
      <c r="B341" s="118" t="s">
        <v>428</v>
      </c>
      <c r="C341" s="119" t="s">
        <v>1332</v>
      </c>
      <c r="D341" s="119"/>
      <c r="E341" s="120"/>
      <c r="F341" s="120"/>
      <c r="G341" s="120"/>
      <c r="H341" s="120"/>
      <c r="I341" s="120"/>
      <c r="J341" s="120"/>
      <c r="K341" s="120"/>
      <c r="L341" s="120"/>
      <c r="M341" s="120"/>
      <c r="N341" s="101"/>
    </row>
    <row r="342" spans="1:14" s="111" customFormat="1" x14ac:dyDescent="0.2">
      <c r="A342" s="116"/>
      <c r="B342" s="118" t="s">
        <v>429</v>
      </c>
      <c r="C342" s="119" t="s">
        <v>1057</v>
      </c>
      <c r="D342" s="119"/>
      <c r="E342" s="120"/>
      <c r="F342" s="120"/>
      <c r="G342" s="120"/>
      <c r="H342" s="120"/>
      <c r="I342" s="120"/>
      <c r="J342" s="120"/>
      <c r="K342" s="120"/>
      <c r="L342" s="120"/>
      <c r="M342" s="120"/>
      <c r="N342" s="101"/>
    </row>
    <row r="343" spans="1:14" s="111" customFormat="1" x14ac:dyDescent="0.2">
      <c r="A343" s="116"/>
      <c r="B343" s="118" t="s">
        <v>427</v>
      </c>
      <c r="C343" s="465" t="s">
        <v>1548</v>
      </c>
      <c r="D343" s="465"/>
      <c r="E343" s="465"/>
      <c r="F343" s="465"/>
      <c r="G343" s="465"/>
      <c r="H343" s="465"/>
      <c r="I343" s="465"/>
      <c r="J343" s="465"/>
      <c r="K343" s="465"/>
      <c r="L343" s="465"/>
      <c r="M343" s="465"/>
      <c r="N343" s="466"/>
    </row>
    <row r="344" spans="1:14" s="111" customFormat="1" x14ac:dyDescent="0.2">
      <c r="A344" s="116"/>
      <c r="B344" s="118"/>
      <c r="C344" s="465"/>
      <c r="D344" s="465"/>
      <c r="E344" s="465"/>
      <c r="F344" s="465"/>
      <c r="G344" s="465"/>
      <c r="H344" s="465"/>
      <c r="I344" s="465"/>
      <c r="J344" s="465"/>
      <c r="K344" s="465"/>
      <c r="L344" s="465"/>
      <c r="M344" s="465"/>
      <c r="N344" s="466"/>
    </row>
    <row r="345" spans="1:14" s="111" customFormat="1" x14ac:dyDescent="0.2">
      <c r="A345" s="116"/>
      <c r="B345" s="118"/>
      <c r="C345" s="465"/>
      <c r="D345" s="465"/>
      <c r="E345" s="465"/>
      <c r="F345" s="465"/>
      <c r="G345" s="465"/>
      <c r="H345" s="465"/>
      <c r="I345" s="465"/>
      <c r="J345" s="465"/>
      <c r="K345" s="465"/>
      <c r="L345" s="465"/>
      <c r="M345" s="465"/>
      <c r="N345" s="466"/>
    </row>
    <row r="346" spans="1:14" s="111" customFormat="1" x14ac:dyDescent="0.2">
      <c r="A346" s="116"/>
      <c r="B346" s="118"/>
      <c r="C346" s="468"/>
      <c r="D346" s="468"/>
      <c r="E346" s="468"/>
      <c r="F346" s="468"/>
      <c r="G346" s="468"/>
      <c r="H346" s="468"/>
      <c r="I346" s="468"/>
      <c r="J346" s="468"/>
      <c r="K346" s="468"/>
      <c r="L346" s="468"/>
      <c r="M346" s="468"/>
      <c r="N346" s="469"/>
    </row>
    <row r="347" spans="1:14" s="111" customFormat="1" x14ac:dyDescent="0.2">
      <c r="A347" s="116"/>
      <c r="B347" s="118"/>
      <c r="C347" s="468"/>
      <c r="D347" s="468"/>
      <c r="E347" s="468"/>
      <c r="F347" s="468"/>
      <c r="G347" s="468"/>
      <c r="H347" s="468"/>
      <c r="I347" s="468"/>
      <c r="J347" s="468"/>
      <c r="K347" s="468"/>
      <c r="L347" s="468"/>
      <c r="M347" s="468"/>
      <c r="N347" s="469"/>
    </row>
    <row r="348" spans="1:14" s="111" customFormat="1" x14ac:dyDescent="0.2">
      <c r="A348" s="116"/>
      <c r="B348" s="118"/>
      <c r="C348" s="468"/>
      <c r="D348" s="468"/>
      <c r="E348" s="468"/>
      <c r="F348" s="468"/>
      <c r="G348" s="468"/>
      <c r="H348" s="468"/>
      <c r="I348" s="468"/>
      <c r="J348" s="468"/>
      <c r="K348" s="468"/>
      <c r="L348" s="468"/>
      <c r="M348" s="468"/>
      <c r="N348" s="469"/>
    </row>
    <row r="349" spans="1:14" s="111" customFormat="1" x14ac:dyDescent="0.2">
      <c r="A349" s="116"/>
      <c r="B349" s="118" t="s">
        <v>426</v>
      </c>
      <c r="C349" s="119"/>
      <c r="D349" s="119"/>
      <c r="E349" s="120"/>
      <c r="F349" s="120"/>
      <c r="G349" s="120"/>
      <c r="H349" s="120"/>
      <c r="I349" s="120"/>
      <c r="J349" s="120"/>
      <c r="K349" s="120"/>
      <c r="L349" s="120"/>
      <c r="M349" s="120"/>
      <c r="N349" s="101"/>
    </row>
    <row r="350" spans="1:14" s="111" customFormat="1" ht="13.5" thickBot="1" x14ac:dyDescent="0.25">
      <c r="A350" s="116"/>
      <c r="B350" s="118" t="s">
        <v>430</v>
      </c>
      <c r="C350" s="119"/>
      <c r="D350" s="119"/>
      <c r="E350" s="120"/>
      <c r="F350" s="120"/>
      <c r="G350" s="120"/>
      <c r="H350" s="120"/>
      <c r="I350" s="120"/>
      <c r="J350" s="120"/>
      <c r="K350" s="120"/>
      <c r="L350" s="120"/>
      <c r="M350" s="120"/>
      <c r="N350" s="101"/>
    </row>
    <row r="351" spans="1:14" s="111" customFormat="1" x14ac:dyDescent="0.2">
      <c r="A351" s="112"/>
      <c r="B351" s="113" t="s">
        <v>263</v>
      </c>
      <c r="C351" s="113"/>
      <c r="D351" s="113"/>
      <c r="E351" s="114"/>
      <c r="F351" s="114"/>
      <c r="G351" s="114"/>
      <c r="H351" s="114"/>
      <c r="I351" s="114"/>
      <c r="J351" s="127" t="s">
        <v>1807</v>
      </c>
      <c r="K351" s="126" t="s">
        <v>576</v>
      </c>
      <c r="L351" s="126" t="s">
        <v>577</v>
      </c>
      <c r="M351" s="126"/>
      <c r="N351" s="126"/>
    </row>
    <row r="352" spans="1:14" s="111" customFormat="1" ht="13.5" thickBot="1" x14ac:dyDescent="0.25">
      <c r="A352" s="121"/>
      <c r="B352" s="122"/>
      <c r="C352" s="122"/>
      <c r="D352" s="122"/>
      <c r="E352" s="123"/>
      <c r="F352" s="123"/>
      <c r="G352" s="123"/>
      <c r="H352" s="123"/>
      <c r="I352" s="123"/>
      <c r="J352" s="125" t="s">
        <v>1769</v>
      </c>
      <c r="K352" s="105" t="s">
        <v>1808</v>
      </c>
      <c r="L352" s="105" t="s">
        <v>1809</v>
      </c>
      <c r="M352" s="105" t="s">
        <v>579</v>
      </c>
      <c r="N352" s="105"/>
    </row>
    <row r="353" spans="1:14" s="111" customFormat="1" x14ac:dyDescent="0.2">
      <c r="A353" s="112"/>
      <c r="B353" s="467" t="s">
        <v>67</v>
      </c>
      <c r="C353" s="467"/>
      <c r="D353" s="467"/>
      <c r="E353" s="114"/>
      <c r="F353" s="114" t="s">
        <v>1180</v>
      </c>
      <c r="G353" s="114" t="s">
        <v>68</v>
      </c>
      <c r="H353" s="114" t="s">
        <v>702</v>
      </c>
      <c r="I353" s="114"/>
      <c r="J353" s="126">
        <f>92/ATHENS!O1*ATHENS!O2</f>
        <v>167.27272727272725</v>
      </c>
      <c r="K353" s="126">
        <f>128/ATHENS!O1*ATHENS!O2</f>
        <v>232.72727272727272</v>
      </c>
      <c r="L353" s="126">
        <f>184/ATHENS!O1*ATHENS!O2</f>
        <v>334.5454545454545</v>
      </c>
      <c r="M353" s="126">
        <f>240/ATHENS!O1*ATHENS!O2</f>
        <v>436.36363636363632</v>
      </c>
      <c r="N353" s="126"/>
    </row>
    <row r="354" spans="1:14" s="111" customFormat="1" x14ac:dyDescent="0.2">
      <c r="A354" s="116"/>
      <c r="B354" s="461" t="s">
        <v>67</v>
      </c>
      <c r="C354" s="461"/>
      <c r="D354" s="461"/>
      <c r="E354" s="120"/>
      <c r="F354" s="120" t="s">
        <v>1181</v>
      </c>
      <c r="G354" s="120" t="s">
        <v>68</v>
      </c>
      <c r="H354" s="120" t="s">
        <v>702</v>
      </c>
      <c r="I354" s="120"/>
      <c r="J354" s="100">
        <f>46/ATHENS!O1*ATHENS!O2</f>
        <v>83.636363636363626</v>
      </c>
      <c r="K354" s="100">
        <f>64/ATHENS!O1*ATHENS!O2</f>
        <v>116.36363636363636</v>
      </c>
      <c r="L354" s="100">
        <f>92/ATHENS!O1*ATHENS!O2</f>
        <v>167.27272727272725</v>
      </c>
      <c r="M354" s="100">
        <f>120/ATHENS!O1*ATHENS!O2</f>
        <v>218.18181818181816</v>
      </c>
      <c r="N354" s="100"/>
    </row>
    <row r="355" spans="1:14" s="111" customFormat="1" x14ac:dyDescent="0.2">
      <c r="A355" s="116"/>
      <c r="B355" s="461" t="s">
        <v>67</v>
      </c>
      <c r="C355" s="461"/>
      <c r="D355" s="461"/>
      <c r="E355" s="120"/>
      <c r="F355" s="120" t="s">
        <v>1182</v>
      </c>
      <c r="G355" s="120" t="s">
        <v>68</v>
      </c>
      <c r="H355" s="120" t="s">
        <v>702</v>
      </c>
      <c r="I355" s="120"/>
      <c r="J355" s="100">
        <f>37.5/ATHENS!O1*ATHENS!O2</f>
        <v>68.181818181818173</v>
      </c>
      <c r="K355" s="100">
        <f>52/ATHENS!O1*ATHENS!O2</f>
        <v>94.545454545454533</v>
      </c>
      <c r="L355" s="100">
        <f>72/ATHENS!O1*ATHENS!O2</f>
        <v>130.90909090909091</v>
      </c>
      <c r="M355" s="100">
        <f>96.6/ATHENS!O1*ATHENS!O2</f>
        <v>175.63636363636363</v>
      </c>
      <c r="N355" s="100"/>
    </row>
    <row r="356" spans="1:14" s="111" customFormat="1" ht="13.5" thickBot="1" x14ac:dyDescent="0.25">
      <c r="A356" s="121"/>
      <c r="B356" s="460" t="s">
        <v>902</v>
      </c>
      <c r="C356" s="460"/>
      <c r="D356" s="460"/>
      <c r="E356" s="123"/>
      <c r="F356" s="123"/>
      <c r="G356" s="123"/>
      <c r="H356" s="123" t="s">
        <v>702</v>
      </c>
      <c r="I356" s="123"/>
      <c r="J356" s="105">
        <f>24/ATHENS!O1*ATHENS!O2</f>
        <v>43.636363636363633</v>
      </c>
      <c r="K356" s="105">
        <f>24/ATHENS!O1*ATHENS!O2</f>
        <v>43.636363636363633</v>
      </c>
      <c r="L356" s="105">
        <f>24/ATHENS!O1*ATHENS!O2</f>
        <v>43.636363636363633</v>
      </c>
      <c r="M356" s="105">
        <f>24/ATHENS!O1*ATHENS!O2</f>
        <v>43.636363636363633</v>
      </c>
      <c r="N356" s="105"/>
    </row>
    <row r="357" spans="1:14" s="111" customFormat="1" ht="13.5" thickBot="1" x14ac:dyDescent="0.25">
      <c r="A357" s="108"/>
      <c r="B357" s="109"/>
      <c r="C357" s="109"/>
      <c r="D357" s="109"/>
      <c r="E357" s="110"/>
      <c r="F357" s="110"/>
      <c r="G357" s="110"/>
      <c r="H357" s="110"/>
      <c r="I357" s="110"/>
      <c r="J357" s="110"/>
      <c r="K357" s="110"/>
      <c r="L357" s="110"/>
      <c r="M357" s="110"/>
      <c r="N357" s="110"/>
    </row>
    <row r="358" spans="1:14" s="111" customFormat="1" x14ac:dyDescent="0.2">
      <c r="A358" s="112"/>
      <c r="B358" s="113"/>
      <c r="C358" s="113"/>
      <c r="D358" s="113"/>
      <c r="E358" s="114"/>
      <c r="F358" s="114"/>
      <c r="G358" s="114"/>
      <c r="H358" s="114"/>
      <c r="I358" s="114"/>
      <c r="J358" s="114"/>
      <c r="K358" s="114"/>
      <c r="L358" s="114"/>
      <c r="M358" s="114"/>
      <c r="N358" s="115"/>
    </row>
    <row r="359" spans="1:14" s="111" customFormat="1" ht="15" x14ac:dyDescent="0.2">
      <c r="A359" s="116"/>
      <c r="B359" s="462" t="s">
        <v>624</v>
      </c>
      <c r="C359" s="463"/>
      <c r="D359" s="463"/>
      <c r="E359" s="463"/>
      <c r="F359" s="463"/>
      <c r="G359" s="463"/>
      <c r="H359" s="463"/>
      <c r="I359" s="463"/>
      <c r="J359" s="463"/>
      <c r="K359" s="463"/>
      <c r="L359" s="463"/>
      <c r="M359" s="464"/>
      <c r="N359" s="117" t="s">
        <v>96</v>
      </c>
    </row>
    <row r="360" spans="1:14" s="111" customFormat="1" x14ac:dyDescent="0.2">
      <c r="A360" s="116"/>
      <c r="B360" s="118" t="s">
        <v>428</v>
      </c>
      <c r="C360" s="119" t="s">
        <v>1332</v>
      </c>
      <c r="D360" s="119"/>
      <c r="E360" s="120"/>
      <c r="F360" s="120"/>
      <c r="G360" s="120"/>
      <c r="H360" s="120"/>
      <c r="I360" s="120"/>
      <c r="J360" s="120"/>
      <c r="K360" s="120"/>
      <c r="L360" s="120"/>
      <c r="M360" s="120"/>
      <c r="N360" s="101"/>
    </row>
    <row r="361" spans="1:14" s="111" customFormat="1" x14ac:dyDescent="0.2">
      <c r="A361" s="116"/>
      <c r="B361" s="118" t="s">
        <v>429</v>
      </c>
      <c r="C361" s="119" t="s">
        <v>19</v>
      </c>
      <c r="D361" s="119"/>
      <c r="E361" s="120"/>
      <c r="F361" s="120"/>
      <c r="G361" s="120"/>
      <c r="H361" s="120"/>
      <c r="I361" s="120"/>
      <c r="J361" s="120"/>
      <c r="K361" s="120"/>
      <c r="L361" s="120"/>
      <c r="M361" s="120"/>
      <c r="N361" s="101"/>
    </row>
    <row r="362" spans="1:14" s="111" customFormat="1" x14ac:dyDescent="0.2">
      <c r="A362" s="116"/>
      <c r="B362" s="118" t="s">
        <v>427</v>
      </c>
      <c r="C362" s="465" t="s">
        <v>1323</v>
      </c>
      <c r="D362" s="465"/>
      <c r="E362" s="465"/>
      <c r="F362" s="465"/>
      <c r="G362" s="465"/>
      <c r="H362" s="465"/>
      <c r="I362" s="465"/>
      <c r="J362" s="465"/>
      <c r="K362" s="465"/>
      <c r="L362" s="465"/>
      <c r="M362" s="465"/>
      <c r="N362" s="466"/>
    </row>
    <row r="363" spans="1:14" s="111" customFormat="1" ht="13.5" thickBot="1" x14ac:dyDescent="0.25">
      <c r="A363" s="116"/>
      <c r="B363" s="109"/>
      <c r="C363" s="465"/>
      <c r="D363" s="465"/>
      <c r="E363" s="465"/>
      <c r="F363" s="465"/>
      <c r="G363" s="465"/>
      <c r="H363" s="465"/>
      <c r="I363" s="465"/>
      <c r="J363" s="465"/>
      <c r="K363" s="465"/>
      <c r="L363" s="465"/>
      <c r="M363" s="465"/>
      <c r="N363" s="466"/>
    </row>
    <row r="364" spans="1:14" s="111" customFormat="1" x14ac:dyDescent="0.2">
      <c r="A364" s="112"/>
      <c r="B364" s="113" t="s">
        <v>263</v>
      </c>
      <c r="C364" s="113"/>
      <c r="D364" s="113"/>
      <c r="E364" s="114"/>
      <c r="F364" s="114"/>
      <c r="G364" s="114"/>
      <c r="H364" s="114"/>
      <c r="I364" s="114"/>
      <c r="J364" s="127" t="s">
        <v>1807</v>
      </c>
      <c r="K364" s="126" t="s">
        <v>576</v>
      </c>
      <c r="L364" s="126" t="s">
        <v>577</v>
      </c>
      <c r="M364" s="126"/>
      <c r="N364" s="126"/>
    </row>
    <row r="365" spans="1:14" s="111" customFormat="1" ht="13.5" thickBot="1" x14ac:dyDescent="0.25">
      <c r="A365" s="121"/>
      <c r="B365" s="122"/>
      <c r="C365" s="122"/>
      <c r="D365" s="122"/>
      <c r="E365" s="123"/>
      <c r="F365" s="123"/>
      <c r="G365" s="123"/>
      <c r="H365" s="123"/>
      <c r="I365" s="123"/>
      <c r="J365" s="125" t="s">
        <v>1769</v>
      </c>
      <c r="K365" s="105" t="s">
        <v>1808</v>
      </c>
      <c r="L365" s="105" t="s">
        <v>1809</v>
      </c>
      <c r="M365" s="105" t="s">
        <v>579</v>
      </c>
      <c r="N365" s="105"/>
    </row>
    <row r="366" spans="1:14" s="111" customFormat="1" x14ac:dyDescent="0.2">
      <c r="A366" s="112"/>
      <c r="B366" s="467" t="s">
        <v>67</v>
      </c>
      <c r="C366" s="467"/>
      <c r="D366" s="467"/>
      <c r="E366" s="114"/>
      <c r="F366" s="114" t="s">
        <v>1180</v>
      </c>
      <c r="G366" s="114" t="s">
        <v>68</v>
      </c>
      <c r="H366" s="114" t="s">
        <v>702</v>
      </c>
      <c r="I366" s="114"/>
      <c r="J366" s="126">
        <f>152/ATHENS!O1*ATHENS!O2</f>
        <v>276.36363636363632</v>
      </c>
      <c r="K366" s="126">
        <f>200/ATHENS!O1*ATHENS!O2</f>
        <v>363.63636363636363</v>
      </c>
      <c r="L366" s="126">
        <f>264/ATHENS!O1*ATHENS!O2</f>
        <v>479.99999999999994</v>
      </c>
      <c r="M366" s="126">
        <f>304/ATHENS!O1*ATHENS!O2</f>
        <v>552.72727272727263</v>
      </c>
      <c r="N366" s="126"/>
    </row>
    <row r="367" spans="1:14" s="111" customFormat="1" x14ac:dyDescent="0.2">
      <c r="A367" s="116"/>
      <c r="B367" s="461" t="s">
        <v>67</v>
      </c>
      <c r="C367" s="461"/>
      <c r="D367" s="461"/>
      <c r="E367" s="120"/>
      <c r="F367" s="120" t="s">
        <v>1181</v>
      </c>
      <c r="G367" s="120" t="s">
        <v>68</v>
      </c>
      <c r="H367" s="120" t="s">
        <v>702</v>
      </c>
      <c r="I367" s="120"/>
      <c r="J367" s="100">
        <f>76/ATHENS!O1*ATHENS!O2</f>
        <v>138.18181818181816</v>
      </c>
      <c r="K367" s="100">
        <f>100/ATHENS!O1*ATHENS!O2</f>
        <v>181.81818181818181</v>
      </c>
      <c r="L367" s="100">
        <f>132/ATHENS!O1*ATHENS!O2</f>
        <v>239.99999999999997</v>
      </c>
      <c r="M367" s="100">
        <f>152/ATHENS!O1*ATHENS!O2</f>
        <v>276.36363636363632</v>
      </c>
      <c r="N367" s="100"/>
    </row>
    <row r="368" spans="1:14" s="111" customFormat="1" ht="13.5" thickBot="1" x14ac:dyDescent="0.25">
      <c r="A368" s="121"/>
      <c r="B368" s="460" t="s">
        <v>1861</v>
      </c>
      <c r="C368" s="460"/>
      <c r="D368" s="460"/>
      <c r="E368" s="123"/>
      <c r="F368" s="123" t="s">
        <v>705</v>
      </c>
      <c r="G368" s="123" t="s">
        <v>68</v>
      </c>
      <c r="H368" s="123" t="s">
        <v>702</v>
      </c>
      <c r="I368" s="123"/>
      <c r="J368" s="105">
        <f>74.6/ATHENS!O1*ATHENS!O2</f>
        <v>135.63636363636363</v>
      </c>
      <c r="K368" s="105">
        <f>101.5/ATHENS!O1*ATHENS!O2</f>
        <v>184.54545454545453</v>
      </c>
      <c r="L368" s="105">
        <f>122.6/ATHENS!O1*ATHENS!O2</f>
        <v>222.90909090909088</v>
      </c>
      <c r="M368" s="105">
        <f>152/ATHENS!O1*ATHENS!O2</f>
        <v>276.36363636363632</v>
      </c>
      <c r="N368" s="105"/>
    </row>
    <row r="369" spans="1:14" s="111" customFormat="1" ht="13.5" thickBot="1" x14ac:dyDescent="0.25">
      <c r="A369" s="108"/>
      <c r="B369" s="109"/>
      <c r="C369" s="109"/>
      <c r="D369" s="109"/>
      <c r="E369" s="110"/>
      <c r="F369" s="110"/>
      <c r="G369" s="110"/>
      <c r="H369" s="110"/>
      <c r="I369" s="110"/>
      <c r="J369" s="110"/>
      <c r="K369" s="110"/>
      <c r="L369" s="110"/>
      <c r="M369" s="110"/>
      <c r="N369" s="110"/>
    </row>
    <row r="370" spans="1:14" s="111" customFormat="1" x14ac:dyDescent="0.2">
      <c r="A370" s="112"/>
      <c r="B370" s="113"/>
      <c r="C370" s="113"/>
      <c r="D370" s="113"/>
      <c r="E370" s="114"/>
      <c r="F370" s="114"/>
      <c r="G370" s="114"/>
      <c r="H370" s="114"/>
      <c r="I370" s="114"/>
      <c r="J370" s="114"/>
      <c r="K370" s="114"/>
      <c r="L370" s="114"/>
      <c r="M370" s="114"/>
      <c r="N370" s="115"/>
    </row>
    <row r="371" spans="1:14" s="111" customFormat="1" ht="15" x14ac:dyDescent="0.2">
      <c r="A371" s="116"/>
      <c r="B371" s="462" t="s">
        <v>1479</v>
      </c>
      <c r="C371" s="463"/>
      <c r="D371" s="463"/>
      <c r="E371" s="463"/>
      <c r="F371" s="463"/>
      <c r="G371" s="463"/>
      <c r="H371" s="463"/>
      <c r="I371" s="463"/>
      <c r="J371" s="463"/>
      <c r="K371" s="463"/>
      <c r="L371" s="463"/>
      <c r="M371" s="464"/>
      <c r="N371" s="117" t="s">
        <v>96</v>
      </c>
    </row>
    <row r="372" spans="1:14" s="111" customFormat="1" x14ac:dyDescent="0.2">
      <c r="A372" s="116"/>
      <c r="B372" s="118" t="s">
        <v>428</v>
      </c>
      <c r="C372" s="119" t="s">
        <v>492</v>
      </c>
      <c r="D372" s="119"/>
      <c r="E372" s="120"/>
      <c r="F372" s="120"/>
      <c r="G372" s="120"/>
      <c r="H372" s="120"/>
      <c r="I372" s="120"/>
      <c r="J372" s="120"/>
      <c r="K372" s="120"/>
      <c r="L372" s="120"/>
      <c r="M372" s="120"/>
      <c r="N372" s="101"/>
    </row>
    <row r="373" spans="1:14" s="111" customFormat="1" x14ac:dyDescent="0.2">
      <c r="A373" s="116"/>
      <c r="B373" s="118" t="s">
        <v>429</v>
      </c>
      <c r="C373" s="119" t="s">
        <v>286</v>
      </c>
      <c r="D373" s="119"/>
      <c r="E373" s="120"/>
      <c r="F373" s="120"/>
      <c r="G373" s="120"/>
      <c r="H373" s="120"/>
      <c r="I373" s="120"/>
      <c r="J373" s="120"/>
      <c r="K373" s="120"/>
      <c r="L373" s="120"/>
      <c r="M373" s="120"/>
      <c r="N373" s="101"/>
    </row>
    <row r="374" spans="1:14" s="111" customFormat="1" x14ac:dyDescent="0.2">
      <c r="A374" s="116"/>
      <c r="B374" s="118" t="s">
        <v>427</v>
      </c>
      <c r="C374" s="465" t="s">
        <v>1324</v>
      </c>
      <c r="D374" s="465"/>
      <c r="E374" s="465"/>
      <c r="F374" s="465"/>
      <c r="G374" s="465"/>
      <c r="H374" s="465"/>
      <c r="I374" s="465"/>
      <c r="J374" s="465"/>
      <c r="K374" s="465"/>
      <c r="L374" s="465"/>
      <c r="M374" s="465"/>
      <c r="N374" s="466"/>
    </row>
    <row r="375" spans="1:14" s="111" customFormat="1" x14ac:dyDescent="0.2">
      <c r="A375" s="116"/>
      <c r="B375" s="119"/>
      <c r="C375" s="465"/>
      <c r="D375" s="465"/>
      <c r="E375" s="465"/>
      <c r="F375" s="465"/>
      <c r="G375" s="465"/>
      <c r="H375" s="465"/>
      <c r="I375" s="465"/>
      <c r="J375" s="465"/>
      <c r="K375" s="465"/>
      <c r="L375" s="465"/>
      <c r="M375" s="465"/>
      <c r="N375" s="466"/>
    </row>
    <row r="376" spans="1:14" s="111" customFormat="1" x14ac:dyDescent="0.2">
      <c r="A376" s="116"/>
      <c r="B376" s="119"/>
      <c r="C376" s="468"/>
      <c r="D376" s="468"/>
      <c r="E376" s="468"/>
      <c r="F376" s="468"/>
      <c r="G376" s="468"/>
      <c r="H376" s="468"/>
      <c r="I376" s="468"/>
      <c r="J376" s="468"/>
      <c r="K376" s="468"/>
      <c r="L376" s="468"/>
      <c r="M376" s="468"/>
      <c r="N376" s="469"/>
    </row>
    <row r="377" spans="1:14" s="111" customFormat="1" ht="13.5" thickBot="1" x14ac:dyDescent="0.25">
      <c r="A377" s="116"/>
      <c r="B377" s="118" t="s">
        <v>426</v>
      </c>
      <c r="C377" s="119" t="s">
        <v>1347</v>
      </c>
      <c r="D377" s="119"/>
      <c r="E377" s="120"/>
      <c r="F377" s="120"/>
      <c r="G377" s="120"/>
      <c r="H377" s="120"/>
      <c r="I377" s="120"/>
      <c r="J377" s="120"/>
      <c r="K377" s="120"/>
      <c r="L377" s="120"/>
      <c r="M377" s="120"/>
      <c r="N377" s="101"/>
    </row>
    <row r="378" spans="1:14" s="111" customFormat="1" x14ac:dyDescent="0.2">
      <c r="A378" s="112"/>
      <c r="B378" s="113" t="s">
        <v>263</v>
      </c>
      <c r="C378" s="113"/>
      <c r="D378" s="113"/>
      <c r="E378" s="114"/>
      <c r="F378" s="114"/>
      <c r="G378" s="114"/>
      <c r="H378" s="114"/>
      <c r="I378" s="114"/>
      <c r="J378" s="127" t="s">
        <v>2044</v>
      </c>
      <c r="K378" s="126" t="s">
        <v>2045</v>
      </c>
      <c r="L378" s="126" t="s">
        <v>2046</v>
      </c>
      <c r="M378" s="126"/>
      <c r="N378" s="126"/>
    </row>
    <row r="379" spans="1:14" s="111" customFormat="1" ht="13.5" thickBot="1" x14ac:dyDescent="0.25">
      <c r="A379" s="121"/>
      <c r="B379" s="122"/>
      <c r="C379" s="122"/>
      <c r="D379" s="122"/>
      <c r="E379" s="123"/>
      <c r="F379" s="123"/>
      <c r="G379" s="123"/>
      <c r="H379" s="123"/>
      <c r="I379" s="123"/>
      <c r="J379" s="125" t="s">
        <v>1597</v>
      </c>
      <c r="K379" s="105" t="s">
        <v>1812</v>
      </c>
      <c r="L379" s="105" t="s">
        <v>482</v>
      </c>
      <c r="M379" s="105" t="s">
        <v>2047</v>
      </c>
      <c r="N379" s="105"/>
    </row>
    <row r="380" spans="1:14" s="111" customFormat="1" x14ac:dyDescent="0.2">
      <c r="A380" s="112"/>
      <c r="B380" s="467" t="s">
        <v>67</v>
      </c>
      <c r="C380" s="467"/>
      <c r="D380" s="467"/>
      <c r="E380" s="114"/>
      <c r="F380" s="114" t="s">
        <v>1180</v>
      </c>
      <c r="G380" s="114" t="s">
        <v>68</v>
      </c>
      <c r="H380" s="114" t="s">
        <v>702</v>
      </c>
      <c r="I380" s="114"/>
      <c r="J380" s="100">
        <f>112.8/ATHENS!O1*ATHENS!O2</f>
        <v>205.09090909090907</v>
      </c>
      <c r="K380" s="100">
        <f>179.5/ATHENS!O1*ATHENS!O2</f>
        <v>326.36363636363632</v>
      </c>
      <c r="L380" s="100">
        <f>246.8/ATHENS!O1*ATHENS!O2</f>
        <v>448.72727272727269</v>
      </c>
      <c r="M380" s="100">
        <f>314.9/ATHENS!O1*ATHENS!O2</f>
        <v>572.5454545454545</v>
      </c>
      <c r="N380" s="126"/>
    </row>
    <row r="381" spans="1:14" s="111" customFormat="1" x14ac:dyDescent="0.2">
      <c r="A381" s="116"/>
      <c r="B381" s="461" t="s">
        <v>67</v>
      </c>
      <c r="C381" s="461"/>
      <c r="D381" s="461"/>
      <c r="E381" s="120"/>
      <c r="F381" s="120" t="s">
        <v>1181</v>
      </c>
      <c r="G381" s="120" t="s">
        <v>68</v>
      </c>
      <c r="H381" s="120" t="s">
        <v>702</v>
      </c>
      <c r="I381" s="120"/>
      <c r="J381" s="100">
        <f>56.5/ATHENS!O1*ATHENS!O2</f>
        <v>102.72727272727272</v>
      </c>
      <c r="K381" s="100">
        <f>89.5/ATHENS!O1*ATHENS!O2</f>
        <v>162.72727272727272</v>
      </c>
      <c r="L381" s="100">
        <f>123.5/ATHENS!O1*ATHENS!O2</f>
        <v>224.54545454545453</v>
      </c>
      <c r="M381" s="100">
        <f>157.5/ATHENS!O1*ATHENS!O2</f>
        <v>286.36363636363632</v>
      </c>
      <c r="N381" s="100"/>
    </row>
    <row r="382" spans="1:14" s="111" customFormat="1" ht="13.5" thickBot="1" x14ac:dyDescent="0.25">
      <c r="A382" s="121"/>
      <c r="B382" s="460" t="s">
        <v>67</v>
      </c>
      <c r="C382" s="460"/>
      <c r="D382" s="460"/>
      <c r="E382" s="123"/>
      <c r="F382" s="123" t="s">
        <v>1182</v>
      </c>
      <c r="G382" s="123" t="s">
        <v>68</v>
      </c>
      <c r="H382" s="123" t="s">
        <v>702</v>
      </c>
      <c r="I382" s="123"/>
      <c r="J382" s="105">
        <f>48.5/ATHENS!O1*ATHENS!O2</f>
        <v>88.181818181818173</v>
      </c>
      <c r="K382" s="105">
        <f>73.7/ATHENS!O1*ATHENS!O2</f>
        <v>134</v>
      </c>
      <c r="L382" s="105">
        <f>103.5/ATHENS!O1*ATHENS!O2</f>
        <v>188.18181818181816</v>
      </c>
      <c r="M382" s="105">
        <f>133/ATHENS!O1*ATHENS!O2</f>
        <v>241.81818181818178</v>
      </c>
      <c r="N382" s="105"/>
    </row>
    <row r="383" spans="1:14" s="111" customFormat="1" ht="13.5" thickBot="1" x14ac:dyDescent="0.25">
      <c r="A383" s="239"/>
      <c r="B383" s="119"/>
      <c r="C383" s="119"/>
      <c r="D383" s="119"/>
      <c r="E383" s="120"/>
      <c r="F383" s="120"/>
      <c r="G383" s="120"/>
      <c r="H383" s="120"/>
      <c r="I383" s="120"/>
      <c r="J383" s="120"/>
      <c r="K383" s="120"/>
      <c r="L383" s="120"/>
      <c r="M383" s="120"/>
      <c r="N383" s="120"/>
    </row>
    <row r="384" spans="1:14" s="111" customFormat="1" x14ac:dyDescent="0.2">
      <c r="A384" s="20"/>
      <c r="B384" s="21"/>
      <c r="C384" s="21"/>
      <c r="D384" s="21"/>
      <c r="E384" s="22"/>
      <c r="F384" s="22"/>
      <c r="G384" s="22"/>
      <c r="H384" s="22"/>
      <c r="I384" s="22"/>
      <c r="J384" s="22"/>
      <c r="K384" s="22"/>
      <c r="L384" s="22"/>
      <c r="M384" s="22"/>
      <c r="N384" s="23"/>
    </row>
    <row r="385" spans="1:14" s="111" customFormat="1" ht="15" x14ac:dyDescent="0.2">
      <c r="A385" s="24"/>
      <c r="B385" s="440" t="s">
        <v>1692</v>
      </c>
      <c r="C385" s="441"/>
      <c r="D385" s="441"/>
      <c r="E385" s="441"/>
      <c r="F385" s="441"/>
      <c r="G385" s="441"/>
      <c r="H385" s="441"/>
      <c r="I385" s="441"/>
      <c r="J385" s="441"/>
      <c r="K385" s="441"/>
      <c r="L385" s="441"/>
      <c r="M385" s="442"/>
      <c r="N385" s="25" t="s">
        <v>96</v>
      </c>
    </row>
    <row r="386" spans="1:14" s="111" customFormat="1" x14ac:dyDescent="0.2">
      <c r="A386" s="24"/>
      <c r="B386" s="26" t="s">
        <v>428</v>
      </c>
      <c r="C386" s="27"/>
      <c r="D386" s="27"/>
      <c r="E386" s="28"/>
      <c r="F386" s="28"/>
      <c r="G386" s="28"/>
      <c r="H386" s="28"/>
      <c r="I386" s="28"/>
      <c r="J386" s="28"/>
      <c r="K386" s="28"/>
      <c r="L386" s="28"/>
      <c r="M386" s="28"/>
      <c r="N386" s="29"/>
    </row>
    <row r="387" spans="1:14" s="111" customFormat="1" x14ac:dyDescent="0.2">
      <c r="A387" s="24"/>
      <c r="B387" s="26" t="s">
        <v>429</v>
      </c>
      <c r="C387" s="27" t="s">
        <v>1694</v>
      </c>
      <c r="D387" s="27"/>
      <c r="E387" s="28"/>
      <c r="F387" s="28"/>
      <c r="G387" s="28"/>
      <c r="H387" s="28"/>
      <c r="I387" s="28"/>
      <c r="J387" s="28"/>
      <c r="K387" s="28"/>
      <c r="L387" s="28"/>
      <c r="M387" s="28"/>
      <c r="N387" s="29"/>
    </row>
    <row r="388" spans="1:14" s="111" customFormat="1" x14ac:dyDescent="0.2">
      <c r="A388" s="24"/>
      <c r="B388" s="26" t="s">
        <v>427</v>
      </c>
      <c r="C388" s="436" t="s">
        <v>1695</v>
      </c>
      <c r="D388" s="436"/>
      <c r="E388" s="436"/>
      <c r="F388" s="436"/>
      <c r="G388" s="436"/>
      <c r="H388" s="436"/>
      <c r="I388" s="436"/>
      <c r="J388" s="436"/>
      <c r="K388" s="436"/>
      <c r="L388" s="436"/>
      <c r="M388" s="436"/>
      <c r="N388" s="437"/>
    </row>
    <row r="389" spans="1:14" s="111" customFormat="1" x14ac:dyDescent="0.2">
      <c r="A389" s="24"/>
      <c r="B389" s="27"/>
      <c r="C389" s="436"/>
      <c r="D389" s="436"/>
      <c r="E389" s="436"/>
      <c r="F389" s="436"/>
      <c r="G389" s="436"/>
      <c r="H389" s="436"/>
      <c r="I389" s="436"/>
      <c r="J389" s="436"/>
      <c r="K389" s="436"/>
      <c r="L389" s="436"/>
      <c r="M389" s="436"/>
      <c r="N389" s="437"/>
    </row>
    <row r="390" spans="1:14" s="111" customFormat="1" x14ac:dyDescent="0.2">
      <c r="A390" s="24"/>
      <c r="B390" s="26" t="s">
        <v>426</v>
      </c>
      <c r="C390" s="27" t="s">
        <v>1693</v>
      </c>
      <c r="D390" s="27"/>
      <c r="E390" s="28"/>
      <c r="F390" s="28"/>
      <c r="G390" s="28"/>
      <c r="H390" s="28"/>
      <c r="I390" s="28"/>
      <c r="J390" s="28"/>
      <c r="K390" s="28"/>
      <c r="L390" s="28"/>
      <c r="M390" s="28"/>
      <c r="N390" s="29"/>
    </row>
    <row r="391" spans="1:14" s="111" customFormat="1" ht="13.5" thickBot="1" x14ac:dyDescent="0.25">
      <c r="A391" s="30"/>
      <c r="B391" s="26" t="s">
        <v>430</v>
      </c>
      <c r="C391" s="31"/>
      <c r="D391" s="31"/>
      <c r="E391" s="32"/>
      <c r="F391" s="32"/>
      <c r="G391" s="32"/>
      <c r="H391" s="32"/>
      <c r="I391" s="32"/>
      <c r="J391" s="32"/>
      <c r="K391" s="32"/>
      <c r="L391" s="32"/>
      <c r="M391" s="32"/>
      <c r="N391" s="33"/>
    </row>
    <row r="392" spans="1:14" s="111" customFormat="1" x14ac:dyDescent="0.2">
      <c r="A392" s="24"/>
      <c r="B392" s="21" t="s">
        <v>263</v>
      </c>
      <c r="C392" s="27"/>
      <c r="D392" s="27"/>
      <c r="E392" s="28"/>
      <c r="F392" s="28"/>
      <c r="G392" s="28"/>
      <c r="H392" s="28"/>
      <c r="I392" s="28"/>
      <c r="J392" s="67" t="s">
        <v>512</v>
      </c>
      <c r="K392" s="63"/>
      <c r="L392" s="63"/>
      <c r="M392" s="63"/>
      <c r="N392" s="63"/>
    </row>
    <row r="393" spans="1:14" s="111" customFormat="1" x14ac:dyDescent="0.2">
      <c r="A393" s="24"/>
      <c r="B393" s="27"/>
      <c r="C393" s="27"/>
      <c r="D393" s="27"/>
      <c r="E393" s="28"/>
      <c r="F393" s="28"/>
      <c r="G393" s="28"/>
      <c r="H393" s="28"/>
      <c r="I393" s="28"/>
      <c r="J393" s="67" t="s">
        <v>1758</v>
      </c>
      <c r="K393" s="63" t="s">
        <v>1759</v>
      </c>
      <c r="L393" s="63" t="s">
        <v>1760</v>
      </c>
      <c r="M393" s="63"/>
      <c r="N393" s="63"/>
    </row>
    <row r="394" spans="1:14" s="111" customFormat="1" ht="13.5" thickBot="1" x14ac:dyDescent="0.25">
      <c r="A394" s="30"/>
      <c r="B394" s="31"/>
      <c r="C394" s="31"/>
      <c r="D394" s="31"/>
      <c r="E394" s="32"/>
      <c r="F394" s="32"/>
      <c r="G394" s="32"/>
      <c r="H394" s="32"/>
      <c r="I394" s="32"/>
      <c r="J394" s="49" t="s">
        <v>1438</v>
      </c>
      <c r="K394" s="40" t="s">
        <v>197</v>
      </c>
      <c r="L394" s="40" t="s">
        <v>523</v>
      </c>
      <c r="M394" s="40" t="s">
        <v>1761</v>
      </c>
      <c r="N394" s="40"/>
    </row>
    <row r="395" spans="1:14" s="111" customFormat="1" x14ac:dyDescent="0.2">
      <c r="A395" s="24"/>
      <c r="B395" s="435" t="s">
        <v>67</v>
      </c>
      <c r="C395" s="435"/>
      <c r="D395" s="435"/>
      <c r="E395" s="28"/>
      <c r="F395" s="28" t="s">
        <v>1181</v>
      </c>
      <c r="G395" s="28" t="s">
        <v>68</v>
      </c>
      <c r="H395" s="28" t="s">
        <v>702</v>
      </c>
      <c r="I395" s="28"/>
      <c r="J395" s="75">
        <f>48/ATHENS!O1*ATHENS!O2</f>
        <v>87.272727272727266</v>
      </c>
      <c r="K395" s="75">
        <f>80/ATHENS!O1*ATHENS!O2</f>
        <v>145.45454545454544</v>
      </c>
      <c r="L395" s="44">
        <f>120/ATHENS!O1*ATHENS!O2</f>
        <v>218.18181818181816</v>
      </c>
      <c r="M395" s="44">
        <f>176/ATHENS!O1*ATHENS!O2</f>
        <v>320</v>
      </c>
      <c r="N395" s="44"/>
    </row>
    <row r="396" spans="1:14" s="111" customFormat="1" x14ac:dyDescent="0.2">
      <c r="A396" s="24"/>
      <c r="B396" s="68"/>
      <c r="C396" s="27"/>
      <c r="D396" s="27"/>
      <c r="E396" s="28"/>
      <c r="F396" s="28" t="s">
        <v>1182</v>
      </c>
      <c r="G396" s="28" t="s">
        <v>68</v>
      </c>
      <c r="H396" s="28" t="s">
        <v>702</v>
      </c>
      <c r="I396" s="28"/>
      <c r="J396" s="75">
        <f>48/ATHENS!O1*ATHENS!O2</f>
        <v>87.272727272727266</v>
      </c>
      <c r="K396" s="75">
        <f>74.6/ATHENS!O1*ATHENS!O2</f>
        <v>135.63636363636363</v>
      </c>
      <c r="L396" s="44">
        <f>107/ATHENS!O1*ATHENS!O2</f>
        <v>194.54545454545453</v>
      </c>
      <c r="M396" s="44">
        <f>155/ATHENS!O1*ATHENS!O2</f>
        <v>281.81818181818181</v>
      </c>
      <c r="N396" s="44"/>
    </row>
    <row r="397" spans="1:14" s="111" customFormat="1" ht="13.5" thickBot="1" x14ac:dyDescent="0.25">
      <c r="A397" s="30"/>
      <c r="B397" s="443"/>
      <c r="C397" s="443"/>
      <c r="D397" s="443"/>
      <c r="E397" s="32"/>
      <c r="F397" s="89"/>
      <c r="G397" s="89"/>
      <c r="H397" s="32"/>
      <c r="I397" s="32"/>
      <c r="J397" s="76"/>
      <c r="K397" s="76"/>
      <c r="L397" s="46"/>
      <c r="M397" s="46"/>
      <c r="N397" s="46"/>
    </row>
    <row r="398" spans="1:14" s="111" customFormat="1" ht="13.5" thickBot="1" x14ac:dyDescent="0.25">
      <c r="A398" s="239"/>
      <c r="B398" s="119"/>
      <c r="C398" s="119"/>
      <c r="D398" s="119"/>
      <c r="E398" s="120"/>
      <c r="F398" s="120"/>
      <c r="G398" s="120"/>
      <c r="H398" s="120"/>
      <c r="I398" s="120"/>
      <c r="J398" s="120"/>
      <c r="K398" s="120"/>
      <c r="L398" s="120"/>
      <c r="M398" s="120"/>
      <c r="N398" s="120"/>
    </row>
    <row r="399" spans="1:14" s="111" customFormat="1" x14ac:dyDescent="0.2">
      <c r="A399" s="112"/>
      <c r="B399" s="113"/>
      <c r="C399" s="113"/>
      <c r="D399" s="113"/>
      <c r="E399" s="114"/>
      <c r="F399" s="114"/>
      <c r="G399" s="114"/>
      <c r="H399" s="114"/>
      <c r="I399" s="114"/>
      <c r="J399" s="114"/>
      <c r="K399" s="114"/>
      <c r="L399" s="114"/>
      <c r="M399" s="114"/>
      <c r="N399" s="115"/>
    </row>
    <row r="400" spans="1:14" s="111" customFormat="1" ht="15" x14ac:dyDescent="0.2">
      <c r="A400" s="116"/>
      <c r="B400" s="462" t="s">
        <v>1480</v>
      </c>
      <c r="C400" s="463"/>
      <c r="D400" s="463"/>
      <c r="E400" s="463"/>
      <c r="F400" s="463"/>
      <c r="G400" s="463"/>
      <c r="H400" s="463"/>
      <c r="I400" s="463"/>
      <c r="J400" s="463"/>
      <c r="K400" s="463"/>
      <c r="L400" s="463"/>
      <c r="M400" s="464"/>
      <c r="N400" s="117" t="s">
        <v>96</v>
      </c>
    </row>
    <row r="401" spans="1:14" s="111" customFormat="1" x14ac:dyDescent="0.2">
      <c r="A401" s="116"/>
      <c r="B401" s="118" t="s">
        <v>428</v>
      </c>
      <c r="C401" s="119" t="s">
        <v>1481</v>
      </c>
      <c r="D401" s="119"/>
      <c r="E401" s="120"/>
      <c r="F401" s="120"/>
      <c r="G401" s="120"/>
      <c r="H401" s="120"/>
      <c r="I401" s="120"/>
      <c r="J401" s="120"/>
      <c r="K401" s="120"/>
      <c r="L401" s="120"/>
      <c r="M401" s="120"/>
      <c r="N401" s="101"/>
    </row>
    <row r="402" spans="1:14" s="111" customFormat="1" x14ac:dyDescent="0.2">
      <c r="A402" s="116"/>
      <c r="B402" s="118" t="s">
        <v>429</v>
      </c>
      <c r="C402" s="119" t="s">
        <v>950</v>
      </c>
      <c r="D402" s="119"/>
      <c r="E402" s="120"/>
      <c r="F402" s="120"/>
      <c r="G402" s="120"/>
      <c r="H402" s="120"/>
      <c r="I402" s="120"/>
      <c r="J402" s="120"/>
      <c r="K402" s="120"/>
      <c r="L402" s="120"/>
      <c r="M402" s="120"/>
      <c r="N402" s="101"/>
    </row>
    <row r="403" spans="1:14" s="111" customFormat="1" ht="12.75" customHeight="1" x14ac:dyDescent="0.2">
      <c r="A403" s="116"/>
      <c r="B403" s="118" t="s">
        <v>427</v>
      </c>
      <c r="C403" s="465" t="s">
        <v>1325</v>
      </c>
      <c r="D403" s="465"/>
      <c r="E403" s="465"/>
      <c r="F403" s="465"/>
      <c r="G403" s="465"/>
      <c r="H403" s="465"/>
      <c r="I403" s="465"/>
      <c r="J403" s="465"/>
      <c r="K403" s="465"/>
      <c r="L403" s="465"/>
      <c r="M403" s="465"/>
      <c r="N403" s="466"/>
    </row>
    <row r="404" spans="1:14" s="111" customFormat="1" x14ac:dyDescent="0.2">
      <c r="A404" s="116"/>
      <c r="B404" s="118"/>
      <c r="C404" s="465"/>
      <c r="D404" s="465"/>
      <c r="E404" s="465"/>
      <c r="F404" s="465"/>
      <c r="G404" s="465"/>
      <c r="H404" s="465"/>
      <c r="I404" s="465"/>
      <c r="J404" s="465"/>
      <c r="K404" s="465"/>
      <c r="L404" s="465"/>
      <c r="M404" s="465"/>
      <c r="N404" s="466"/>
    </row>
    <row r="405" spans="1:14" s="111" customFormat="1" x14ac:dyDescent="0.2">
      <c r="A405" s="116"/>
      <c r="B405" s="118"/>
      <c r="C405" s="465"/>
      <c r="D405" s="465"/>
      <c r="E405" s="465"/>
      <c r="F405" s="465"/>
      <c r="G405" s="465"/>
      <c r="H405" s="465"/>
      <c r="I405" s="465"/>
      <c r="J405" s="465"/>
      <c r="K405" s="465"/>
      <c r="L405" s="465"/>
      <c r="M405" s="465"/>
      <c r="N405" s="466"/>
    </row>
    <row r="406" spans="1:14" s="111" customFormat="1" ht="13.5" thickBot="1" x14ac:dyDescent="0.25">
      <c r="A406" s="116"/>
      <c r="B406" s="118" t="s">
        <v>426</v>
      </c>
      <c r="C406" s="119" t="s">
        <v>1379</v>
      </c>
      <c r="D406" s="119"/>
      <c r="E406" s="120"/>
      <c r="F406" s="120"/>
      <c r="G406" s="120"/>
      <c r="H406" s="120"/>
      <c r="I406" s="120"/>
      <c r="J406" s="120"/>
      <c r="K406" s="120"/>
      <c r="L406" s="120"/>
      <c r="M406" s="120"/>
      <c r="N406" s="101"/>
    </row>
    <row r="407" spans="1:14" s="111" customFormat="1" x14ac:dyDescent="0.2">
      <c r="A407" s="112"/>
      <c r="B407" s="113" t="s">
        <v>263</v>
      </c>
      <c r="C407" s="113"/>
      <c r="D407" s="113"/>
      <c r="E407" s="114"/>
      <c r="F407" s="114"/>
      <c r="G407" s="114"/>
      <c r="H407" s="114"/>
      <c r="I407" s="114"/>
      <c r="J407" s="127" t="s">
        <v>1933</v>
      </c>
      <c r="K407" s="126"/>
      <c r="L407" s="126"/>
      <c r="M407" s="126"/>
      <c r="N407" s="126"/>
    </row>
    <row r="408" spans="1:14" s="111" customFormat="1" ht="13.5" thickBot="1" x14ac:dyDescent="0.25">
      <c r="A408" s="121"/>
      <c r="B408" s="119"/>
      <c r="C408" s="122"/>
      <c r="D408" s="122"/>
      <c r="E408" s="123"/>
      <c r="F408" s="123"/>
      <c r="G408" s="123"/>
      <c r="H408" s="123"/>
      <c r="I408" s="123"/>
      <c r="J408" s="125" t="s">
        <v>1934</v>
      </c>
      <c r="K408" s="105" t="s">
        <v>1553</v>
      </c>
      <c r="L408" s="105" t="s">
        <v>1935</v>
      </c>
      <c r="M408" s="105" t="s">
        <v>1936</v>
      </c>
      <c r="N408" s="105" t="s">
        <v>200</v>
      </c>
    </row>
    <row r="409" spans="1:14" s="111" customFormat="1" x14ac:dyDescent="0.2">
      <c r="A409" s="112"/>
      <c r="B409" s="467" t="s">
        <v>67</v>
      </c>
      <c r="C409" s="467"/>
      <c r="D409" s="467"/>
      <c r="E409" s="114"/>
      <c r="F409" s="114" t="s">
        <v>1180</v>
      </c>
      <c r="G409" s="114" t="s">
        <v>68</v>
      </c>
      <c r="H409" s="114" t="s">
        <v>702</v>
      </c>
      <c r="I409" s="114"/>
      <c r="J409" s="100">
        <f>120/ATHENS!O1*ATHENS!O2</f>
        <v>218.18181818181816</v>
      </c>
      <c r="K409" s="100">
        <f>129.75/ATHENS!O1*ATHENS!O2</f>
        <v>235.90909090909088</v>
      </c>
      <c r="L409" s="100">
        <f>187.5/ATHENS!O1*ATHENS!O2</f>
        <v>340.90909090909088</v>
      </c>
      <c r="M409" s="100">
        <f>234/ATHENS!O1*ATHENS!O2</f>
        <v>425.45454545454544</v>
      </c>
      <c r="N409" s="100">
        <f>180/ATHENS!O1*ATHENS!O2</f>
        <v>327.27272727272725</v>
      </c>
    </row>
    <row r="410" spans="1:14" s="111" customFormat="1" x14ac:dyDescent="0.2">
      <c r="A410" s="116"/>
      <c r="B410" s="461" t="s">
        <v>67</v>
      </c>
      <c r="C410" s="461"/>
      <c r="D410" s="461"/>
      <c r="E410" s="120"/>
      <c r="F410" s="120" t="s">
        <v>1181</v>
      </c>
      <c r="G410" s="120" t="s">
        <v>68</v>
      </c>
      <c r="H410" s="120" t="s">
        <v>702</v>
      </c>
      <c r="I410" s="120"/>
      <c r="J410" s="100">
        <f>60/ATHENS!O1*ATHENS!O2</f>
        <v>109.09090909090908</v>
      </c>
      <c r="K410" s="100">
        <f>65/ATHENS!O1*ATHENS!O2</f>
        <v>118.18181818181817</v>
      </c>
      <c r="L410" s="100">
        <f>93.75/ATHENS!O1*ATHENS!O2</f>
        <v>170.45454545454544</v>
      </c>
      <c r="M410" s="100">
        <f>117/ATHENS!O1*ATHENS!O2</f>
        <v>212.72727272727272</v>
      </c>
      <c r="N410" s="100">
        <f>90/ATHENS!O1*ATHENS!O2</f>
        <v>163.63636363636363</v>
      </c>
    </row>
    <row r="411" spans="1:14" s="111" customFormat="1" ht="13.5" thickBot="1" x14ac:dyDescent="0.25">
      <c r="A411" s="121"/>
      <c r="B411" s="460" t="s">
        <v>67</v>
      </c>
      <c r="C411" s="460"/>
      <c r="D411" s="460"/>
      <c r="E411" s="123"/>
      <c r="F411" s="123" t="s">
        <v>1182</v>
      </c>
      <c r="G411" s="123" t="s">
        <v>68</v>
      </c>
      <c r="H411" s="123" t="s">
        <v>702</v>
      </c>
      <c r="I411" s="123"/>
      <c r="J411" s="105">
        <f>52/ATHENS!O1*ATHENS!O2</f>
        <v>94.545454545454533</v>
      </c>
      <c r="K411" s="105">
        <f>56.5/ATHENS!O1*ATHENS!O2</f>
        <v>102.72727272727272</v>
      </c>
      <c r="L411" s="105">
        <f>81/ATHENS!O1*ATHENS!O2</f>
        <v>147.27272727272725</v>
      </c>
      <c r="M411" s="105">
        <f>101.5/ATHENS!O1*ATHENS!O2</f>
        <v>184.54545454545453</v>
      </c>
      <c r="N411" s="105">
        <f>78/ATHENS!O1*ATHENS!O2</f>
        <v>141.81818181818181</v>
      </c>
    </row>
    <row r="412" spans="1:14" s="111" customFormat="1" x14ac:dyDescent="0.2">
      <c r="A412" s="239"/>
      <c r="B412" s="119"/>
      <c r="C412" s="119"/>
      <c r="D412" s="119"/>
      <c r="E412" s="120"/>
      <c r="F412" s="120"/>
      <c r="G412" s="120"/>
      <c r="H412" s="120"/>
      <c r="I412" s="120"/>
      <c r="J412" s="120"/>
      <c r="K412" s="120"/>
      <c r="L412" s="120"/>
      <c r="M412" s="120"/>
      <c r="N412" s="120"/>
    </row>
    <row r="413" spans="1:14" s="111" customFormat="1" x14ac:dyDescent="0.2">
      <c r="A413" s="239"/>
      <c r="B413" s="119"/>
      <c r="C413" s="119"/>
      <c r="D413" s="119"/>
      <c r="E413" s="120"/>
      <c r="F413" s="120"/>
      <c r="G413" s="120"/>
      <c r="H413" s="120"/>
      <c r="I413" s="120"/>
      <c r="J413" s="120"/>
      <c r="K413" s="120"/>
      <c r="L413" s="120"/>
      <c r="M413" s="120"/>
      <c r="N413" s="120"/>
    </row>
    <row r="414" spans="1:14" s="111" customFormat="1" x14ac:dyDescent="0.2">
      <c r="A414" s="239"/>
      <c r="B414" s="119"/>
      <c r="C414" s="119"/>
      <c r="D414" s="119"/>
      <c r="E414" s="120"/>
      <c r="F414" s="120"/>
      <c r="G414" s="120"/>
      <c r="H414" s="120"/>
      <c r="I414" s="120"/>
      <c r="J414" s="120"/>
      <c r="K414" s="120"/>
      <c r="L414" s="120"/>
      <c r="M414" s="120"/>
      <c r="N414" s="120"/>
    </row>
    <row r="415" spans="1:14" s="111" customFormat="1" x14ac:dyDescent="0.2">
      <c r="A415" s="239"/>
      <c r="B415" s="119"/>
      <c r="C415" s="119"/>
      <c r="D415" s="119"/>
      <c r="E415" s="120"/>
      <c r="F415" s="120"/>
      <c r="G415" s="120"/>
      <c r="H415" s="120"/>
      <c r="I415" s="120"/>
      <c r="J415" s="120"/>
      <c r="K415" s="120"/>
      <c r="L415" s="120"/>
      <c r="M415" s="120"/>
      <c r="N415" s="120"/>
    </row>
    <row r="416" spans="1:14" s="111" customFormat="1" ht="13.5" thickBot="1" x14ac:dyDescent="0.25">
      <c r="A416" s="108"/>
      <c r="B416" s="138"/>
      <c r="C416" s="138"/>
      <c r="D416" s="138"/>
      <c r="E416" s="139"/>
      <c r="F416" s="139"/>
      <c r="G416" s="139"/>
      <c r="H416" s="139"/>
      <c r="I416" s="139"/>
      <c r="J416" s="139"/>
      <c r="K416" s="139"/>
      <c r="L416" s="139"/>
      <c r="M416" s="139"/>
      <c r="N416" s="139"/>
    </row>
    <row r="417" spans="1:14" s="111" customFormat="1" x14ac:dyDescent="0.2">
      <c r="A417" s="112"/>
      <c r="B417" s="113"/>
      <c r="C417" s="113"/>
      <c r="D417" s="113"/>
      <c r="E417" s="114"/>
      <c r="F417" s="114"/>
      <c r="G417" s="114"/>
      <c r="H417" s="114"/>
      <c r="I417" s="114"/>
      <c r="J417" s="114"/>
      <c r="K417" s="114"/>
      <c r="L417" s="114"/>
      <c r="M417" s="114"/>
      <c r="N417" s="115"/>
    </row>
    <row r="418" spans="1:14" s="111" customFormat="1" ht="15" x14ac:dyDescent="0.2">
      <c r="A418" s="116"/>
      <c r="B418" s="462" t="s">
        <v>1450</v>
      </c>
      <c r="C418" s="463"/>
      <c r="D418" s="463"/>
      <c r="E418" s="463"/>
      <c r="F418" s="463"/>
      <c r="G418" s="463"/>
      <c r="H418" s="463"/>
      <c r="I418" s="463"/>
      <c r="J418" s="463"/>
      <c r="K418" s="463"/>
      <c r="L418" s="463"/>
      <c r="M418" s="464"/>
      <c r="N418" s="117" t="s">
        <v>96</v>
      </c>
    </row>
    <row r="419" spans="1:14" s="111" customFormat="1" x14ac:dyDescent="0.2">
      <c r="A419" s="116"/>
      <c r="B419" s="118" t="s">
        <v>428</v>
      </c>
      <c r="C419" s="119" t="s">
        <v>124</v>
      </c>
      <c r="D419" s="119"/>
      <c r="E419" s="120"/>
      <c r="F419" s="120"/>
      <c r="G419" s="120"/>
      <c r="H419" s="120"/>
      <c r="I419" s="120"/>
      <c r="J419" s="120"/>
      <c r="K419" s="120"/>
      <c r="L419" s="120"/>
      <c r="M419" s="120"/>
      <c r="N419" s="101"/>
    </row>
    <row r="420" spans="1:14" s="111" customFormat="1" x14ac:dyDescent="0.2">
      <c r="A420" s="116"/>
      <c r="B420" s="118" t="s">
        <v>429</v>
      </c>
      <c r="C420" s="119" t="s">
        <v>287</v>
      </c>
      <c r="D420" s="119"/>
      <c r="E420" s="120"/>
      <c r="F420" s="120"/>
      <c r="G420" s="120"/>
      <c r="H420" s="120"/>
      <c r="I420" s="120"/>
      <c r="J420" s="120"/>
      <c r="K420" s="120"/>
      <c r="L420" s="120"/>
      <c r="M420" s="120"/>
      <c r="N420" s="101"/>
    </row>
    <row r="421" spans="1:14" s="111" customFormat="1" x14ac:dyDescent="0.2">
      <c r="A421" s="116"/>
      <c r="B421" s="118" t="s">
        <v>427</v>
      </c>
      <c r="C421" s="465" t="s">
        <v>1326</v>
      </c>
      <c r="D421" s="465"/>
      <c r="E421" s="465"/>
      <c r="F421" s="465"/>
      <c r="G421" s="465"/>
      <c r="H421" s="465"/>
      <c r="I421" s="465"/>
      <c r="J421" s="465"/>
      <c r="K421" s="465"/>
      <c r="L421" s="465"/>
      <c r="M421" s="465"/>
      <c r="N421" s="466"/>
    </row>
    <row r="422" spans="1:14" s="111" customFormat="1" x14ac:dyDescent="0.2">
      <c r="A422" s="116"/>
      <c r="B422" s="109"/>
      <c r="C422" s="465"/>
      <c r="D422" s="465"/>
      <c r="E422" s="465"/>
      <c r="F422" s="465"/>
      <c r="G422" s="465"/>
      <c r="H422" s="465"/>
      <c r="I422" s="465"/>
      <c r="J422" s="465"/>
      <c r="K422" s="465"/>
      <c r="L422" s="465"/>
      <c r="M422" s="465"/>
      <c r="N422" s="466"/>
    </row>
    <row r="423" spans="1:14" s="111" customFormat="1" x14ac:dyDescent="0.2">
      <c r="A423" s="116"/>
      <c r="B423" s="109"/>
      <c r="C423" s="468"/>
      <c r="D423" s="468"/>
      <c r="E423" s="468"/>
      <c r="F423" s="468"/>
      <c r="G423" s="468"/>
      <c r="H423" s="468"/>
      <c r="I423" s="468"/>
      <c r="J423" s="468"/>
      <c r="K423" s="468"/>
      <c r="L423" s="468"/>
      <c r="M423" s="468"/>
      <c r="N423" s="469"/>
    </row>
    <row r="424" spans="1:14" s="111" customFormat="1" ht="13.5" thickBot="1" x14ac:dyDescent="0.25">
      <c r="A424" s="121"/>
      <c r="B424" s="118" t="s">
        <v>430</v>
      </c>
      <c r="C424" s="122" t="s">
        <v>560</v>
      </c>
      <c r="D424" s="122"/>
      <c r="E424" s="123"/>
      <c r="F424" s="123"/>
      <c r="G424" s="123"/>
      <c r="H424" s="123"/>
      <c r="I424" s="123"/>
      <c r="J424" s="123"/>
      <c r="K424" s="123"/>
      <c r="L424" s="123"/>
      <c r="M424" s="123"/>
      <c r="N424" s="104"/>
    </row>
    <row r="425" spans="1:14" s="111" customFormat="1" x14ac:dyDescent="0.2">
      <c r="A425" s="112"/>
      <c r="B425" s="113" t="s">
        <v>263</v>
      </c>
      <c r="C425" s="113"/>
      <c r="D425" s="113"/>
      <c r="E425" s="114"/>
      <c r="F425" s="114"/>
      <c r="G425" s="114"/>
      <c r="H425" s="114"/>
      <c r="I425" s="114"/>
      <c r="J425" s="127" t="s">
        <v>1762</v>
      </c>
      <c r="K425" s="126" t="s">
        <v>1764</v>
      </c>
      <c r="L425" s="126"/>
      <c r="M425" s="126"/>
      <c r="N425" s="126"/>
    </row>
    <row r="426" spans="1:14" s="111" customFormat="1" x14ac:dyDescent="0.2">
      <c r="A426" s="116"/>
      <c r="B426" s="119"/>
      <c r="C426" s="119"/>
      <c r="D426" s="119"/>
      <c r="E426" s="120"/>
      <c r="F426" s="120"/>
      <c r="G426" s="120"/>
      <c r="H426" s="120"/>
      <c r="I426" s="120"/>
      <c r="J426" s="124" t="s">
        <v>1763</v>
      </c>
      <c r="K426" s="100" t="s">
        <v>758</v>
      </c>
      <c r="L426" s="100" t="s">
        <v>1399</v>
      </c>
      <c r="M426" s="100"/>
      <c r="N426" s="100"/>
    </row>
    <row r="427" spans="1:14" s="111" customFormat="1" ht="13.5" thickBot="1" x14ac:dyDescent="0.25">
      <c r="A427" s="121"/>
      <c r="B427" s="122"/>
      <c r="C427" s="122"/>
      <c r="D427" s="122"/>
      <c r="E427" s="123"/>
      <c r="F427" s="123"/>
      <c r="G427" s="123"/>
      <c r="H427" s="123"/>
      <c r="I427" s="123"/>
      <c r="J427" s="125" t="s">
        <v>203</v>
      </c>
      <c r="K427" s="105" t="s">
        <v>1151</v>
      </c>
      <c r="L427" s="105" t="s">
        <v>596</v>
      </c>
      <c r="M427" s="105" t="s">
        <v>1152</v>
      </c>
      <c r="N427" s="105"/>
    </row>
    <row r="428" spans="1:14" s="111" customFormat="1" x14ac:dyDescent="0.2">
      <c r="A428" s="112"/>
      <c r="B428" s="467" t="s">
        <v>67</v>
      </c>
      <c r="C428" s="467"/>
      <c r="D428" s="467"/>
      <c r="E428" s="114"/>
      <c r="F428" s="114" t="s">
        <v>1180</v>
      </c>
      <c r="G428" s="114" t="s">
        <v>68</v>
      </c>
      <c r="H428" s="114" t="s">
        <v>702</v>
      </c>
      <c r="I428" s="114"/>
      <c r="J428" s="100">
        <f>180/ATHENS!O1*ATHENS!O2</f>
        <v>327.27272727272725</v>
      </c>
      <c r="K428" s="100">
        <f>260/ATHENS!O1*ATHENS!O2</f>
        <v>472.72727272727269</v>
      </c>
      <c r="L428" s="100">
        <f>335/ATHENS!O1*ATHENS!O2</f>
        <v>609.09090909090901</v>
      </c>
      <c r="M428" s="126">
        <f>460/ATHENS!O1*ATHENS!O2</f>
        <v>836.36363636363626</v>
      </c>
      <c r="N428" s="126"/>
    </row>
    <row r="429" spans="1:14" s="111" customFormat="1" x14ac:dyDescent="0.2">
      <c r="A429" s="116"/>
      <c r="B429" s="461" t="s">
        <v>67</v>
      </c>
      <c r="C429" s="461"/>
      <c r="D429" s="461"/>
      <c r="E429" s="120"/>
      <c r="F429" s="120" t="s">
        <v>1181</v>
      </c>
      <c r="G429" s="120" t="s">
        <v>68</v>
      </c>
      <c r="H429" s="120" t="s">
        <v>702</v>
      </c>
      <c r="I429" s="120"/>
      <c r="J429" s="100">
        <f>90/ATHENS!O1*ATHENS!O2</f>
        <v>163.63636363636363</v>
      </c>
      <c r="K429" s="100">
        <f>130/ATHENS!O1*ATHENS!O2</f>
        <v>236.36363636363635</v>
      </c>
      <c r="L429" s="100">
        <f>167.5/ATHENS!O1*ATHENS!O2</f>
        <v>304.5454545454545</v>
      </c>
      <c r="M429" s="100">
        <f>230/ATHENS!O1*ATHENS!O2</f>
        <v>418.18181818181813</v>
      </c>
      <c r="N429" s="100"/>
    </row>
    <row r="430" spans="1:14" s="111" customFormat="1" ht="13.5" thickBot="1" x14ac:dyDescent="0.25">
      <c r="A430" s="121"/>
      <c r="B430" s="460" t="s">
        <v>67</v>
      </c>
      <c r="C430" s="460"/>
      <c r="D430" s="460"/>
      <c r="E430" s="123"/>
      <c r="F430" s="123" t="s">
        <v>1182</v>
      </c>
      <c r="G430" s="123" t="s">
        <v>68</v>
      </c>
      <c r="H430" s="123" t="s">
        <v>702</v>
      </c>
      <c r="I430" s="123"/>
      <c r="J430" s="105">
        <f>73.5/ATHENS!O1*ATHENS!O2</f>
        <v>133.63636363636363</v>
      </c>
      <c r="K430" s="105">
        <f>100/ATHENS!O1*ATHENS!O2</f>
        <v>181.81818181818181</v>
      </c>
      <c r="L430" s="105">
        <f>125/ATHENS!O1*ATHENS!O2</f>
        <v>227.27272727272725</v>
      </c>
      <c r="M430" s="105">
        <f>166.6/ATHENS!O1*ATHENS!O2</f>
        <v>302.90909090909088</v>
      </c>
      <c r="N430" s="105"/>
    </row>
    <row r="431" spans="1:14" s="111" customFormat="1" ht="13.5" thickBot="1" x14ac:dyDescent="0.25">
      <c r="A431" s="239"/>
      <c r="B431" s="119"/>
      <c r="C431" s="119"/>
      <c r="D431" s="119"/>
      <c r="E431" s="120"/>
      <c r="F431" s="120"/>
      <c r="G431" s="120"/>
      <c r="H431" s="120"/>
      <c r="I431" s="120"/>
      <c r="J431" s="120"/>
      <c r="K431" s="120"/>
      <c r="L431" s="120"/>
      <c r="M431" s="120"/>
      <c r="N431" s="120"/>
    </row>
    <row r="432" spans="1:14" s="111" customFormat="1" x14ac:dyDescent="0.2">
      <c r="A432" s="112"/>
      <c r="B432" s="113"/>
      <c r="C432" s="113"/>
      <c r="D432" s="113"/>
      <c r="E432" s="114"/>
      <c r="F432" s="114"/>
      <c r="G432" s="114"/>
      <c r="H432" s="114"/>
      <c r="I432" s="114"/>
      <c r="J432" s="114"/>
      <c r="K432" s="114"/>
      <c r="L432" s="114"/>
      <c r="M432" s="114"/>
      <c r="N432" s="115"/>
    </row>
    <row r="433" spans="1:14" s="111" customFormat="1" ht="15" x14ac:dyDescent="0.2">
      <c r="A433" s="116"/>
      <c r="B433" s="462" t="s">
        <v>625</v>
      </c>
      <c r="C433" s="463"/>
      <c r="D433" s="463"/>
      <c r="E433" s="463"/>
      <c r="F433" s="463"/>
      <c r="G433" s="463"/>
      <c r="H433" s="463"/>
      <c r="I433" s="463"/>
      <c r="J433" s="463"/>
      <c r="K433" s="463"/>
      <c r="L433" s="463"/>
      <c r="M433" s="464"/>
      <c r="N433" s="117" t="s">
        <v>664</v>
      </c>
    </row>
    <row r="434" spans="1:14" s="111" customFormat="1" x14ac:dyDescent="0.2">
      <c r="A434" s="116"/>
      <c r="B434" s="118" t="s">
        <v>428</v>
      </c>
      <c r="C434" s="119" t="s">
        <v>20</v>
      </c>
      <c r="D434" s="119"/>
      <c r="E434" s="120"/>
      <c r="F434" s="120"/>
      <c r="G434" s="120"/>
      <c r="H434" s="120"/>
      <c r="I434" s="120"/>
      <c r="J434" s="120"/>
      <c r="K434" s="120"/>
      <c r="L434" s="120"/>
      <c r="M434" s="120"/>
      <c r="N434" s="101"/>
    </row>
    <row r="435" spans="1:14" s="111" customFormat="1" x14ac:dyDescent="0.2">
      <c r="A435" s="116"/>
      <c r="B435" s="118" t="s">
        <v>429</v>
      </c>
      <c r="C435" s="119" t="s">
        <v>21</v>
      </c>
      <c r="D435" s="119"/>
      <c r="E435" s="120"/>
      <c r="F435" s="120"/>
      <c r="G435" s="120"/>
      <c r="H435" s="120"/>
      <c r="I435" s="120"/>
      <c r="J435" s="120"/>
      <c r="K435" s="120"/>
      <c r="L435" s="120"/>
      <c r="M435" s="120"/>
      <c r="N435" s="101"/>
    </row>
    <row r="436" spans="1:14" s="111" customFormat="1" x14ac:dyDescent="0.2">
      <c r="A436" s="116"/>
      <c r="B436" s="118" t="s">
        <v>427</v>
      </c>
      <c r="C436" s="465" t="s">
        <v>1389</v>
      </c>
      <c r="D436" s="465"/>
      <c r="E436" s="465"/>
      <c r="F436" s="465"/>
      <c r="G436" s="465"/>
      <c r="H436" s="465"/>
      <c r="I436" s="465"/>
      <c r="J436" s="465"/>
      <c r="K436" s="465"/>
      <c r="L436" s="465"/>
      <c r="M436" s="465"/>
      <c r="N436" s="466"/>
    </row>
    <row r="437" spans="1:14" s="111" customFormat="1" ht="13.5" thickBot="1" x14ac:dyDescent="0.25">
      <c r="A437" s="116"/>
      <c r="B437" s="109"/>
      <c r="C437" s="465"/>
      <c r="D437" s="465"/>
      <c r="E437" s="465"/>
      <c r="F437" s="465"/>
      <c r="G437" s="465"/>
      <c r="H437" s="465"/>
      <c r="I437" s="465"/>
      <c r="J437" s="465"/>
      <c r="K437" s="465"/>
      <c r="L437" s="465"/>
      <c r="M437" s="465"/>
      <c r="N437" s="466"/>
    </row>
    <row r="438" spans="1:14" s="111" customFormat="1" x14ac:dyDescent="0.2">
      <c r="A438" s="112"/>
      <c r="B438" s="113" t="s">
        <v>263</v>
      </c>
      <c r="C438" s="113"/>
      <c r="D438" s="113"/>
      <c r="E438" s="114"/>
      <c r="F438" s="114"/>
      <c r="G438" s="114"/>
      <c r="H438" s="114"/>
      <c r="I438" s="114"/>
      <c r="J438" s="127"/>
      <c r="K438" s="126" t="s">
        <v>1559</v>
      </c>
      <c r="L438" s="126" t="s">
        <v>1878</v>
      </c>
      <c r="M438" s="126"/>
      <c r="N438" s="126"/>
    </row>
    <row r="439" spans="1:14" s="111" customFormat="1" ht="13.5" thickBot="1" x14ac:dyDescent="0.25">
      <c r="A439" s="121"/>
      <c r="B439" s="119"/>
      <c r="C439" s="122"/>
      <c r="D439" s="122"/>
      <c r="E439" s="123"/>
      <c r="F439" s="123"/>
      <c r="G439" s="123"/>
      <c r="H439" s="123"/>
      <c r="I439" s="123"/>
      <c r="J439" s="125" t="s">
        <v>1876</v>
      </c>
      <c r="K439" s="105" t="s">
        <v>1877</v>
      </c>
      <c r="L439" s="105" t="s">
        <v>1879</v>
      </c>
      <c r="M439" s="105" t="s">
        <v>1880</v>
      </c>
      <c r="N439" s="105"/>
    </row>
    <row r="440" spans="1:14" s="111" customFormat="1" x14ac:dyDescent="0.2">
      <c r="A440" s="112"/>
      <c r="B440" s="467" t="s">
        <v>67</v>
      </c>
      <c r="C440" s="467"/>
      <c r="D440" s="467"/>
      <c r="E440" s="114"/>
      <c r="F440" s="114" t="s">
        <v>1180</v>
      </c>
      <c r="G440" s="114" t="s">
        <v>68</v>
      </c>
      <c r="H440" s="114" t="s">
        <v>702</v>
      </c>
      <c r="I440" s="114"/>
      <c r="J440" s="100">
        <f>68/ATHENS!O1*ATHENS!O2</f>
        <v>123.63636363636363</v>
      </c>
      <c r="K440" s="100">
        <f>98/ATHENS!O1*ATHENS!O2</f>
        <v>178.18181818181816</v>
      </c>
      <c r="L440" s="100">
        <f>152/ATHENS!O1*ATHENS!O2</f>
        <v>276.36363636363632</v>
      </c>
      <c r="M440" s="100">
        <f>188/ATHENS!O1*ATHENS!O2</f>
        <v>341.81818181818181</v>
      </c>
      <c r="N440" s="126"/>
    </row>
    <row r="441" spans="1:14" s="111" customFormat="1" x14ac:dyDescent="0.2">
      <c r="A441" s="116"/>
      <c r="B441" s="461" t="s">
        <v>67</v>
      </c>
      <c r="C441" s="461"/>
      <c r="D441" s="461"/>
      <c r="E441" s="120"/>
      <c r="F441" s="120" t="s">
        <v>1181</v>
      </c>
      <c r="G441" s="120" t="s">
        <v>68</v>
      </c>
      <c r="H441" s="120" t="s">
        <v>702</v>
      </c>
      <c r="I441" s="120"/>
      <c r="J441" s="100">
        <f>39/ATHENS!O1*ATHENS!O2</f>
        <v>70.909090909090907</v>
      </c>
      <c r="K441" s="100">
        <f>52/ATHENS!O1*ATHENS!O2</f>
        <v>94.545454545454533</v>
      </c>
      <c r="L441" s="100">
        <f>83/ATHENS!O1*ATHENS!O2</f>
        <v>150.90909090909091</v>
      </c>
      <c r="M441" s="100">
        <f>103/ATHENS!O1*ATHENS!O2</f>
        <v>187.27272727272725</v>
      </c>
      <c r="N441" s="100"/>
    </row>
    <row r="442" spans="1:14" s="111" customFormat="1" ht="13.5" thickBot="1" x14ac:dyDescent="0.25">
      <c r="A442" s="121"/>
      <c r="B442" s="460"/>
      <c r="C442" s="460"/>
      <c r="D442" s="460"/>
      <c r="E442" s="123"/>
      <c r="F442" s="123"/>
      <c r="G442" s="123"/>
      <c r="H442" s="123"/>
      <c r="I442" s="123"/>
      <c r="J442" s="105"/>
      <c r="K442" s="105"/>
      <c r="L442" s="105"/>
      <c r="M442" s="105"/>
      <c r="N442" s="105"/>
    </row>
    <row r="443" spans="1:14" s="111" customFormat="1" x14ac:dyDescent="0.2">
      <c r="A443" s="239"/>
      <c r="B443" s="119"/>
      <c r="C443" s="119"/>
      <c r="D443" s="119"/>
      <c r="E443" s="120"/>
      <c r="F443" s="120"/>
      <c r="G443" s="120"/>
      <c r="H443" s="120"/>
      <c r="I443" s="120"/>
      <c r="J443" s="120"/>
      <c r="K443" s="120"/>
      <c r="L443" s="120"/>
      <c r="M443" s="120"/>
      <c r="N443" s="120"/>
    </row>
    <row r="444" spans="1:14" s="111" customFormat="1" x14ac:dyDescent="0.2">
      <c r="A444" s="239"/>
      <c r="B444" s="119"/>
      <c r="C444" s="119"/>
      <c r="D444" s="119"/>
      <c r="E444" s="120"/>
      <c r="F444" s="120"/>
      <c r="G444" s="120"/>
      <c r="H444" s="120"/>
      <c r="I444" s="120"/>
      <c r="J444" s="120"/>
      <c r="K444" s="120"/>
      <c r="L444" s="120"/>
      <c r="M444" s="120"/>
      <c r="N444" s="120"/>
    </row>
    <row r="445" spans="1:14" s="111" customFormat="1" x14ac:dyDescent="0.2">
      <c r="A445" s="239"/>
      <c r="B445" s="119"/>
      <c r="C445" s="119"/>
      <c r="D445" s="119"/>
      <c r="E445" s="120"/>
      <c r="F445" s="120"/>
      <c r="G445" s="120"/>
      <c r="H445" s="120"/>
      <c r="I445" s="120"/>
      <c r="J445" s="120"/>
      <c r="K445" s="120"/>
      <c r="L445" s="120"/>
      <c r="M445" s="120"/>
      <c r="N445" s="120"/>
    </row>
    <row r="446" spans="1:14" s="111" customFormat="1" x14ac:dyDescent="0.2">
      <c r="A446" s="239"/>
      <c r="B446" s="119"/>
      <c r="C446" s="119"/>
      <c r="D446" s="119"/>
      <c r="E446" s="120"/>
      <c r="F446" s="120"/>
      <c r="G446" s="120"/>
      <c r="H446" s="120"/>
      <c r="I446" s="120"/>
      <c r="J446" s="120"/>
      <c r="K446" s="120"/>
      <c r="L446" s="120"/>
      <c r="M446" s="120"/>
      <c r="N446" s="120"/>
    </row>
    <row r="447" spans="1:14" s="111" customFormat="1" x14ac:dyDescent="0.2">
      <c r="A447" s="239"/>
      <c r="B447" s="119"/>
      <c r="C447" s="119"/>
      <c r="D447" s="119"/>
      <c r="E447" s="120"/>
      <c r="F447" s="120"/>
      <c r="G447" s="120"/>
      <c r="H447" s="120"/>
      <c r="I447" s="120"/>
      <c r="J447" s="120"/>
      <c r="K447" s="120"/>
      <c r="L447" s="120"/>
      <c r="M447" s="120"/>
      <c r="N447" s="120"/>
    </row>
    <row r="448" spans="1:14" s="111" customFormat="1" x14ac:dyDescent="0.2">
      <c r="A448" s="108"/>
      <c r="B448" s="109"/>
      <c r="C448" s="109"/>
      <c r="D448" s="109"/>
      <c r="E448" s="110"/>
      <c r="F448" s="110"/>
      <c r="G448" s="110"/>
      <c r="H448" s="110"/>
      <c r="I448" s="110"/>
      <c r="J448" s="110"/>
      <c r="K448" s="110"/>
      <c r="L448" s="110"/>
      <c r="M448" s="110"/>
      <c r="N448" s="110"/>
    </row>
    <row r="449" spans="1:14" s="111" customFormat="1" x14ac:dyDescent="0.2"/>
    <row r="450" spans="1:14" s="111" customFormat="1" ht="13.5" thickBot="1" x14ac:dyDescent="0.25"/>
    <row r="451" spans="1:14" s="111" customFormat="1" x14ac:dyDescent="0.2">
      <c r="A451" s="20"/>
      <c r="B451" s="21"/>
      <c r="C451" s="21"/>
      <c r="D451" s="21"/>
      <c r="E451" s="22"/>
      <c r="F451" s="22"/>
      <c r="G451" s="22"/>
      <c r="H451" s="22"/>
      <c r="I451" s="22"/>
      <c r="J451" s="22"/>
      <c r="K451" s="22"/>
      <c r="L451" s="22"/>
      <c r="M451" s="22"/>
      <c r="N451" s="23"/>
    </row>
    <row r="452" spans="1:14" s="111" customFormat="1" x14ac:dyDescent="0.2">
      <c r="A452" s="24"/>
      <c r="B452" s="455" t="s">
        <v>1696</v>
      </c>
      <c r="C452" s="456"/>
      <c r="D452" s="456"/>
      <c r="E452" s="456"/>
      <c r="F452" s="456"/>
      <c r="G452" s="456"/>
      <c r="H452" s="456"/>
      <c r="I452" s="456"/>
      <c r="J452" s="456"/>
      <c r="K452" s="456"/>
      <c r="L452" s="456"/>
      <c r="M452" s="457"/>
      <c r="N452" s="25" t="s">
        <v>664</v>
      </c>
    </row>
    <row r="453" spans="1:14" s="111" customFormat="1" x14ac:dyDescent="0.2">
      <c r="A453" s="24"/>
      <c r="B453" s="26" t="s">
        <v>428</v>
      </c>
      <c r="C453" s="27" t="s">
        <v>1697</v>
      </c>
      <c r="D453" s="27"/>
      <c r="E453" s="28"/>
      <c r="F453" s="28"/>
      <c r="G453" s="28"/>
      <c r="H453" s="28"/>
      <c r="I453" s="28"/>
      <c r="J453" s="28"/>
      <c r="K453" s="28"/>
      <c r="L453" s="28"/>
      <c r="M453" s="28"/>
      <c r="N453" s="29"/>
    </row>
    <row r="454" spans="1:14" s="111" customFormat="1" x14ac:dyDescent="0.2">
      <c r="A454" s="24"/>
      <c r="B454" s="26" t="s">
        <v>429</v>
      </c>
      <c r="C454" s="27" t="s">
        <v>1673</v>
      </c>
      <c r="D454" s="27"/>
      <c r="E454" s="28"/>
      <c r="F454" s="28"/>
      <c r="G454" s="28"/>
      <c r="H454" s="28"/>
      <c r="I454" s="28"/>
      <c r="J454" s="28"/>
      <c r="K454" s="28"/>
      <c r="L454" s="28"/>
      <c r="M454" s="28"/>
      <c r="N454" s="29"/>
    </row>
    <row r="455" spans="1:14" s="111" customFormat="1" x14ac:dyDescent="0.2">
      <c r="A455" s="24"/>
      <c r="B455" s="26" t="s">
        <v>427</v>
      </c>
      <c r="C455" s="436" t="s">
        <v>1698</v>
      </c>
      <c r="D455" s="436"/>
      <c r="E455" s="436"/>
      <c r="F455" s="436"/>
      <c r="G455" s="436"/>
      <c r="H455" s="436"/>
      <c r="I455" s="436"/>
      <c r="J455" s="436"/>
      <c r="K455" s="436"/>
      <c r="L455" s="436"/>
      <c r="M455" s="436"/>
      <c r="N455" s="437"/>
    </row>
    <row r="456" spans="1:14" s="111" customFormat="1" x14ac:dyDescent="0.2">
      <c r="A456" s="24"/>
      <c r="B456" s="27"/>
      <c r="C456" s="436"/>
      <c r="D456" s="436"/>
      <c r="E456" s="436"/>
      <c r="F456" s="436"/>
      <c r="G456" s="436"/>
      <c r="H456" s="436"/>
      <c r="I456" s="436"/>
      <c r="J456" s="436"/>
      <c r="K456" s="436"/>
      <c r="L456" s="436"/>
      <c r="M456" s="436"/>
      <c r="N456" s="437"/>
    </row>
    <row r="457" spans="1:14" s="111" customFormat="1" x14ac:dyDescent="0.2">
      <c r="A457" s="24"/>
      <c r="B457" s="26" t="s">
        <v>426</v>
      </c>
      <c r="C457" s="27" t="s">
        <v>1697</v>
      </c>
      <c r="D457" s="27"/>
      <c r="E457" s="28"/>
      <c r="F457" s="28"/>
      <c r="G457" s="28"/>
      <c r="H457" s="28"/>
      <c r="I457" s="28"/>
      <c r="J457" s="28"/>
      <c r="K457" s="28"/>
      <c r="L457" s="28"/>
      <c r="M457" s="28"/>
      <c r="N457" s="29"/>
    </row>
    <row r="458" spans="1:14" s="111" customFormat="1" ht="13.5" thickBot="1" x14ac:dyDescent="0.25">
      <c r="A458" s="30"/>
      <c r="B458" s="26" t="s">
        <v>430</v>
      </c>
      <c r="C458" s="31"/>
      <c r="D458" s="31"/>
      <c r="E458" s="32"/>
      <c r="F458" s="32"/>
      <c r="G458" s="32"/>
      <c r="H458" s="32"/>
      <c r="I458" s="32"/>
      <c r="J458" s="32"/>
      <c r="K458" s="32"/>
      <c r="L458" s="32"/>
      <c r="M458" s="32"/>
      <c r="N458" s="33"/>
    </row>
    <row r="459" spans="1:14" s="111" customFormat="1" ht="13.5" thickBot="1" x14ac:dyDescent="0.25">
      <c r="A459" s="24"/>
      <c r="B459" s="21" t="s">
        <v>263</v>
      </c>
      <c r="C459" s="27"/>
      <c r="D459" s="27"/>
      <c r="E459" s="28"/>
      <c r="F459" s="28"/>
      <c r="G459" s="28"/>
      <c r="H459" s="28"/>
      <c r="I459" s="28"/>
      <c r="J459" s="67" t="s">
        <v>1825</v>
      </c>
      <c r="K459" s="63" t="s">
        <v>1558</v>
      </c>
      <c r="L459" s="63" t="s">
        <v>1442</v>
      </c>
      <c r="M459" s="28"/>
      <c r="N459" s="29"/>
    </row>
    <row r="460" spans="1:14" s="111" customFormat="1" ht="13.5" thickBot="1" x14ac:dyDescent="0.25">
      <c r="A460" s="24"/>
      <c r="B460" s="21" t="s">
        <v>263</v>
      </c>
      <c r="C460" s="27"/>
      <c r="D460" s="27"/>
      <c r="E460" s="28"/>
      <c r="F460" s="28"/>
      <c r="G460" s="28"/>
      <c r="H460" s="28"/>
      <c r="I460" s="28"/>
      <c r="J460" s="111" t="s">
        <v>1433</v>
      </c>
      <c r="M460" s="63"/>
      <c r="N460" s="63"/>
    </row>
    <row r="461" spans="1:14" s="111" customFormat="1" x14ac:dyDescent="0.2">
      <c r="A461" s="20"/>
      <c r="B461" s="434" t="s">
        <v>67</v>
      </c>
      <c r="C461" s="434"/>
      <c r="D461" s="434"/>
      <c r="E461" s="22"/>
      <c r="F461" s="22" t="s">
        <v>1180</v>
      </c>
      <c r="G461" s="22" t="s">
        <v>68</v>
      </c>
      <c r="H461" s="22" t="s">
        <v>702</v>
      </c>
      <c r="I461" s="28"/>
      <c r="J461" s="75">
        <f>60/ATHENS!O1*ATHENS!O2</f>
        <v>109.09090909090908</v>
      </c>
      <c r="K461" s="75">
        <f>120/ATHENS!O1*ATHENS!O2</f>
        <v>218.18181818181816</v>
      </c>
      <c r="L461" s="44">
        <f>160/ATHENS!O1*ATHENS!O2</f>
        <v>290.90909090909088</v>
      </c>
      <c r="M461" s="42"/>
      <c r="N461" s="42"/>
    </row>
    <row r="462" spans="1:14" s="111" customFormat="1" x14ac:dyDescent="0.2">
      <c r="A462" s="24"/>
      <c r="B462" s="435" t="s">
        <v>67</v>
      </c>
      <c r="C462" s="435"/>
      <c r="D462" s="435"/>
      <c r="E462" s="28"/>
      <c r="F462" s="28" t="s">
        <v>1181</v>
      </c>
      <c r="G462" s="28" t="s">
        <v>68</v>
      </c>
      <c r="H462" s="28" t="s">
        <v>702</v>
      </c>
      <c r="I462" s="28"/>
      <c r="J462" s="75">
        <f>35/ATHENS!O1*ATHENS!O2</f>
        <v>63.636363636363633</v>
      </c>
      <c r="K462" s="75">
        <f>65/ATHENS!O1*ATHENS!O2</f>
        <v>118.18181818181817</v>
      </c>
      <c r="L462" s="44">
        <f>85/ATHENS!O1*ATHENS!O2</f>
        <v>154.54545454545453</v>
      </c>
      <c r="M462" s="44"/>
      <c r="N462" s="44"/>
    </row>
    <row r="463" spans="1:14" s="111" customFormat="1" x14ac:dyDescent="0.2">
      <c r="A463" s="24"/>
      <c r="B463" s="68"/>
      <c r="C463" s="27"/>
      <c r="D463" s="27"/>
      <c r="E463" s="28"/>
      <c r="F463" s="28" t="s">
        <v>1182</v>
      </c>
      <c r="G463" s="28" t="s">
        <v>68</v>
      </c>
      <c r="H463" s="28" t="s">
        <v>702</v>
      </c>
      <c r="I463" s="28"/>
      <c r="J463" s="75">
        <f>36.7/ATHENS!O1*ATHENS!O2</f>
        <v>66.727272727272734</v>
      </c>
      <c r="K463" s="75">
        <f>56.6/ATHENS!O1*ATHENS!O2</f>
        <v>102.90909090909091</v>
      </c>
      <c r="L463" s="44">
        <f>70/ATHENS!O1*ATHENS!O2</f>
        <v>127.27272727272727</v>
      </c>
      <c r="M463" s="44"/>
      <c r="N463" s="44"/>
    </row>
    <row r="464" spans="1:14" s="111" customFormat="1" ht="13.5" thickBot="1" x14ac:dyDescent="0.25">
      <c r="A464" s="30"/>
      <c r="B464" s="443"/>
      <c r="C464" s="443"/>
      <c r="D464" s="443"/>
      <c r="E464" s="32"/>
      <c r="F464" s="89"/>
      <c r="G464" s="89"/>
      <c r="H464" s="32"/>
      <c r="I464" s="32"/>
      <c r="J464" s="76"/>
      <c r="K464" s="76"/>
      <c r="L464" s="46"/>
      <c r="M464" s="46"/>
      <c r="N464" s="46"/>
    </row>
    <row r="465" spans="1:14" s="111" customFormat="1" x14ac:dyDescent="0.2">
      <c r="A465" s="239"/>
      <c r="B465" s="119"/>
      <c r="C465" s="119"/>
      <c r="D465" s="119"/>
      <c r="E465" s="120"/>
      <c r="F465" s="120"/>
      <c r="G465" s="120"/>
      <c r="H465" s="120"/>
      <c r="I465" s="120"/>
      <c r="J465" s="120"/>
      <c r="K465" s="120"/>
      <c r="L465" s="120"/>
      <c r="M465" s="120"/>
      <c r="N465" s="120"/>
    </row>
    <row r="466" spans="1:14" s="111" customFormat="1" ht="13.5" thickBot="1" x14ac:dyDescent="0.25"/>
    <row r="467" spans="1:14" s="111" customFormat="1" x14ac:dyDescent="0.2">
      <c r="A467" s="112"/>
      <c r="B467" s="113"/>
      <c r="C467" s="113"/>
      <c r="D467" s="113"/>
      <c r="E467" s="114"/>
      <c r="F467" s="114"/>
      <c r="G467" s="114"/>
      <c r="H467" s="114"/>
      <c r="I467" s="114"/>
      <c r="J467" s="114"/>
      <c r="K467" s="114"/>
      <c r="L467" s="114"/>
      <c r="M467" s="114"/>
      <c r="N467" s="115"/>
    </row>
    <row r="468" spans="1:14" s="111" customFormat="1" ht="15" x14ac:dyDescent="0.2">
      <c r="A468" s="116"/>
      <c r="B468" s="462" t="s">
        <v>1777</v>
      </c>
      <c r="C468" s="463"/>
      <c r="D468" s="463"/>
      <c r="E468" s="463"/>
      <c r="F468" s="463"/>
      <c r="G468" s="463"/>
      <c r="H468" s="463"/>
      <c r="I468" s="463"/>
      <c r="J468" s="463"/>
      <c r="K468" s="463"/>
      <c r="L468" s="463"/>
      <c r="M468" s="464"/>
      <c r="N468" s="117" t="s">
        <v>664</v>
      </c>
    </row>
    <row r="469" spans="1:14" s="111" customFormat="1" x14ac:dyDescent="0.2">
      <c r="A469" s="116"/>
      <c r="B469" s="118" t="s">
        <v>428</v>
      </c>
      <c r="C469" s="119" t="s">
        <v>262</v>
      </c>
      <c r="D469" s="119"/>
      <c r="E469" s="120"/>
      <c r="F469" s="120"/>
      <c r="G469" s="120"/>
      <c r="H469" s="120"/>
      <c r="I469" s="120"/>
      <c r="J469" s="120"/>
      <c r="K469" s="120"/>
      <c r="L469" s="120"/>
      <c r="M469" s="120"/>
      <c r="N469" s="101"/>
    </row>
    <row r="470" spans="1:14" s="111" customFormat="1" x14ac:dyDescent="0.2">
      <c r="A470" s="116"/>
      <c r="B470" s="118" t="s">
        <v>429</v>
      </c>
      <c r="C470" s="119" t="s">
        <v>1156</v>
      </c>
      <c r="D470" s="119"/>
      <c r="E470" s="120"/>
      <c r="F470" s="120"/>
      <c r="G470" s="120"/>
      <c r="H470" s="120"/>
      <c r="I470" s="120"/>
      <c r="J470" s="120"/>
      <c r="K470" s="120"/>
      <c r="L470" s="120"/>
      <c r="M470" s="120"/>
      <c r="N470" s="101"/>
    </row>
    <row r="471" spans="1:14" s="111" customFormat="1" x14ac:dyDescent="0.2">
      <c r="A471" s="116"/>
      <c r="B471" s="118" t="s">
        <v>427</v>
      </c>
      <c r="C471" s="465" t="s">
        <v>1328</v>
      </c>
      <c r="D471" s="465"/>
      <c r="E471" s="465"/>
      <c r="F471" s="465"/>
      <c r="G471" s="465"/>
      <c r="H471" s="465"/>
      <c r="I471" s="465"/>
      <c r="J471" s="465"/>
      <c r="K471" s="465"/>
      <c r="L471" s="465"/>
      <c r="M471" s="465"/>
      <c r="N471" s="466"/>
    </row>
    <row r="472" spans="1:14" s="111" customFormat="1" x14ac:dyDescent="0.2">
      <c r="A472" s="116"/>
      <c r="B472" s="109"/>
      <c r="C472" s="465"/>
      <c r="D472" s="465"/>
      <c r="E472" s="465"/>
      <c r="F472" s="465"/>
      <c r="G472" s="465"/>
      <c r="H472" s="465"/>
      <c r="I472" s="465"/>
      <c r="J472" s="465"/>
      <c r="K472" s="465"/>
      <c r="L472" s="465"/>
      <c r="M472" s="465"/>
      <c r="N472" s="466"/>
    </row>
    <row r="473" spans="1:14" s="111" customFormat="1" ht="13.5" thickBot="1" x14ac:dyDescent="0.25">
      <c r="A473" s="116"/>
      <c r="B473" s="118" t="s">
        <v>426</v>
      </c>
      <c r="C473" s="119" t="s">
        <v>775</v>
      </c>
      <c r="D473" s="119"/>
      <c r="E473" s="120"/>
      <c r="F473" s="120"/>
      <c r="G473" s="120"/>
      <c r="H473" s="120"/>
      <c r="I473" s="120"/>
      <c r="J473" s="120"/>
      <c r="K473" s="120"/>
      <c r="L473" s="120"/>
      <c r="M473" s="120"/>
      <c r="N473" s="101"/>
    </row>
    <row r="474" spans="1:14" s="111" customFormat="1" x14ac:dyDescent="0.2">
      <c r="A474" s="112"/>
      <c r="B474" s="113" t="s">
        <v>263</v>
      </c>
      <c r="C474" s="113"/>
      <c r="D474" s="113"/>
      <c r="E474" s="114"/>
      <c r="F474" s="114"/>
      <c r="G474" s="114"/>
      <c r="H474" s="114"/>
      <c r="I474" s="114"/>
      <c r="J474" s="127"/>
      <c r="K474" s="126" t="s">
        <v>1779</v>
      </c>
      <c r="L474" s="126" t="s">
        <v>1584</v>
      </c>
      <c r="M474" s="126"/>
      <c r="N474" s="126"/>
    </row>
    <row r="475" spans="1:14" s="111" customFormat="1" ht="13.5" thickBot="1" x14ac:dyDescent="0.25">
      <c r="A475" s="116"/>
      <c r="B475" s="119"/>
      <c r="C475" s="119"/>
      <c r="D475" s="119"/>
      <c r="E475" s="120"/>
      <c r="F475" s="120"/>
      <c r="G475" s="120"/>
      <c r="H475" s="120"/>
      <c r="I475" s="120"/>
      <c r="J475" s="125" t="s">
        <v>1778</v>
      </c>
      <c r="K475" s="105" t="s">
        <v>682</v>
      </c>
      <c r="L475" s="105" t="s">
        <v>1780</v>
      </c>
      <c r="M475" s="105" t="s">
        <v>367</v>
      </c>
      <c r="N475" s="100"/>
    </row>
    <row r="476" spans="1:14" s="111" customFormat="1" x14ac:dyDescent="0.2">
      <c r="A476" s="112"/>
      <c r="B476" s="467" t="s">
        <v>67</v>
      </c>
      <c r="C476" s="467"/>
      <c r="D476" s="467"/>
      <c r="E476" s="114"/>
      <c r="F476" s="114" t="s">
        <v>1180</v>
      </c>
      <c r="G476" s="114" t="s">
        <v>68</v>
      </c>
      <c r="H476" s="114" t="s">
        <v>702</v>
      </c>
      <c r="I476" s="114"/>
      <c r="J476" s="100">
        <f>71/ATHENS!O1*ATHENS!O2</f>
        <v>129.09090909090909</v>
      </c>
      <c r="K476" s="100">
        <f>103/ATHENS!O1*ATHENS!O2</f>
        <v>187.27272727272725</v>
      </c>
      <c r="L476" s="100">
        <f>131/ATHENS!O1*ATHENS!O2</f>
        <v>238.18181818181816</v>
      </c>
      <c r="M476" s="100">
        <f>184/ATHENS!O1*ATHENS!O2</f>
        <v>334.5454545454545</v>
      </c>
      <c r="N476" s="126"/>
    </row>
    <row r="477" spans="1:14" s="111" customFormat="1" x14ac:dyDescent="0.2">
      <c r="A477" s="116"/>
      <c r="B477" s="461" t="s">
        <v>67</v>
      </c>
      <c r="C477" s="461"/>
      <c r="D477" s="461"/>
      <c r="E477" s="120"/>
      <c r="F477" s="120" t="s">
        <v>1181</v>
      </c>
      <c r="G477" s="120" t="s">
        <v>68</v>
      </c>
      <c r="H477" s="120" t="s">
        <v>702</v>
      </c>
      <c r="I477" s="120"/>
      <c r="J477" s="100">
        <f>39.5/ATHENS!O1*ATHENS!O2</f>
        <v>71.818181818181813</v>
      </c>
      <c r="K477" s="100">
        <f>55.5/ATHENS!O1*ATHENS!O2</f>
        <v>100.90909090909091</v>
      </c>
      <c r="L477" s="100">
        <f>69.5/ATHENS!O1*ATHENS!O2</f>
        <v>126.36363636363636</v>
      </c>
      <c r="M477" s="100">
        <f>96/ATHENS!O1*ATHENS!O2</f>
        <v>174.54545454545453</v>
      </c>
      <c r="N477" s="100"/>
    </row>
    <row r="478" spans="1:14" s="111" customFormat="1" ht="13.5" thickBot="1" x14ac:dyDescent="0.25">
      <c r="A478" s="121"/>
      <c r="B478" s="460" t="s">
        <v>67</v>
      </c>
      <c r="C478" s="460"/>
      <c r="D478" s="460"/>
      <c r="E478" s="123"/>
      <c r="F478" s="123" t="s">
        <v>1182</v>
      </c>
      <c r="G478" s="123" t="s">
        <v>68</v>
      </c>
      <c r="H478" s="123" t="s">
        <v>702</v>
      </c>
      <c r="I478" s="123"/>
      <c r="J478" s="105">
        <f>42.5/ATHENS!O1*ATHENS!O2</f>
        <v>77.272727272727266</v>
      </c>
      <c r="K478" s="105">
        <f>54.5/ATHENS!O1*ATHENS!O2</f>
        <v>99.090909090909079</v>
      </c>
      <c r="L478" s="105">
        <f>63.7/ATHENS!O1*ATHENS!O2</f>
        <v>115.81818181818181</v>
      </c>
      <c r="M478" s="105">
        <f>85/ATHENS!O1*ATHENS!O2</f>
        <v>154.54545454545453</v>
      </c>
      <c r="N478" s="105"/>
    </row>
    <row r="479" spans="1:14" s="111" customFormat="1" ht="13.5" thickBot="1" x14ac:dyDescent="0.25">
      <c r="A479" s="108"/>
      <c r="B479" s="109"/>
      <c r="C479" s="109"/>
      <c r="D479" s="109"/>
      <c r="E479" s="110"/>
      <c r="F479" s="110"/>
      <c r="G479" s="110"/>
      <c r="H479" s="110"/>
      <c r="I479" s="110"/>
      <c r="J479" s="110"/>
      <c r="K479" s="110"/>
      <c r="L479" s="110"/>
      <c r="M479" s="110"/>
      <c r="N479" s="110"/>
    </row>
    <row r="480" spans="1:14" s="111" customFormat="1" x14ac:dyDescent="0.2">
      <c r="A480" s="112"/>
      <c r="B480" s="113"/>
      <c r="C480" s="113"/>
      <c r="D480" s="113"/>
      <c r="E480" s="114"/>
      <c r="F480" s="114"/>
      <c r="G480" s="114"/>
      <c r="H480" s="114"/>
      <c r="I480" s="114"/>
      <c r="J480" s="114"/>
      <c r="K480" s="114"/>
      <c r="L480" s="114"/>
      <c r="M480" s="114"/>
      <c r="N480" s="115"/>
    </row>
    <row r="481" spans="1:14" s="111" customFormat="1" ht="15" x14ac:dyDescent="0.2">
      <c r="A481" s="116"/>
      <c r="B481" s="462" t="s">
        <v>1169</v>
      </c>
      <c r="C481" s="463"/>
      <c r="D481" s="463"/>
      <c r="E481" s="463"/>
      <c r="F481" s="463"/>
      <c r="G481" s="463"/>
      <c r="H481" s="463"/>
      <c r="I481" s="463"/>
      <c r="J481" s="463"/>
      <c r="K481" s="463"/>
      <c r="L481" s="463"/>
      <c r="M481" s="464"/>
      <c r="N481" s="117" t="s">
        <v>664</v>
      </c>
    </row>
    <row r="482" spans="1:14" s="111" customFormat="1" x14ac:dyDescent="0.2">
      <c r="A482" s="116"/>
      <c r="B482" s="118" t="s">
        <v>428</v>
      </c>
      <c r="C482" s="119" t="s">
        <v>277</v>
      </c>
      <c r="D482" s="119"/>
      <c r="E482" s="120"/>
      <c r="F482" s="120"/>
      <c r="G482" s="120"/>
      <c r="H482" s="120"/>
      <c r="I482" s="120"/>
      <c r="J482" s="120"/>
      <c r="K482" s="120"/>
      <c r="L482" s="120"/>
      <c r="M482" s="120"/>
      <c r="N482" s="101"/>
    </row>
    <row r="483" spans="1:14" s="111" customFormat="1" x14ac:dyDescent="0.2">
      <c r="A483" s="116"/>
      <c r="B483" s="118" t="s">
        <v>429</v>
      </c>
      <c r="C483" s="119" t="s">
        <v>1155</v>
      </c>
      <c r="D483" s="119"/>
      <c r="E483" s="120"/>
      <c r="F483" s="120"/>
      <c r="G483" s="120"/>
      <c r="H483" s="120"/>
      <c r="I483" s="120"/>
      <c r="J483" s="120"/>
      <c r="K483" s="120"/>
      <c r="L483" s="120"/>
      <c r="M483" s="120"/>
      <c r="N483" s="101"/>
    </row>
    <row r="484" spans="1:14" s="111" customFormat="1" x14ac:dyDescent="0.2">
      <c r="A484" s="116"/>
      <c r="B484" s="118" t="s">
        <v>427</v>
      </c>
      <c r="C484" s="465" t="s">
        <v>1329</v>
      </c>
      <c r="D484" s="465"/>
      <c r="E484" s="465"/>
      <c r="F484" s="465"/>
      <c r="G484" s="465"/>
      <c r="H484" s="465"/>
      <c r="I484" s="465"/>
      <c r="J484" s="465"/>
      <c r="K484" s="465"/>
      <c r="L484" s="465"/>
      <c r="M484" s="465"/>
      <c r="N484" s="466"/>
    </row>
    <row r="485" spans="1:14" s="111" customFormat="1" x14ac:dyDescent="0.2">
      <c r="A485" s="116"/>
      <c r="B485" s="109"/>
      <c r="C485" s="465"/>
      <c r="D485" s="465"/>
      <c r="E485" s="465"/>
      <c r="F485" s="465"/>
      <c r="G485" s="465"/>
      <c r="H485" s="465"/>
      <c r="I485" s="465"/>
      <c r="J485" s="465"/>
      <c r="K485" s="465"/>
      <c r="L485" s="465"/>
      <c r="M485" s="465"/>
      <c r="N485" s="466"/>
    </row>
    <row r="486" spans="1:14" s="111" customFormat="1" ht="13.5" thickBot="1" x14ac:dyDescent="0.25">
      <c r="A486" s="116"/>
      <c r="B486" s="118" t="s">
        <v>426</v>
      </c>
      <c r="C486" s="119" t="s">
        <v>490</v>
      </c>
      <c r="D486" s="119"/>
      <c r="E486" s="120"/>
      <c r="F486" s="120"/>
      <c r="G486" s="120"/>
      <c r="H486" s="120"/>
      <c r="I486" s="120"/>
      <c r="J486" s="120"/>
      <c r="K486" s="120"/>
      <c r="L486" s="120"/>
      <c r="M486" s="120"/>
      <c r="N486" s="101"/>
    </row>
    <row r="487" spans="1:14" s="111" customFormat="1" x14ac:dyDescent="0.2">
      <c r="A487" s="112"/>
      <c r="B487" s="113" t="s">
        <v>263</v>
      </c>
      <c r="C487" s="113"/>
      <c r="D487" s="113"/>
      <c r="E487" s="114"/>
      <c r="F487" s="114"/>
      <c r="G487" s="114"/>
      <c r="H487" s="114"/>
      <c r="I487" s="114"/>
      <c r="J487" s="127" t="s">
        <v>281</v>
      </c>
      <c r="K487" s="126" t="s">
        <v>279</v>
      </c>
      <c r="L487" s="126" t="s">
        <v>228</v>
      </c>
      <c r="M487" s="126" t="s">
        <v>82</v>
      </c>
      <c r="N487" s="126"/>
    </row>
    <row r="488" spans="1:14" s="111" customFormat="1" ht="13.5" thickBot="1" x14ac:dyDescent="0.25">
      <c r="A488" s="121"/>
      <c r="B488" s="119"/>
      <c r="C488" s="122"/>
      <c r="D488" s="122"/>
      <c r="E488" s="123"/>
      <c r="F488" s="123"/>
      <c r="G488" s="123"/>
      <c r="H488" s="123"/>
      <c r="I488" s="123"/>
      <c r="J488" s="125" t="s">
        <v>342</v>
      </c>
      <c r="K488" s="105" t="s">
        <v>1390</v>
      </c>
      <c r="L488" s="105" t="s">
        <v>1391</v>
      </c>
      <c r="M488" s="105"/>
      <c r="N488" s="105"/>
    </row>
    <row r="489" spans="1:14" s="111" customFormat="1" x14ac:dyDescent="0.2">
      <c r="A489" s="112"/>
      <c r="B489" s="467" t="s">
        <v>67</v>
      </c>
      <c r="C489" s="467"/>
      <c r="D489" s="467"/>
      <c r="E489" s="114"/>
      <c r="F489" s="114" t="s">
        <v>1180</v>
      </c>
      <c r="G489" s="114" t="s">
        <v>68</v>
      </c>
      <c r="H489" s="114" t="s">
        <v>702</v>
      </c>
      <c r="I489" s="114"/>
      <c r="J489" s="100">
        <f>49.5/ATHENS!O1*ATHENS!O2</f>
        <v>89.999999999999986</v>
      </c>
      <c r="K489" s="100">
        <f>72.5/ATHENS!O1*ATHENS!O2</f>
        <v>131.81818181818181</v>
      </c>
      <c r="L489" s="100">
        <f>100.5/ATHENS!O1*ATHENS!O2</f>
        <v>182.72727272727272</v>
      </c>
      <c r="M489" s="100">
        <f>129.5/ATHENS!O1*ATHENS!O2</f>
        <v>235.45454545454544</v>
      </c>
      <c r="N489" s="126"/>
    </row>
    <row r="490" spans="1:14" s="111" customFormat="1" x14ac:dyDescent="0.2">
      <c r="A490" s="116"/>
      <c r="B490" s="461" t="s">
        <v>67</v>
      </c>
      <c r="C490" s="461"/>
      <c r="D490" s="461"/>
      <c r="E490" s="120"/>
      <c r="F490" s="120" t="s">
        <v>1181</v>
      </c>
      <c r="G490" s="120" t="s">
        <v>68</v>
      </c>
      <c r="H490" s="120" t="s">
        <v>702</v>
      </c>
      <c r="I490" s="120"/>
      <c r="J490" s="100">
        <f>31.5/ATHENS!O1*ATHENS!O2</f>
        <v>57.272727272727266</v>
      </c>
      <c r="K490" s="100">
        <f>43.7/ATHENS!O1*ATHENS!O2</f>
        <v>79.454545454545453</v>
      </c>
      <c r="L490" s="100">
        <f>56.6/ATHENS!O1*ATHENS!O2</f>
        <v>102.90909090909091</v>
      </c>
      <c r="M490" s="100">
        <f>75.9/ATHENS!O1*ATHENS!O2</f>
        <v>138</v>
      </c>
      <c r="N490" s="100"/>
    </row>
    <row r="491" spans="1:14" s="111" customFormat="1" ht="13.5" thickBot="1" x14ac:dyDescent="0.25">
      <c r="A491" s="121"/>
      <c r="B491" s="460" t="s">
        <v>67</v>
      </c>
      <c r="C491" s="460"/>
      <c r="D491" s="460"/>
      <c r="E491" s="123"/>
      <c r="F491" s="123" t="s">
        <v>1182</v>
      </c>
      <c r="G491" s="123" t="s">
        <v>68</v>
      </c>
      <c r="H491" s="123" t="s">
        <v>702</v>
      </c>
      <c r="I491" s="123"/>
      <c r="J491" s="105">
        <f>29.5/ATHENS!O1*ATHENS!O2</f>
        <v>53.636363636363633</v>
      </c>
      <c r="K491" s="105">
        <f>41.9/ATHENS!O1*ATHENS!O2</f>
        <v>76.181818181818173</v>
      </c>
      <c r="L491" s="105">
        <f>55.5/ATHENS!O1*ATHENS!O2</f>
        <v>100.90909090909091</v>
      </c>
      <c r="M491" s="105">
        <f>71.5/ATHENS!O1*ATHENS!O2</f>
        <v>130</v>
      </c>
      <c r="N491" s="105"/>
    </row>
  </sheetData>
  <customSheetViews>
    <customSheetView guid="{3C76061C-A85D-4390-B9DB-73E13038638C}" showPageBreaks="1" showGridLines="0" view="pageLayout" topLeftCell="A478">
      <selection activeCell="M51" sqref="M51"/>
      <rowBreaks count="5" manualBreakCount="5">
        <brk id="50" max="16383" man="1"/>
        <brk id="258" max="16383" man="1"/>
        <brk id="306" max="16383" man="1"/>
        <brk id="357" max="16383" man="1"/>
        <brk id="448" max="16383" man="1"/>
      </rowBreaks>
      <pageMargins left="0.28125" right="0.25" top="0.6692913385826772" bottom="0.70866141732283472" header="0.23622047244094491" footer="0.47244094488188981"/>
      <printOptions horizontalCentered="1"/>
      <pageSetup paperSize="9" firstPageNumber="60"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 guid="{777CFE61-6F99-11D9-974B-0050BFD074B6}" showRuler="0">
      <selection activeCell="K14" sqref="K14:N18"/>
      <pageMargins left="0" right="0" top="0" bottom="0" header="0" footer="0"/>
      <pageSetup paperSize="9" orientation="portrait" horizontalDpi="4294967293" verticalDpi="300" r:id="rId2"/>
      <headerFooter alignWithMargins="0"/>
    </customSheetView>
  </customSheetViews>
  <mergeCells count="149">
    <mergeCell ref="C192:N195"/>
    <mergeCell ref="B184:D184"/>
    <mergeCell ref="B156:D156"/>
    <mergeCell ref="B183:D183"/>
    <mergeCell ref="B157:D157"/>
    <mergeCell ref="B202:D202"/>
    <mergeCell ref="B189:M189"/>
    <mergeCell ref="B200:D200"/>
    <mergeCell ref="B201:D201"/>
    <mergeCell ref="B397:D397"/>
    <mergeCell ref="C35:N39"/>
    <mergeCell ref="B46:D46"/>
    <mergeCell ref="B49:D49"/>
    <mergeCell ref="B64:D64"/>
    <mergeCell ref="B66:D66"/>
    <mergeCell ref="B68:D68"/>
    <mergeCell ref="B45:D45"/>
    <mergeCell ref="B52:M52"/>
    <mergeCell ref="B47:D47"/>
    <mergeCell ref="B63:D63"/>
    <mergeCell ref="B354:D354"/>
    <mergeCell ref="B355:D355"/>
    <mergeCell ref="B371:M371"/>
    <mergeCell ref="B380:D380"/>
    <mergeCell ref="B382:D382"/>
    <mergeCell ref="B381:D381"/>
    <mergeCell ref="B356:D356"/>
    <mergeCell ref="B366:D366"/>
    <mergeCell ref="B359:M359"/>
    <mergeCell ref="C362:N363"/>
    <mergeCell ref="B385:M385"/>
    <mergeCell ref="C388:N389"/>
    <mergeCell ref="C374:N376"/>
    <mergeCell ref="B152:D152"/>
    <mergeCell ref="C176:N178"/>
    <mergeCell ref="B216:D216"/>
    <mergeCell ref="B353:D353"/>
    <mergeCell ref="B318:D318"/>
    <mergeCell ref="B217:D217"/>
    <mergeCell ref="B228:M228"/>
    <mergeCell ref="B239:D239"/>
    <mergeCell ref="C231:N233"/>
    <mergeCell ref="B319:D319"/>
    <mergeCell ref="B322:M322"/>
    <mergeCell ref="B308:M308"/>
    <mergeCell ref="C311:N312"/>
    <mergeCell ref="B317:D317"/>
    <mergeCell ref="B304:D304"/>
    <mergeCell ref="B305:D305"/>
    <mergeCell ref="B334:D334"/>
    <mergeCell ref="C325:N329"/>
    <mergeCell ref="B153:D153"/>
    <mergeCell ref="B205:M205"/>
    <mergeCell ref="B215:D215"/>
    <mergeCell ref="B154:D154"/>
    <mergeCell ref="B155:D155"/>
    <mergeCell ref="C208:N210"/>
    <mergeCell ref="B452:M452"/>
    <mergeCell ref="C455:N456"/>
    <mergeCell ref="B400:M400"/>
    <mergeCell ref="B409:D409"/>
    <mergeCell ref="B491:D491"/>
    <mergeCell ref="B489:D489"/>
    <mergeCell ref="B490:D490"/>
    <mergeCell ref="B481:M481"/>
    <mergeCell ref="C484:N485"/>
    <mergeCell ref="B461:D461"/>
    <mergeCell ref="C403:N405"/>
    <mergeCell ref="B429:D429"/>
    <mergeCell ref="B430:D430"/>
    <mergeCell ref="B476:D476"/>
    <mergeCell ref="B468:M468"/>
    <mergeCell ref="C421:N423"/>
    <mergeCell ref="B478:D478"/>
    <mergeCell ref="C471:N472"/>
    <mergeCell ref="B433:M433"/>
    <mergeCell ref="B410:D410"/>
    <mergeCell ref="C75:N78"/>
    <mergeCell ref="B83:D83"/>
    <mergeCell ref="B85:D85"/>
    <mergeCell ref="B477:D477"/>
    <mergeCell ref="B336:D336"/>
    <mergeCell ref="B441:D441"/>
    <mergeCell ref="C436:N437"/>
    <mergeCell ref="B418:M418"/>
    <mergeCell ref="B82:D82"/>
    <mergeCell ref="B464:D464"/>
    <mergeCell ref="B442:D442"/>
    <mergeCell ref="B440:D440"/>
    <mergeCell ref="B462:D462"/>
    <mergeCell ref="B428:D428"/>
    <mergeCell ref="B291:M291"/>
    <mergeCell ref="B340:M340"/>
    <mergeCell ref="B337:D337"/>
    <mergeCell ref="C343:N348"/>
    <mergeCell ref="B368:D368"/>
    <mergeCell ref="B335:D335"/>
    <mergeCell ref="B138:M138"/>
    <mergeCell ref="B411:D411"/>
    <mergeCell ref="B367:D367"/>
    <mergeCell ref="B395:D395"/>
    <mergeCell ref="B15:D15"/>
    <mergeCell ref="B62:D62"/>
    <mergeCell ref="C55:N57"/>
    <mergeCell ref="B173:M173"/>
    <mergeCell ref="B185:D185"/>
    <mergeCell ref="C294:N298"/>
    <mergeCell ref="B288:D288"/>
    <mergeCell ref="B287:D287"/>
    <mergeCell ref="B286:D286"/>
    <mergeCell ref="B255:D255"/>
    <mergeCell ref="B275:M275"/>
    <mergeCell ref="B256:D256"/>
    <mergeCell ref="B260:M260"/>
    <mergeCell ref="B254:D254"/>
    <mergeCell ref="B240:D240"/>
    <mergeCell ref="B241:D241"/>
    <mergeCell ref="C263:N265"/>
    <mergeCell ref="C247:N249"/>
    <mergeCell ref="B271:D271"/>
    <mergeCell ref="B270:D270"/>
    <mergeCell ref="B133:D133"/>
    <mergeCell ref="B134:D134"/>
    <mergeCell ref="B132:D132"/>
    <mergeCell ref="B149:D149"/>
    <mergeCell ref="B3:M3"/>
    <mergeCell ref="B14:D14"/>
    <mergeCell ref="B67:D67"/>
    <mergeCell ref="B44:D44"/>
    <mergeCell ref="B48:D48"/>
    <mergeCell ref="B303:D303"/>
    <mergeCell ref="C278:N281"/>
    <mergeCell ref="B244:M244"/>
    <mergeCell ref="B272:D272"/>
    <mergeCell ref="C6:N8"/>
    <mergeCell ref="B32:M32"/>
    <mergeCell ref="B28:D28"/>
    <mergeCell ref="B29:D29"/>
    <mergeCell ref="B18:M18"/>
    <mergeCell ref="B131:D131"/>
    <mergeCell ref="B13:D13"/>
    <mergeCell ref="C21:N23"/>
    <mergeCell ref="B84:D84"/>
    <mergeCell ref="B72:M72"/>
    <mergeCell ref="B151:D151"/>
    <mergeCell ref="B114:M114"/>
    <mergeCell ref="C124:N125"/>
    <mergeCell ref="C117:N122"/>
    <mergeCell ref="C141:N145"/>
  </mergeCells>
  <phoneticPr fontId="0" type="noConversion"/>
  <hyperlinks>
    <hyperlink ref="B138:M138" r:id="rId3" display="Royal Myconian Resort &amp; Thalasso Center" xr:uid="{00000000-0004-0000-1800-000000000000}"/>
    <hyperlink ref="B114:M114" r:id="rId4" display="Myconos Grand Resort" xr:uid="{00000000-0004-0000-1800-000001000000}"/>
    <hyperlink ref="B173:M173" r:id="rId5" display="Saint John Villas &amp; Spa" xr:uid="{00000000-0004-0000-1800-000002000000}"/>
    <hyperlink ref="B189:M189" r:id="rId6" display="Grand Beach" xr:uid="{00000000-0004-0000-1800-000003000000}"/>
    <hyperlink ref="B291:M291" r:id="rId7" display="New Aeolos" xr:uid="{00000000-0004-0000-1800-000004000000}"/>
    <hyperlink ref="B359:M359" r:id="rId8" display="Petinos Beach" xr:uid="{00000000-0004-0000-1800-000005000000}"/>
    <hyperlink ref="B433:M433" r:id="rId9" display="Alkistis" xr:uid="{00000000-0004-0000-1800-000006000000}"/>
    <hyperlink ref="B3:M3" r:id="rId10" display="Cavo Tagoo" xr:uid="{00000000-0004-0000-1800-000007000000}"/>
    <hyperlink ref="B18:M18" r:id="rId11" display="Kivotos Club" xr:uid="{00000000-0004-0000-1800-000008000000}"/>
    <hyperlink ref="B32:M32" r:id="rId12" display="Myconian Ambassador" xr:uid="{00000000-0004-0000-1800-000009000000}"/>
    <hyperlink ref="B52:M52" r:id="rId13" display="Myconian Imperial Hotel &amp; Thalasso Center" xr:uid="{00000000-0004-0000-1800-00000A000000}"/>
    <hyperlink ref="B205:M205" r:id="rId14" display="Kosmoplaz" xr:uid="{00000000-0004-0000-1800-00000B000000}"/>
    <hyperlink ref="B228:M228" r:id="rId15" display="Leto" xr:uid="{00000000-0004-0000-1800-00000C000000}"/>
    <hyperlink ref="B244:M244" r:id="rId16" display="Manoula’s Beach" xr:uid="{00000000-0004-0000-1800-00000D000000}"/>
    <hyperlink ref="B275:M275" r:id="rId17" display="Mykonos Palace" xr:uid="{00000000-0004-0000-1800-00000E000000}"/>
    <hyperlink ref="B308:M308" r:id="rId18" display="Pelican Bay Art Hotel" xr:uid="{00000000-0004-0000-1800-00000F000000}"/>
    <hyperlink ref="B322:M322" r:id="rId19" display="Petassos Beach" xr:uid="{00000000-0004-0000-1800-000010000000}"/>
    <hyperlink ref="B371:M371" r:id="rId20" display="Princess Of Mykonos" xr:uid="{00000000-0004-0000-1800-000011000000}"/>
    <hyperlink ref="B400:M400" r:id="rId21" display="San Antonio Summerland" xr:uid="{00000000-0004-0000-1800-000012000000}"/>
    <hyperlink ref="B418:M418" r:id="rId22" display="Semeli" xr:uid="{00000000-0004-0000-1800-000013000000}"/>
    <hyperlink ref="B72:M72" r:id="rId23" display="Myconian K Hotels &amp; Thalasso Spa" xr:uid="{00000000-0004-0000-1800-000014000000}"/>
    <hyperlink ref="B468:M468" r:id="rId24" display="Petassos Town" xr:uid="{00000000-0004-0000-1800-000015000000}"/>
    <hyperlink ref="B481:M481" r:id="rId25" display="Vienoula’s Garden" xr:uid="{00000000-0004-0000-1800-000016000000}"/>
    <hyperlink ref="B260:M260" r:id="rId26" display="Mykonos Bay" xr:uid="{00000000-0004-0000-1800-000017000000}"/>
    <hyperlink ref="B340:M340" r:id="rId27" display="Petinos" xr:uid="{00000000-0004-0000-1800-000018000000}"/>
    <hyperlink ref="B385:M385" r:id="rId28" display="Rocabella" xr:uid="{00000000-0004-0000-1800-000019000000}"/>
    <hyperlink ref="B452:M452" r:id="rId29" display="Elena " xr:uid="{00000000-0004-0000-1800-00001A000000}"/>
  </hyperlinks>
  <printOptions horizontalCentered="1"/>
  <pageMargins left="0.28125" right="0.25" top="0.6692913385826772" bottom="0.70866141732283472" header="0.23622047244094491" footer="0.47244094488188981"/>
  <pageSetup paperSize="9" firstPageNumber="60" orientation="portrait" useFirstPageNumber="1" horizontalDpi="300" verticalDpi="300" r:id="rId30"/>
  <headerFooter scaleWithDoc="0" alignWithMargins="0">
    <oddHeader xml:space="preserve">&amp;C TARIFF 2021
 (EURO)
</oddHeader>
    <oddFooter>&amp;LAll rates are in EURO&amp;C
TARIFF 2021
&amp;RPage &amp;P</oddFooter>
  </headerFooter>
  <rowBreaks count="5" manualBreakCount="5">
    <brk id="50" max="16383" man="1"/>
    <brk id="258" max="16383" man="1"/>
    <brk id="306" max="16383" man="1"/>
    <brk id="357" max="16383" man="1"/>
    <brk id="448"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112"/>
  <sheetViews>
    <sheetView showGridLines="0" view="pageLayout" topLeftCell="A91" workbookViewId="0">
      <selection activeCell="C53" sqref="C53:N54"/>
    </sheetView>
  </sheetViews>
  <sheetFormatPr defaultColWidth="8.85546875" defaultRowHeight="12.75" x14ac:dyDescent="0.2"/>
  <cols>
    <col min="1" max="1" width="1.85546875" style="141" customWidth="1"/>
    <col min="2" max="3" width="10.7109375" style="141" customWidth="1"/>
    <col min="4" max="9" width="3.7109375" style="141" customWidth="1"/>
    <col min="10" max="14" width="10.7109375" style="141" customWidth="1"/>
    <col min="15" max="16384" width="8.85546875" style="141"/>
  </cols>
  <sheetData>
    <row r="1" spans="1:14" x14ac:dyDescent="0.2">
      <c r="A1" s="112"/>
      <c r="B1" s="113"/>
      <c r="C1" s="113"/>
      <c r="D1" s="113"/>
      <c r="E1" s="114"/>
      <c r="F1" s="114"/>
      <c r="G1" s="114"/>
      <c r="H1" s="114"/>
      <c r="I1" s="114"/>
      <c r="J1" s="114"/>
      <c r="K1" s="114"/>
      <c r="L1" s="114"/>
      <c r="M1" s="114"/>
      <c r="N1" s="115"/>
    </row>
    <row r="2" spans="1:14" ht="15" x14ac:dyDescent="0.2">
      <c r="A2" s="116"/>
      <c r="B2" s="462" t="s">
        <v>786</v>
      </c>
      <c r="C2" s="463"/>
      <c r="D2" s="463"/>
      <c r="E2" s="463"/>
      <c r="F2" s="463"/>
      <c r="G2" s="463"/>
      <c r="H2" s="463"/>
      <c r="I2" s="463"/>
      <c r="J2" s="463"/>
      <c r="K2" s="463"/>
      <c r="L2" s="463"/>
      <c r="M2" s="464"/>
      <c r="N2" s="117" t="s">
        <v>91</v>
      </c>
    </row>
    <row r="3" spans="1:14" x14ac:dyDescent="0.2">
      <c r="A3" s="116"/>
      <c r="B3" s="118" t="s">
        <v>428</v>
      </c>
      <c r="C3" s="119" t="s">
        <v>787</v>
      </c>
      <c r="D3" s="119"/>
      <c r="E3" s="120"/>
      <c r="F3" s="120"/>
      <c r="G3" s="120"/>
      <c r="H3" s="120"/>
      <c r="I3" s="120"/>
      <c r="J3" s="120"/>
      <c r="K3" s="120"/>
      <c r="L3" s="120"/>
      <c r="M3" s="120"/>
      <c r="N3" s="101"/>
    </row>
    <row r="4" spans="1:14" x14ac:dyDescent="0.2">
      <c r="A4" s="116"/>
      <c r="B4" s="118" t="s">
        <v>429</v>
      </c>
      <c r="C4" s="119" t="s">
        <v>1292</v>
      </c>
      <c r="D4" s="119"/>
      <c r="E4" s="120"/>
      <c r="F4" s="120"/>
      <c r="G4" s="120"/>
      <c r="H4" s="120"/>
      <c r="I4" s="120"/>
      <c r="J4" s="120"/>
      <c r="K4" s="120"/>
      <c r="L4" s="120"/>
      <c r="M4" s="120"/>
      <c r="N4" s="101"/>
    </row>
    <row r="5" spans="1:14" x14ac:dyDescent="0.2">
      <c r="A5" s="116"/>
      <c r="B5" s="118" t="s">
        <v>427</v>
      </c>
      <c r="C5" s="465" t="s">
        <v>1250</v>
      </c>
      <c r="D5" s="465"/>
      <c r="E5" s="465"/>
      <c r="F5" s="465"/>
      <c r="G5" s="465"/>
      <c r="H5" s="465"/>
      <c r="I5" s="465"/>
      <c r="J5" s="465"/>
      <c r="K5" s="465"/>
      <c r="L5" s="465"/>
      <c r="M5" s="465"/>
      <c r="N5" s="466"/>
    </row>
    <row r="6" spans="1:14" x14ac:dyDescent="0.2">
      <c r="A6" s="116"/>
      <c r="B6" s="109"/>
      <c r="C6" s="465"/>
      <c r="D6" s="465"/>
      <c r="E6" s="465"/>
      <c r="F6" s="465"/>
      <c r="G6" s="465"/>
      <c r="H6" s="465"/>
      <c r="I6" s="465"/>
      <c r="J6" s="465"/>
      <c r="K6" s="465"/>
      <c r="L6" s="465"/>
      <c r="M6" s="465"/>
      <c r="N6" s="466"/>
    </row>
    <row r="7" spans="1:14" x14ac:dyDescent="0.2">
      <c r="A7" s="116"/>
      <c r="B7" s="118" t="s">
        <v>426</v>
      </c>
      <c r="C7" s="119"/>
      <c r="D7" s="119"/>
      <c r="E7" s="120"/>
      <c r="F7" s="120"/>
      <c r="G7" s="120"/>
      <c r="H7" s="120"/>
      <c r="I7" s="120"/>
      <c r="J7" s="120"/>
      <c r="K7" s="120"/>
      <c r="L7" s="120"/>
      <c r="M7" s="120"/>
      <c r="N7" s="101"/>
    </row>
    <row r="8" spans="1:14" ht="13.5" thickBot="1" x14ac:dyDescent="0.25">
      <c r="A8" s="121"/>
      <c r="B8" s="118" t="s">
        <v>430</v>
      </c>
      <c r="C8" s="122"/>
      <c r="D8" s="122"/>
      <c r="E8" s="123"/>
      <c r="F8" s="123"/>
      <c r="G8" s="123"/>
      <c r="H8" s="123"/>
      <c r="I8" s="123"/>
      <c r="J8" s="123"/>
      <c r="K8" s="123"/>
      <c r="L8" s="123"/>
      <c r="M8" s="123"/>
      <c r="N8" s="104"/>
    </row>
    <row r="9" spans="1:14" x14ac:dyDescent="0.2">
      <c r="A9" s="112"/>
      <c r="B9" s="113" t="s">
        <v>263</v>
      </c>
      <c r="C9" s="113"/>
      <c r="D9" s="113"/>
      <c r="E9" s="114"/>
      <c r="F9" s="114"/>
      <c r="G9" s="114"/>
      <c r="H9" s="114"/>
      <c r="I9" s="114"/>
      <c r="J9" s="127" t="s">
        <v>1845</v>
      </c>
      <c r="K9" s="126"/>
      <c r="L9" s="126" t="s">
        <v>1805</v>
      </c>
      <c r="M9" s="126"/>
      <c r="N9" s="126"/>
    </row>
    <row r="10" spans="1:14" x14ac:dyDescent="0.2">
      <c r="A10" s="116"/>
      <c r="B10" s="119"/>
      <c r="C10" s="119"/>
      <c r="D10" s="119"/>
      <c r="E10" s="120"/>
      <c r="F10" s="120"/>
      <c r="G10" s="120"/>
      <c r="H10" s="120"/>
      <c r="I10" s="120"/>
      <c r="J10" s="124" t="s">
        <v>1846</v>
      </c>
      <c r="K10" s="100"/>
      <c r="L10" s="100" t="s">
        <v>1849</v>
      </c>
      <c r="M10" s="100"/>
      <c r="N10" s="100" t="s">
        <v>1826</v>
      </c>
    </row>
    <row r="11" spans="1:14" x14ac:dyDescent="0.2">
      <c r="A11" s="116"/>
      <c r="B11" s="119"/>
      <c r="C11" s="119"/>
      <c r="D11" s="119"/>
      <c r="E11" s="120"/>
      <c r="F11" s="120"/>
      <c r="G11" s="120"/>
      <c r="H11" s="120"/>
      <c r="I11" s="120"/>
      <c r="J11" s="124" t="s">
        <v>1798</v>
      </c>
      <c r="K11" s="100" t="s">
        <v>1847</v>
      </c>
      <c r="L11" s="100" t="s">
        <v>1850</v>
      </c>
      <c r="M11" s="100" t="s">
        <v>1852</v>
      </c>
      <c r="N11" s="100" t="s">
        <v>1853</v>
      </c>
    </row>
    <row r="12" spans="1:14" ht="13.5" thickBot="1" x14ac:dyDescent="0.25">
      <c r="A12" s="121"/>
      <c r="B12" s="122"/>
      <c r="C12" s="122"/>
      <c r="D12" s="122"/>
      <c r="E12" s="123"/>
      <c r="F12" s="123"/>
      <c r="G12" s="123"/>
      <c r="H12" s="123"/>
      <c r="I12" s="123"/>
      <c r="J12" s="125" t="s">
        <v>1438</v>
      </c>
      <c r="K12" s="105" t="s">
        <v>1848</v>
      </c>
      <c r="L12" s="105" t="s">
        <v>1851</v>
      </c>
      <c r="M12" s="105" t="s">
        <v>200</v>
      </c>
      <c r="N12" s="105" t="s">
        <v>1854</v>
      </c>
    </row>
    <row r="13" spans="1:14" x14ac:dyDescent="0.2">
      <c r="A13" s="112"/>
      <c r="B13" s="467" t="s">
        <v>67</v>
      </c>
      <c r="C13" s="467"/>
      <c r="D13" s="467"/>
      <c r="E13" s="114"/>
      <c r="F13" s="114" t="s">
        <v>1180</v>
      </c>
      <c r="G13" s="114" t="s">
        <v>68</v>
      </c>
      <c r="H13" s="114" t="s">
        <v>702</v>
      </c>
      <c r="I13" s="114"/>
      <c r="J13" s="100">
        <f>140/ATHENS!O1*ATHENS!O2</f>
        <v>254.54545454545453</v>
      </c>
      <c r="K13" s="100">
        <f>114/ATHENS!O1*ATHENS!O2</f>
        <v>207.27272727272725</v>
      </c>
      <c r="L13" s="100">
        <f>160/ATHENS!O1*ATHENS!O2</f>
        <v>290.90909090909088</v>
      </c>
      <c r="M13" s="100">
        <f>170/ATHENS!O1*ATHENS!O2</f>
        <v>309.09090909090907</v>
      </c>
      <c r="N13" s="100">
        <f>178/ATHENS!O1*ATHENS!O2</f>
        <v>323.63636363636363</v>
      </c>
    </row>
    <row r="14" spans="1:14" x14ac:dyDescent="0.2">
      <c r="A14" s="116"/>
      <c r="B14" s="461" t="s">
        <v>67</v>
      </c>
      <c r="C14" s="461"/>
      <c r="D14" s="461"/>
      <c r="E14" s="120"/>
      <c r="F14" s="120" t="s">
        <v>1181</v>
      </c>
      <c r="G14" s="120" t="s">
        <v>68</v>
      </c>
      <c r="H14" s="120" t="s">
        <v>702</v>
      </c>
      <c r="I14" s="120"/>
      <c r="J14" s="100">
        <f>70/ATHENS!O1*ATHENS!O2</f>
        <v>127.27272727272727</v>
      </c>
      <c r="K14" s="100">
        <f>57/ATHENS!O1*ATHENS!O2</f>
        <v>103.63636363636363</v>
      </c>
      <c r="L14" s="100">
        <f>80/ATHENS!O1*ATHENS!O2</f>
        <v>145.45454545454544</v>
      </c>
      <c r="M14" s="100">
        <f>85/ATHENS!O1*ATHENS!O2</f>
        <v>154.54545454545453</v>
      </c>
      <c r="N14" s="100">
        <f>89/ATHENS!O1*ATHENS!O2</f>
        <v>161.81818181818181</v>
      </c>
    </row>
    <row r="15" spans="1:14" x14ac:dyDescent="0.2">
      <c r="A15" s="116"/>
      <c r="B15" s="461" t="s">
        <v>67</v>
      </c>
      <c r="C15" s="461"/>
      <c r="D15" s="461"/>
      <c r="E15" s="120"/>
      <c r="F15" s="120" t="s">
        <v>1182</v>
      </c>
      <c r="G15" s="120" t="s">
        <v>68</v>
      </c>
      <c r="H15" s="120" t="s">
        <v>702</v>
      </c>
      <c r="I15" s="120"/>
      <c r="J15" s="100">
        <f>59.5/ATHENS!O1*ATHENS!O2</f>
        <v>108.18181818181817</v>
      </c>
      <c r="K15" s="100">
        <f>51.5/ATHENS!O1*ATHENS!O2</f>
        <v>93.636363636363626</v>
      </c>
      <c r="L15" s="100">
        <f>65.5/ATHENS!O1*ATHENS!O2</f>
        <v>119.09090909090908</v>
      </c>
      <c r="M15" s="100">
        <f>68.6/ATHENS!O1*ATHENS!O2</f>
        <v>124.72727272727271</v>
      </c>
      <c r="N15" s="100">
        <f>71.5/ATHENS!O1*ATHENS!O2</f>
        <v>130</v>
      </c>
    </row>
    <row r="16" spans="1:14" ht="13.5" thickBot="1" x14ac:dyDescent="0.25">
      <c r="A16" s="121"/>
      <c r="B16" s="142" t="s">
        <v>902</v>
      </c>
      <c r="C16" s="142"/>
      <c r="D16" s="142"/>
      <c r="E16" s="142"/>
      <c r="F16" s="142"/>
      <c r="G16" s="142"/>
      <c r="H16" s="142"/>
      <c r="I16" s="123"/>
      <c r="J16" s="105">
        <f>26/ATHENS!O1*ATHENS!O2</f>
        <v>47.272727272727266</v>
      </c>
      <c r="K16" s="105">
        <f>26/ATHENS!O1*ATHENS!O2</f>
        <v>47.272727272727266</v>
      </c>
      <c r="L16" s="105">
        <f>26/ATHENS!O1*ATHENS!O2</f>
        <v>47.272727272727266</v>
      </c>
      <c r="M16" s="105">
        <f>26/ATHENS!O1*ATHENS!O2</f>
        <v>47.272727272727266</v>
      </c>
      <c r="N16" s="105">
        <f>26/ATHENS!O1*ATHENS!O2</f>
        <v>47.272727272727266</v>
      </c>
    </row>
    <row r="17" spans="1:14" x14ac:dyDescent="0.2">
      <c r="A17" s="108"/>
      <c r="B17" s="138"/>
      <c r="C17" s="138"/>
      <c r="D17" s="138"/>
      <c r="E17" s="139"/>
      <c r="F17" s="139"/>
      <c r="G17" s="139"/>
      <c r="H17" s="139"/>
      <c r="I17" s="139"/>
      <c r="J17" s="139"/>
      <c r="K17" s="139"/>
      <c r="L17" s="139"/>
      <c r="M17" s="139"/>
      <c r="N17" s="139"/>
    </row>
    <row r="18" spans="1:14" ht="13.5" thickBot="1" x14ac:dyDescent="0.25">
      <c r="A18" s="108"/>
      <c r="B18" s="138"/>
      <c r="C18" s="138"/>
      <c r="D18" s="138"/>
      <c r="E18" s="139"/>
      <c r="F18" s="139"/>
      <c r="G18" s="139"/>
      <c r="H18" s="139"/>
      <c r="I18" s="139"/>
      <c r="J18" s="139"/>
      <c r="K18" s="139"/>
      <c r="L18" s="139"/>
      <c r="M18" s="139"/>
      <c r="N18" s="139"/>
    </row>
    <row r="19" spans="1:14" x14ac:dyDescent="0.2">
      <c r="A19" s="112"/>
      <c r="B19" s="113"/>
      <c r="C19" s="113"/>
      <c r="D19" s="113"/>
      <c r="E19" s="114"/>
      <c r="F19" s="114"/>
      <c r="G19" s="114"/>
      <c r="H19" s="114"/>
      <c r="I19" s="114"/>
      <c r="J19" s="114"/>
      <c r="K19" s="114"/>
      <c r="L19" s="114"/>
      <c r="M19" s="114"/>
      <c r="N19" s="115"/>
    </row>
    <row r="20" spans="1:14" ht="15" x14ac:dyDescent="0.2">
      <c r="A20" s="116"/>
      <c r="B20" s="462" t="s">
        <v>903</v>
      </c>
      <c r="C20" s="463"/>
      <c r="D20" s="463"/>
      <c r="E20" s="463"/>
      <c r="F20" s="463"/>
      <c r="G20" s="463"/>
      <c r="H20" s="463"/>
      <c r="I20" s="463"/>
      <c r="J20" s="463"/>
      <c r="K20" s="463"/>
      <c r="L20" s="463"/>
      <c r="M20" s="464"/>
      <c r="N20" s="117" t="s">
        <v>96</v>
      </c>
    </row>
    <row r="21" spans="1:14" x14ac:dyDescent="0.2">
      <c r="A21" s="116"/>
      <c r="B21" s="118" t="s">
        <v>428</v>
      </c>
      <c r="C21" s="119" t="s">
        <v>1251</v>
      </c>
      <c r="D21" s="119"/>
      <c r="E21" s="120"/>
      <c r="F21" s="120"/>
      <c r="G21" s="120"/>
      <c r="H21" s="120"/>
      <c r="I21" s="120"/>
      <c r="J21" s="120"/>
      <c r="K21" s="120"/>
      <c r="L21" s="120"/>
      <c r="M21" s="120"/>
      <c r="N21" s="101"/>
    </row>
    <row r="22" spans="1:14" x14ac:dyDescent="0.2">
      <c r="A22" s="116"/>
      <c r="B22" s="118" t="s">
        <v>429</v>
      </c>
      <c r="C22" s="119" t="s">
        <v>1293</v>
      </c>
      <c r="D22" s="119"/>
      <c r="E22" s="120"/>
      <c r="F22" s="120"/>
      <c r="G22" s="120"/>
      <c r="H22" s="120"/>
      <c r="I22" s="120"/>
      <c r="J22" s="120"/>
      <c r="K22" s="120"/>
      <c r="L22" s="120"/>
      <c r="M22" s="120"/>
      <c r="N22" s="101"/>
    </row>
    <row r="23" spans="1:14" x14ac:dyDescent="0.2">
      <c r="A23" s="116"/>
      <c r="B23" s="118" t="s">
        <v>427</v>
      </c>
      <c r="C23" s="465" t="s">
        <v>1252</v>
      </c>
      <c r="D23" s="465"/>
      <c r="E23" s="465"/>
      <c r="F23" s="465"/>
      <c r="G23" s="465"/>
      <c r="H23" s="465"/>
      <c r="I23" s="465"/>
      <c r="J23" s="465"/>
      <c r="K23" s="465"/>
      <c r="L23" s="465"/>
      <c r="M23" s="465"/>
      <c r="N23" s="466"/>
    </row>
    <row r="24" spans="1:14" x14ac:dyDescent="0.2">
      <c r="A24" s="116"/>
      <c r="B24" s="118"/>
      <c r="C24" s="465"/>
      <c r="D24" s="465"/>
      <c r="E24" s="465"/>
      <c r="F24" s="465"/>
      <c r="G24" s="465"/>
      <c r="H24" s="465"/>
      <c r="I24" s="465"/>
      <c r="J24" s="465"/>
      <c r="K24" s="465"/>
      <c r="L24" s="465"/>
      <c r="M24" s="465"/>
      <c r="N24" s="466"/>
    </row>
    <row r="25" spans="1:14" x14ac:dyDescent="0.2">
      <c r="A25" s="116"/>
      <c r="B25" s="119"/>
      <c r="C25" s="465"/>
      <c r="D25" s="465"/>
      <c r="E25" s="465"/>
      <c r="F25" s="465"/>
      <c r="G25" s="465"/>
      <c r="H25" s="465"/>
      <c r="I25" s="465"/>
      <c r="J25" s="465"/>
      <c r="K25" s="465"/>
      <c r="L25" s="465"/>
      <c r="M25" s="465"/>
      <c r="N25" s="466"/>
    </row>
    <row r="26" spans="1:14" x14ac:dyDescent="0.2">
      <c r="A26" s="116"/>
      <c r="B26" s="118" t="s">
        <v>426</v>
      </c>
      <c r="C26" s="119"/>
      <c r="D26" s="119"/>
      <c r="E26" s="120"/>
      <c r="F26" s="120"/>
      <c r="G26" s="120"/>
      <c r="H26" s="120"/>
      <c r="I26" s="120"/>
      <c r="J26" s="120"/>
      <c r="K26" s="120"/>
      <c r="L26" s="120"/>
      <c r="M26" s="120"/>
      <c r="N26" s="101"/>
    </row>
    <row r="27" spans="1:14" ht="13.5" thickBot="1" x14ac:dyDescent="0.25">
      <c r="A27" s="121"/>
      <c r="B27" s="118" t="s">
        <v>430</v>
      </c>
      <c r="C27" s="122"/>
      <c r="D27" s="122"/>
      <c r="E27" s="123"/>
      <c r="F27" s="123"/>
      <c r="G27" s="123"/>
      <c r="H27" s="123"/>
      <c r="I27" s="123"/>
      <c r="J27" s="123"/>
      <c r="K27" s="123"/>
      <c r="L27" s="123"/>
      <c r="M27" s="123"/>
      <c r="N27" s="104"/>
    </row>
    <row r="28" spans="1:14" ht="13.5" thickBot="1" x14ac:dyDescent="0.25">
      <c r="A28" s="121"/>
      <c r="B28" s="135" t="s">
        <v>263</v>
      </c>
      <c r="C28" s="122"/>
      <c r="D28" s="122"/>
      <c r="E28" s="123"/>
      <c r="F28" s="123"/>
      <c r="G28" s="123"/>
      <c r="H28" s="123"/>
      <c r="I28" s="123"/>
      <c r="J28" s="156" t="s">
        <v>907</v>
      </c>
      <c r="K28" s="157" t="s">
        <v>611</v>
      </c>
      <c r="L28" s="157"/>
      <c r="M28" s="105"/>
      <c r="N28" s="105"/>
    </row>
    <row r="29" spans="1:14" ht="13.5" thickBot="1" x14ac:dyDescent="0.25">
      <c r="A29" s="116"/>
      <c r="B29" s="113"/>
      <c r="C29" s="119"/>
      <c r="D29" s="119"/>
      <c r="E29" s="120"/>
      <c r="F29" s="120"/>
      <c r="G29" s="120"/>
      <c r="H29" s="120"/>
      <c r="I29" s="120"/>
      <c r="J29" s="125"/>
      <c r="K29" s="105"/>
      <c r="L29" s="105"/>
      <c r="M29" s="100"/>
      <c r="N29" s="100"/>
    </row>
    <row r="30" spans="1:14" x14ac:dyDescent="0.2">
      <c r="A30" s="112"/>
      <c r="B30" s="467" t="s">
        <v>67</v>
      </c>
      <c r="C30" s="467"/>
      <c r="D30" s="467"/>
      <c r="E30" s="114"/>
      <c r="F30" s="114" t="s">
        <v>1180</v>
      </c>
      <c r="G30" s="114" t="s">
        <v>68</v>
      </c>
      <c r="H30" s="114" t="s">
        <v>702</v>
      </c>
      <c r="I30" s="114"/>
      <c r="J30" s="100">
        <f>83/ATHENS!O1*ATHENS!O2</f>
        <v>150.90909090909091</v>
      </c>
      <c r="K30" s="100">
        <f>102/ATHENS!O1*ATHENS!O2</f>
        <v>185.45454545454544</v>
      </c>
      <c r="L30" s="100"/>
      <c r="M30" s="126"/>
      <c r="N30" s="126"/>
    </row>
    <row r="31" spans="1:14" x14ac:dyDescent="0.2">
      <c r="A31" s="116"/>
      <c r="B31" s="461" t="s">
        <v>67</v>
      </c>
      <c r="C31" s="461"/>
      <c r="D31" s="461"/>
      <c r="E31" s="120"/>
      <c r="F31" s="120" t="s">
        <v>1181</v>
      </c>
      <c r="G31" s="120" t="s">
        <v>68</v>
      </c>
      <c r="H31" s="120" t="s">
        <v>702</v>
      </c>
      <c r="I31" s="120"/>
      <c r="J31" s="100">
        <f>45.5/ATHENS!O1*ATHENS!O2</f>
        <v>82.72727272727272</v>
      </c>
      <c r="K31" s="100">
        <f>55.5/ATHENS!O1*ATHENS!O2</f>
        <v>100.90909090909091</v>
      </c>
      <c r="L31" s="100"/>
      <c r="M31" s="100"/>
      <c r="N31" s="100"/>
    </row>
    <row r="32" spans="1:14" x14ac:dyDescent="0.2">
      <c r="A32" s="116"/>
      <c r="B32" s="461" t="s">
        <v>67</v>
      </c>
      <c r="C32" s="461"/>
      <c r="D32" s="461"/>
      <c r="E32" s="120"/>
      <c r="F32" s="120" t="s">
        <v>1182</v>
      </c>
      <c r="G32" s="120" t="s">
        <v>68</v>
      </c>
      <c r="H32" s="120" t="s">
        <v>702</v>
      </c>
      <c r="I32" s="120"/>
      <c r="J32" s="100">
        <f>36.66/ATHENS!O1*ATHENS!O2</f>
        <v>66.654545454545442</v>
      </c>
      <c r="K32" s="100">
        <f>43.5/ATHENS!O1*ATHENS!O2</f>
        <v>79.090909090909079</v>
      </c>
      <c r="L32" s="100"/>
      <c r="M32" s="100"/>
      <c r="N32" s="100"/>
    </row>
    <row r="33" spans="1:14" ht="13.5" thickBot="1" x14ac:dyDescent="0.25">
      <c r="A33" s="121"/>
      <c r="B33" s="142"/>
      <c r="C33" s="142"/>
      <c r="D33" s="142"/>
      <c r="E33" s="142"/>
      <c r="F33" s="142"/>
      <c r="G33" s="142"/>
      <c r="H33" s="145"/>
      <c r="I33" s="123"/>
      <c r="J33" s="105"/>
      <c r="K33" s="105"/>
      <c r="L33" s="105"/>
      <c r="M33" s="105"/>
      <c r="N33" s="105"/>
    </row>
    <row r="34" spans="1:14" ht="13.5" thickBot="1" x14ac:dyDescent="0.25">
      <c r="A34" s="239"/>
      <c r="B34" s="363"/>
      <c r="C34" s="363"/>
      <c r="D34" s="363"/>
      <c r="E34" s="363"/>
      <c r="F34" s="363"/>
      <c r="G34" s="363"/>
      <c r="H34" s="364"/>
      <c r="I34" s="120"/>
      <c r="J34" s="120"/>
      <c r="K34" s="120"/>
      <c r="L34" s="120"/>
      <c r="M34" s="120"/>
      <c r="N34" s="120"/>
    </row>
    <row r="35" spans="1:14" x14ac:dyDescent="0.2">
      <c r="A35" s="112"/>
      <c r="B35" s="113"/>
      <c r="C35" s="113"/>
      <c r="D35" s="113"/>
      <c r="E35" s="114"/>
      <c r="F35" s="114"/>
      <c r="G35" s="114"/>
      <c r="H35" s="114"/>
      <c r="I35" s="114"/>
      <c r="J35" s="114"/>
      <c r="K35" s="114"/>
      <c r="L35" s="114"/>
      <c r="M35" s="114"/>
      <c r="N35" s="115"/>
    </row>
    <row r="36" spans="1:14" ht="15" x14ac:dyDescent="0.2">
      <c r="A36" s="116"/>
      <c r="B36" s="462" t="s">
        <v>926</v>
      </c>
      <c r="C36" s="463"/>
      <c r="D36" s="463"/>
      <c r="E36" s="463"/>
      <c r="F36" s="463"/>
      <c r="G36" s="463"/>
      <c r="H36" s="463"/>
      <c r="I36" s="463"/>
      <c r="J36" s="463"/>
      <c r="K36" s="463"/>
      <c r="L36" s="463"/>
      <c r="M36" s="464"/>
      <c r="N36" s="117" t="s">
        <v>96</v>
      </c>
    </row>
    <row r="37" spans="1:14" x14ac:dyDescent="0.2">
      <c r="A37" s="116"/>
      <c r="B37" s="118" t="s">
        <v>428</v>
      </c>
      <c r="C37" s="119" t="s">
        <v>1253</v>
      </c>
      <c r="D37" s="119"/>
      <c r="E37" s="120"/>
      <c r="F37" s="120"/>
      <c r="G37" s="120"/>
      <c r="H37" s="120"/>
      <c r="I37" s="120"/>
      <c r="J37" s="120"/>
      <c r="K37" s="120"/>
      <c r="L37" s="120"/>
      <c r="M37" s="120"/>
      <c r="N37" s="101"/>
    </row>
    <row r="38" spans="1:14" x14ac:dyDescent="0.2">
      <c r="A38" s="116"/>
      <c r="B38" s="118" t="s">
        <v>429</v>
      </c>
      <c r="C38" s="119" t="s">
        <v>1294</v>
      </c>
      <c r="D38" s="119"/>
      <c r="E38" s="120"/>
      <c r="F38" s="120"/>
      <c r="G38" s="120"/>
      <c r="H38" s="120"/>
      <c r="I38" s="120"/>
      <c r="J38" s="120"/>
      <c r="K38" s="120"/>
      <c r="L38" s="120"/>
      <c r="M38" s="120"/>
      <c r="N38" s="101"/>
    </row>
    <row r="39" spans="1:14" x14ac:dyDescent="0.2">
      <c r="A39" s="116"/>
      <c r="B39" s="118" t="s">
        <v>427</v>
      </c>
      <c r="C39" s="465" t="s">
        <v>1254</v>
      </c>
      <c r="D39" s="465"/>
      <c r="E39" s="465"/>
      <c r="F39" s="465"/>
      <c r="G39" s="465"/>
      <c r="H39" s="465"/>
      <c r="I39" s="465"/>
      <c r="J39" s="465"/>
      <c r="K39" s="465"/>
      <c r="L39" s="465"/>
      <c r="M39" s="465"/>
      <c r="N39" s="466"/>
    </row>
    <row r="40" spans="1:14" x14ac:dyDescent="0.2">
      <c r="A40" s="116"/>
      <c r="B40" s="109"/>
      <c r="C40" s="465"/>
      <c r="D40" s="465"/>
      <c r="E40" s="465"/>
      <c r="F40" s="465"/>
      <c r="G40" s="465"/>
      <c r="H40" s="465"/>
      <c r="I40" s="465"/>
      <c r="J40" s="465"/>
      <c r="K40" s="465"/>
      <c r="L40" s="465"/>
      <c r="M40" s="465"/>
      <c r="N40" s="466"/>
    </row>
    <row r="41" spans="1:14" x14ac:dyDescent="0.2">
      <c r="A41" s="116"/>
      <c r="B41" s="118" t="s">
        <v>426</v>
      </c>
      <c r="C41" s="119"/>
      <c r="D41" s="119"/>
      <c r="E41" s="120"/>
      <c r="F41" s="120"/>
      <c r="G41" s="120"/>
      <c r="H41" s="120"/>
      <c r="I41" s="120"/>
      <c r="J41" s="120"/>
      <c r="K41" s="120"/>
      <c r="L41" s="120"/>
      <c r="M41" s="120"/>
      <c r="N41" s="101"/>
    </row>
    <row r="42" spans="1:14" ht="13.5" thickBot="1" x14ac:dyDescent="0.25">
      <c r="A42" s="121"/>
      <c r="B42" s="118" t="s">
        <v>430</v>
      </c>
      <c r="C42" s="122"/>
      <c r="D42" s="122"/>
      <c r="E42" s="123"/>
      <c r="F42" s="123"/>
      <c r="G42" s="123"/>
      <c r="H42" s="123"/>
      <c r="I42" s="123"/>
      <c r="J42" s="123"/>
      <c r="K42" s="123"/>
      <c r="L42" s="123"/>
      <c r="M42" s="123"/>
      <c r="N42" s="104"/>
    </row>
    <row r="43" spans="1:14" ht="13.5" thickBot="1" x14ac:dyDescent="0.25">
      <c r="A43" s="112"/>
      <c r="B43" s="113" t="s">
        <v>263</v>
      </c>
      <c r="C43" s="113"/>
      <c r="D43" s="113"/>
      <c r="E43" s="114"/>
      <c r="F43" s="114"/>
      <c r="G43" s="114"/>
      <c r="H43" s="114"/>
      <c r="I43" s="114"/>
      <c r="J43" s="127" t="s">
        <v>229</v>
      </c>
      <c r="K43" s="126"/>
      <c r="L43" s="126"/>
      <c r="M43" s="126"/>
      <c r="N43" s="126"/>
    </row>
    <row r="44" spans="1:14" x14ac:dyDescent="0.2">
      <c r="A44" s="112"/>
      <c r="B44" s="467" t="s">
        <v>67</v>
      </c>
      <c r="C44" s="467"/>
      <c r="D44" s="467"/>
      <c r="E44" s="114"/>
      <c r="F44" s="114" t="s">
        <v>1180</v>
      </c>
      <c r="G44" s="114" t="s">
        <v>68</v>
      </c>
      <c r="H44" s="114" t="s">
        <v>702</v>
      </c>
      <c r="I44" s="114"/>
      <c r="J44" s="100">
        <f>80/ATHENS!O1*ATHENS!O2</f>
        <v>145.45454545454544</v>
      </c>
      <c r="K44" s="100"/>
      <c r="L44" s="100"/>
      <c r="M44" s="126"/>
      <c r="N44" s="126"/>
    </row>
    <row r="45" spans="1:14" x14ac:dyDescent="0.2">
      <c r="A45" s="116"/>
      <c r="B45" s="461" t="s">
        <v>67</v>
      </c>
      <c r="C45" s="461"/>
      <c r="D45" s="461"/>
      <c r="E45" s="120"/>
      <c r="F45" s="120" t="s">
        <v>1181</v>
      </c>
      <c r="G45" s="120" t="s">
        <v>68</v>
      </c>
      <c r="H45" s="120" t="s">
        <v>702</v>
      </c>
      <c r="I45" s="120"/>
      <c r="J45" s="100">
        <f>50/ATHENS!O1*ATHENS!O2</f>
        <v>90.909090909090907</v>
      </c>
      <c r="K45" s="100"/>
      <c r="L45" s="100"/>
      <c r="M45" s="100"/>
      <c r="N45" s="100"/>
    </row>
    <row r="46" spans="1:14" ht="13.5" thickBot="1" x14ac:dyDescent="0.25">
      <c r="A46" s="121"/>
      <c r="B46" s="122" t="s">
        <v>67</v>
      </c>
      <c r="C46" s="122"/>
      <c r="D46" s="122"/>
      <c r="E46" s="123"/>
      <c r="F46" s="123" t="s">
        <v>1182</v>
      </c>
      <c r="G46" s="123" t="s">
        <v>68</v>
      </c>
      <c r="H46" s="123" t="s">
        <v>702</v>
      </c>
      <c r="I46" s="123"/>
      <c r="J46" s="105">
        <f>36.6/ATHENS!O1*ATHENS!O2</f>
        <v>66.545454545454547</v>
      </c>
      <c r="K46" s="105"/>
      <c r="L46" s="105"/>
      <c r="M46" s="105"/>
      <c r="N46" s="105"/>
    </row>
    <row r="48" spans="1:14" ht="13.5" thickBot="1" x14ac:dyDescent="0.25"/>
    <row r="49" spans="1:14" x14ac:dyDescent="0.2">
      <c r="A49" s="112"/>
      <c r="B49" s="113"/>
      <c r="C49" s="113"/>
      <c r="D49" s="113"/>
      <c r="E49" s="114"/>
      <c r="F49" s="114"/>
      <c r="G49" s="114"/>
      <c r="H49" s="114"/>
      <c r="I49" s="114"/>
      <c r="J49" s="114"/>
      <c r="K49" s="114"/>
      <c r="L49" s="114"/>
      <c r="M49" s="114"/>
      <c r="N49" s="115"/>
    </row>
    <row r="50" spans="1:14" ht="15" x14ac:dyDescent="0.2">
      <c r="A50" s="116"/>
      <c r="B50" s="462" t="s">
        <v>1255</v>
      </c>
      <c r="C50" s="463"/>
      <c r="D50" s="463"/>
      <c r="E50" s="463"/>
      <c r="F50" s="463"/>
      <c r="G50" s="463"/>
      <c r="H50" s="463"/>
      <c r="I50" s="463"/>
      <c r="J50" s="463"/>
      <c r="K50" s="463"/>
      <c r="L50" s="463"/>
      <c r="M50" s="464"/>
      <c r="N50" s="117" t="s">
        <v>96</v>
      </c>
    </row>
    <row r="51" spans="1:14" x14ac:dyDescent="0.2">
      <c r="A51" s="116"/>
      <c r="B51" s="118" t="s">
        <v>428</v>
      </c>
      <c r="C51" s="119" t="s">
        <v>1256</v>
      </c>
      <c r="D51" s="119"/>
      <c r="E51" s="120"/>
      <c r="F51" s="120"/>
      <c r="G51" s="120"/>
      <c r="H51" s="120"/>
      <c r="I51" s="120"/>
      <c r="J51" s="120"/>
      <c r="K51" s="120"/>
      <c r="L51" s="120"/>
      <c r="M51" s="120"/>
      <c r="N51" s="101"/>
    </row>
    <row r="52" spans="1:14" x14ac:dyDescent="0.2">
      <c r="A52" s="116"/>
      <c r="B52" s="118" t="s">
        <v>429</v>
      </c>
      <c r="C52" s="119" t="s">
        <v>1295</v>
      </c>
      <c r="D52" s="119"/>
      <c r="E52" s="120"/>
      <c r="F52" s="120"/>
      <c r="G52" s="120"/>
      <c r="H52" s="120"/>
      <c r="I52" s="120"/>
      <c r="J52" s="120"/>
      <c r="K52" s="120"/>
      <c r="L52" s="120"/>
      <c r="M52" s="120"/>
      <c r="N52" s="101"/>
    </row>
    <row r="53" spans="1:14" x14ac:dyDescent="0.2">
      <c r="A53" s="116"/>
      <c r="B53" s="118" t="s">
        <v>427</v>
      </c>
      <c r="C53" s="465" t="s">
        <v>1257</v>
      </c>
      <c r="D53" s="465"/>
      <c r="E53" s="465"/>
      <c r="F53" s="465"/>
      <c r="G53" s="465"/>
      <c r="H53" s="465"/>
      <c r="I53" s="465"/>
      <c r="J53" s="465"/>
      <c r="K53" s="465"/>
      <c r="L53" s="465"/>
      <c r="M53" s="465"/>
      <c r="N53" s="466"/>
    </row>
    <row r="54" spans="1:14" x14ac:dyDescent="0.2">
      <c r="A54" s="116"/>
      <c r="B54" s="109"/>
      <c r="C54" s="465"/>
      <c r="D54" s="465"/>
      <c r="E54" s="465"/>
      <c r="F54" s="465"/>
      <c r="G54" s="465"/>
      <c r="H54" s="465"/>
      <c r="I54" s="465"/>
      <c r="J54" s="465"/>
      <c r="K54" s="465"/>
      <c r="L54" s="465"/>
      <c r="M54" s="465"/>
      <c r="N54" s="466"/>
    </row>
    <row r="55" spans="1:14" x14ac:dyDescent="0.2">
      <c r="A55" s="116"/>
      <c r="B55" s="118" t="s">
        <v>426</v>
      </c>
      <c r="C55" s="119"/>
      <c r="D55" s="119"/>
      <c r="E55" s="120"/>
      <c r="F55" s="120"/>
      <c r="G55" s="120"/>
      <c r="H55" s="120"/>
      <c r="I55" s="120"/>
      <c r="J55" s="120"/>
      <c r="K55" s="120"/>
      <c r="L55" s="120"/>
      <c r="M55" s="120"/>
      <c r="N55" s="101"/>
    </row>
    <row r="56" spans="1:14" ht="13.5" thickBot="1" x14ac:dyDescent="0.25">
      <c r="A56" s="121"/>
      <c r="B56" s="118" t="s">
        <v>430</v>
      </c>
      <c r="C56" s="122"/>
      <c r="D56" s="122"/>
      <c r="E56" s="123"/>
      <c r="F56" s="123"/>
      <c r="G56" s="123"/>
      <c r="H56" s="123"/>
      <c r="I56" s="123"/>
      <c r="J56" s="123"/>
      <c r="K56" s="123"/>
      <c r="L56" s="123"/>
      <c r="M56" s="123"/>
      <c r="N56" s="104"/>
    </row>
    <row r="57" spans="1:14" x14ac:dyDescent="0.2">
      <c r="A57" s="116"/>
      <c r="B57" s="113" t="s">
        <v>263</v>
      </c>
      <c r="C57" s="119"/>
      <c r="D57" s="119"/>
      <c r="E57" s="120"/>
      <c r="F57" s="120"/>
      <c r="G57" s="120"/>
      <c r="H57" s="120"/>
      <c r="I57" s="120"/>
      <c r="J57" s="124"/>
      <c r="K57" s="100" t="s">
        <v>1821</v>
      </c>
      <c r="L57" s="100"/>
      <c r="M57" s="100"/>
      <c r="N57" s="100"/>
    </row>
    <row r="58" spans="1:14" ht="13.5" thickBot="1" x14ac:dyDescent="0.25">
      <c r="A58" s="121"/>
      <c r="B58" s="122"/>
      <c r="C58" s="122"/>
      <c r="D58" s="122"/>
      <c r="E58" s="123"/>
      <c r="F58" s="123"/>
      <c r="G58" s="123"/>
      <c r="H58" s="123"/>
      <c r="I58" s="123"/>
      <c r="J58" s="125" t="s">
        <v>907</v>
      </c>
      <c r="K58" s="105" t="s">
        <v>1823</v>
      </c>
      <c r="L58" s="105" t="s">
        <v>1822</v>
      </c>
      <c r="M58" s="105"/>
      <c r="N58" s="105"/>
    </row>
    <row r="59" spans="1:14" x14ac:dyDescent="0.2">
      <c r="A59" s="112"/>
      <c r="B59" s="467" t="s">
        <v>67</v>
      </c>
      <c r="C59" s="467"/>
      <c r="D59" s="467"/>
      <c r="E59" s="114"/>
      <c r="F59" s="114" t="s">
        <v>1180</v>
      </c>
      <c r="G59" s="114" t="s">
        <v>68</v>
      </c>
      <c r="H59" s="114" t="s">
        <v>702</v>
      </c>
      <c r="I59" s="114"/>
      <c r="J59" s="100">
        <f>41/ATHENS!O1*ATHENS!O2</f>
        <v>74.545454545454533</v>
      </c>
      <c r="K59" s="100">
        <f>47.5/ATHENS!O1*ATHENS!O2</f>
        <v>86.36363636363636</v>
      </c>
      <c r="L59" s="100">
        <f>54.5/ATHENS!O1*ATHENS!O2</f>
        <v>99.090909090909079</v>
      </c>
      <c r="M59" s="126"/>
      <c r="N59" s="126"/>
    </row>
    <row r="60" spans="1:14" x14ac:dyDescent="0.2">
      <c r="A60" s="116"/>
      <c r="B60" s="461" t="s">
        <v>67</v>
      </c>
      <c r="C60" s="461"/>
      <c r="D60" s="461"/>
      <c r="E60" s="120"/>
      <c r="F60" s="120" t="s">
        <v>1181</v>
      </c>
      <c r="G60" s="120" t="s">
        <v>68</v>
      </c>
      <c r="H60" s="120" t="s">
        <v>702</v>
      </c>
      <c r="I60" s="120"/>
      <c r="J60" s="100">
        <f>21.6/ATHENS!O1*ATHENS!O2</f>
        <v>39.272727272727273</v>
      </c>
      <c r="K60" s="100">
        <f>26.5/ATHENS!O1*ATHENS!O2</f>
        <v>48.18181818181818</v>
      </c>
      <c r="L60" s="100">
        <f>30/ATHENS!O1*ATHENS!O2</f>
        <v>54.54545454545454</v>
      </c>
      <c r="M60" s="100"/>
      <c r="N60" s="100"/>
    </row>
    <row r="61" spans="1:14" x14ac:dyDescent="0.2">
      <c r="A61" s="116"/>
      <c r="B61" s="461" t="s">
        <v>67</v>
      </c>
      <c r="C61" s="461"/>
      <c r="D61" s="461"/>
      <c r="E61" s="120"/>
      <c r="F61" s="120" t="s">
        <v>1182</v>
      </c>
      <c r="G61" s="120" t="s">
        <v>68</v>
      </c>
      <c r="H61" s="120" t="s">
        <v>702</v>
      </c>
      <c r="I61" s="120"/>
      <c r="J61" s="100">
        <f>17.5/ATHENS!O1*ATHENS!O2</f>
        <v>31.818181818181817</v>
      </c>
      <c r="K61" s="100">
        <f>20.6/ATHENS!O1*ATHENS!O2</f>
        <v>37.454545454545453</v>
      </c>
      <c r="L61" s="100">
        <f>23.5/ATHENS!O1*ATHENS!O2</f>
        <v>42.727272727272727</v>
      </c>
      <c r="M61" s="100"/>
      <c r="N61" s="100"/>
    </row>
    <row r="62" spans="1:14" ht="13.5" thickBot="1" x14ac:dyDescent="0.25">
      <c r="A62" s="121"/>
      <c r="B62" s="460" t="s">
        <v>1824</v>
      </c>
      <c r="C62" s="460"/>
      <c r="D62" s="460"/>
      <c r="E62" s="123"/>
      <c r="F62" s="123"/>
      <c r="G62" s="123"/>
      <c r="H62" s="123" t="s">
        <v>1184</v>
      </c>
      <c r="I62" s="123"/>
      <c r="J62" s="105">
        <f>8.8/ATHENS!O1*ATHENS!O2</f>
        <v>16</v>
      </c>
      <c r="K62" s="105">
        <f>8.8/ATHENS!O1*ATHENS!O2</f>
        <v>16</v>
      </c>
      <c r="L62" s="105">
        <f>9/ATHENS!O1*ATHENS!O2</f>
        <v>16.363636363636363</v>
      </c>
      <c r="M62" s="105"/>
      <c r="N62" s="105"/>
    </row>
    <row r="63" spans="1:14" ht="13.5" thickBot="1" x14ac:dyDescent="0.25">
      <c r="A63" s="108"/>
      <c r="B63" s="138"/>
      <c r="C63" s="138"/>
      <c r="D63" s="138"/>
      <c r="E63" s="139"/>
      <c r="F63" s="139"/>
      <c r="G63" s="139"/>
      <c r="H63" s="139"/>
      <c r="I63" s="139"/>
      <c r="J63" s="139"/>
      <c r="K63" s="139"/>
      <c r="L63" s="139"/>
      <c r="M63" s="139"/>
      <c r="N63" s="139"/>
    </row>
    <row r="64" spans="1:14" x14ac:dyDescent="0.2">
      <c r="A64" s="112"/>
      <c r="B64" s="113"/>
      <c r="C64" s="113"/>
      <c r="D64" s="113"/>
      <c r="E64" s="114"/>
      <c r="F64" s="114"/>
      <c r="G64" s="114"/>
      <c r="H64" s="114"/>
      <c r="I64" s="114"/>
      <c r="J64" s="114"/>
      <c r="K64" s="114"/>
      <c r="L64" s="114"/>
      <c r="M64" s="114"/>
      <c r="N64" s="115"/>
    </row>
    <row r="65" spans="1:14" ht="15" x14ac:dyDescent="0.2">
      <c r="A65" s="116"/>
      <c r="B65" s="462" t="s">
        <v>1258</v>
      </c>
      <c r="C65" s="463"/>
      <c r="D65" s="463"/>
      <c r="E65" s="463"/>
      <c r="F65" s="463"/>
      <c r="G65" s="463"/>
      <c r="H65" s="463"/>
      <c r="I65" s="463"/>
      <c r="J65" s="463"/>
      <c r="K65" s="463"/>
      <c r="L65" s="463"/>
      <c r="M65" s="464"/>
      <c r="N65" s="117" t="s">
        <v>664</v>
      </c>
    </row>
    <row r="66" spans="1:14" x14ac:dyDescent="0.2">
      <c r="A66" s="116"/>
      <c r="B66" s="118" t="s">
        <v>428</v>
      </c>
      <c r="C66" s="119" t="s">
        <v>1259</v>
      </c>
      <c r="D66" s="119"/>
      <c r="E66" s="120"/>
      <c r="F66" s="120"/>
      <c r="G66" s="120"/>
      <c r="H66" s="120"/>
      <c r="I66" s="120"/>
      <c r="J66" s="120"/>
      <c r="K66" s="120"/>
      <c r="L66" s="120"/>
      <c r="M66" s="120"/>
      <c r="N66" s="101"/>
    </row>
    <row r="67" spans="1:14" x14ac:dyDescent="0.2">
      <c r="A67" s="116"/>
      <c r="B67" s="118" t="s">
        <v>429</v>
      </c>
      <c r="C67" s="119" t="s">
        <v>1296</v>
      </c>
      <c r="D67" s="119"/>
      <c r="E67" s="120"/>
      <c r="F67" s="120"/>
      <c r="G67" s="120"/>
      <c r="H67" s="120"/>
      <c r="I67" s="120"/>
      <c r="J67" s="120"/>
      <c r="K67" s="120"/>
      <c r="L67" s="120"/>
      <c r="M67" s="120"/>
      <c r="N67" s="101"/>
    </row>
    <row r="68" spans="1:14" x14ac:dyDescent="0.2">
      <c r="A68" s="116"/>
      <c r="B68" s="118" t="s">
        <v>427</v>
      </c>
      <c r="C68" s="465" t="s">
        <v>1260</v>
      </c>
      <c r="D68" s="465"/>
      <c r="E68" s="465"/>
      <c r="F68" s="465"/>
      <c r="G68" s="465"/>
      <c r="H68" s="465"/>
      <c r="I68" s="465"/>
      <c r="J68" s="465"/>
      <c r="K68" s="465"/>
      <c r="L68" s="465"/>
      <c r="M68" s="465"/>
      <c r="N68" s="466"/>
    </row>
    <row r="69" spans="1:14" x14ac:dyDescent="0.2">
      <c r="A69" s="116"/>
      <c r="B69" s="118"/>
      <c r="C69" s="465"/>
      <c r="D69" s="465"/>
      <c r="E69" s="465"/>
      <c r="F69" s="465"/>
      <c r="G69" s="465"/>
      <c r="H69" s="465"/>
      <c r="I69" s="465"/>
      <c r="J69" s="465"/>
      <c r="K69" s="465"/>
      <c r="L69" s="465"/>
      <c r="M69" s="465"/>
      <c r="N69" s="466"/>
    </row>
    <row r="70" spans="1:14" x14ac:dyDescent="0.2">
      <c r="A70" s="116"/>
      <c r="B70" s="109"/>
      <c r="C70" s="465"/>
      <c r="D70" s="465"/>
      <c r="E70" s="465"/>
      <c r="F70" s="465"/>
      <c r="G70" s="465"/>
      <c r="H70" s="465"/>
      <c r="I70" s="465"/>
      <c r="J70" s="465"/>
      <c r="K70" s="465"/>
      <c r="L70" s="465"/>
      <c r="M70" s="465"/>
      <c r="N70" s="466"/>
    </row>
    <row r="71" spans="1:14" x14ac:dyDescent="0.2">
      <c r="A71" s="116"/>
      <c r="B71" s="118" t="s">
        <v>426</v>
      </c>
      <c r="C71" s="119"/>
      <c r="D71" s="119"/>
      <c r="E71" s="120"/>
      <c r="F71" s="120"/>
      <c r="G71" s="120"/>
      <c r="H71" s="120"/>
      <c r="I71" s="120"/>
      <c r="J71" s="120"/>
      <c r="K71" s="120"/>
      <c r="L71" s="120"/>
      <c r="M71" s="120"/>
      <c r="N71" s="101"/>
    </row>
    <row r="72" spans="1:14" ht="13.5" thickBot="1" x14ac:dyDescent="0.25">
      <c r="A72" s="121"/>
      <c r="B72" s="118" t="s">
        <v>430</v>
      </c>
      <c r="C72" s="122"/>
      <c r="D72" s="122"/>
      <c r="E72" s="123"/>
      <c r="F72" s="123"/>
      <c r="G72" s="123"/>
      <c r="H72" s="123"/>
      <c r="I72" s="123"/>
      <c r="J72" s="123"/>
      <c r="K72" s="123"/>
      <c r="L72" s="123"/>
      <c r="M72" s="123"/>
      <c r="N72" s="104"/>
    </row>
    <row r="73" spans="1:14" x14ac:dyDescent="0.2">
      <c r="A73" s="116"/>
      <c r="B73" s="113" t="s">
        <v>263</v>
      </c>
      <c r="C73" s="119"/>
      <c r="D73" s="119"/>
      <c r="E73" s="120"/>
      <c r="F73" s="120"/>
      <c r="G73" s="120"/>
      <c r="H73" s="120"/>
      <c r="I73" s="120"/>
      <c r="J73" s="124"/>
      <c r="K73" s="100" t="s">
        <v>1821</v>
      </c>
      <c r="L73" s="100"/>
      <c r="M73" s="100"/>
      <c r="N73" s="100"/>
    </row>
    <row r="74" spans="1:14" ht="13.5" thickBot="1" x14ac:dyDescent="0.25">
      <c r="A74" s="121"/>
      <c r="B74" s="122"/>
      <c r="C74" s="122"/>
      <c r="D74" s="122"/>
      <c r="E74" s="123"/>
      <c r="F74" s="123"/>
      <c r="G74" s="123"/>
      <c r="H74" s="123"/>
      <c r="I74" s="123"/>
      <c r="J74" s="125" t="s">
        <v>907</v>
      </c>
      <c r="K74" s="105" t="s">
        <v>1823</v>
      </c>
      <c r="L74" s="105" t="s">
        <v>1822</v>
      </c>
      <c r="M74" s="105"/>
      <c r="N74" s="105"/>
    </row>
    <row r="75" spans="1:14" x14ac:dyDescent="0.2">
      <c r="A75" s="112"/>
      <c r="B75" s="467" t="s">
        <v>67</v>
      </c>
      <c r="C75" s="467"/>
      <c r="D75" s="467"/>
      <c r="E75" s="114"/>
      <c r="F75" s="114" t="s">
        <v>1180</v>
      </c>
      <c r="G75" s="114" t="s">
        <v>68</v>
      </c>
      <c r="H75" s="114" t="s">
        <v>702</v>
      </c>
      <c r="I75" s="114"/>
      <c r="J75" s="100">
        <f>37/ATHENS!O1*ATHENS!O2</f>
        <v>67.272727272727266</v>
      </c>
      <c r="K75" s="100">
        <f>44/ATHENS!O1*ATHENS!O2</f>
        <v>80</v>
      </c>
      <c r="L75" s="100">
        <f>49/ATHENS!O1*ATHENS!O2</f>
        <v>89.090909090909079</v>
      </c>
      <c r="M75" s="126"/>
      <c r="N75" s="126"/>
    </row>
    <row r="76" spans="1:14" x14ac:dyDescent="0.2">
      <c r="A76" s="116"/>
      <c r="B76" s="461" t="s">
        <v>67</v>
      </c>
      <c r="C76" s="461"/>
      <c r="D76" s="461"/>
      <c r="E76" s="120"/>
      <c r="F76" s="120" t="s">
        <v>1181</v>
      </c>
      <c r="G76" s="120" t="s">
        <v>68</v>
      </c>
      <c r="H76" s="120" t="s">
        <v>702</v>
      </c>
      <c r="I76" s="120"/>
      <c r="J76" s="100">
        <f>20/ATHENS!O1*ATHENS!O2</f>
        <v>36.36363636363636</v>
      </c>
      <c r="K76" s="100">
        <f>23.8/ATHENS!O1*ATHENS!O2</f>
        <v>43.272727272727273</v>
      </c>
      <c r="L76" s="100">
        <f>28/ATHENS!O1*ATHENS!O2</f>
        <v>50.909090909090907</v>
      </c>
      <c r="M76" s="100"/>
      <c r="N76" s="100"/>
    </row>
    <row r="77" spans="1:14" x14ac:dyDescent="0.2">
      <c r="A77" s="116"/>
      <c r="B77" s="461" t="s">
        <v>67</v>
      </c>
      <c r="C77" s="461"/>
      <c r="D77" s="461"/>
      <c r="E77" s="120"/>
      <c r="F77" s="120" t="s">
        <v>1182</v>
      </c>
      <c r="G77" s="120" t="s">
        <v>68</v>
      </c>
      <c r="H77" s="120" t="s">
        <v>702</v>
      </c>
      <c r="I77" s="120"/>
      <c r="J77" s="100">
        <f>16/ATHENS!O1*ATHENS!O2</f>
        <v>29.09090909090909</v>
      </c>
      <c r="K77" s="100">
        <f>19.66/ATHENS!O1*ATHENS!O2</f>
        <v>35.745454545454542</v>
      </c>
      <c r="L77" s="100">
        <f>22.6/ATHENS!O1*ATHENS!O2</f>
        <v>41.090909090909093</v>
      </c>
      <c r="M77" s="100"/>
      <c r="N77" s="100"/>
    </row>
    <row r="78" spans="1:14" ht="13.5" thickBot="1" x14ac:dyDescent="0.25">
      <c r="A78" s="121"/>
      <c r="B78" s="460" t="s">
        <v>1824</v>
      </c>
      <c r="C78" s="460"/>
      <c r="D78" s="460"/>
      <c r="E78" s="123"/>
      <c r="F78" s="123"/>
      <c r="G78" s="123"/>
      <c r="H78" s="123" t="s">
        <v>1184</v>
      </c>
      <c r="I78" s="123"/>
      <c r="J78" s="105">
        <f>8.8/ATHENS!O1*ATHENS!O2</f>
        <v>16</v>
      </c>
      <c r="K78" s="105">
        <f>8.8/ATHENS!O1*ATHENS!O2</f>
        <v>16</v>
      </c>
      <c r="L78" s="105">
        <f>9/ATHENS!O1*ATHENS!O2</f>
        <v>16.363636363636363</v>
      </c>
      <c r="M78" s="105"/>
      <c r="N78" s="105"/>
    </row>
    <row r="79" spans="1:14" ht="13.5" thickBot="1" x14ac:dyDescent="0.25">
      <c r="A79" s="239"/>
      <c r="B79" s="119"/>
      <c r="C79" s="119"/>
      <c r="D79" s="119"/>
      <c r="E79" s="120"/>
      <c r="F79" s="120"/>
      <c r="G79" s="120"/>
      <c r="H79" s="120"/>
      <c r="I79" s="120"/>
      <c r="J79" s="120"/>
      <c r="K79" s="120"/>
      <c r="L79" s="120"/>
      <c r="M79" s="120"/>
      <c r="N79" s="120"/>
    </row>
    <row r="80" spans="1:14" x14ac:dyDescent="0.2">
      <c r="A80" s="112"/>
      <c r="B80" s="113"/>
      <c r="C80" s="113"/>
      <c r="D80" s="113"/>
      <c r="E80" s="114"/>
      <c r="F80" s="114"/>
      <c r="G80" s="114"/>
      <c r="H80" s="114"/>
      <c r="I80" s="114"/>
      <c r="J80" s="114"/>
      <c r="K80" s="114"/>
      <c r="L80" s="114"/>
      <c r="M80" s="114"/>
      <c r="N80" s="115"/>
    </row>
    <row r="81" spans="1:14" ht="15" x14ac:dyDescent="0.2">
      <c r="A81" s="116"/>
      <c r="B81" s="462" t="s">
        <v>1261</v>
      </c>
      <c r="C81" s="463"/>
      <c r="D81" s="463"/>
      <c r="E81" s="463"/>
      <c r="F81" s="463"/>
      <c r="G81" s="463"/>
      <c r="H81" s="463"/>
      <c r="I81" s="463"/>
      <c r="J81" s="463"/>
      <c r="K81" s="463"/>
      <c r="L81" s="463"/>
      <c r="M81" s="464"/>
      <c r="N81" s="117" t="s">
        <v>664</v>
      </c>
    </row>
    <row r="82" spans="1:14" x14ac:dyDescent="0.2">
      <c r="A82" s="116"/>
      <c r="B82" s="118" t="s">
        <v>428</v>
      </c>
      <c r="C82" s="119" t="s">
        <v>474</v>
      </c>
      <c r="D82" s="119"/>
      <c r="E82" s="120"/>
      <c r="F82" s="120"/>
      <c r="G82" s="120"/>
      <c r="H82" s="120"/>
      <c r="I82" s="120"/>
      <c r="J82" s="120"/>
      <c r="K82" s="120"/>
      <c r="L82" s="120"/>
      <c r="M82" s="120"/>
      <c r="N82" s="101"/>
    </row>
    <row r="83" spans="1:14" x14ac:dyDescent="0.2">
      <c r="A83" s="116"/>
      <c r="B83" s="118" t="s">
        <v>429</v>
      </c>
      <c r="C83" s="119" t="s">
        <v>1297</v>
      </c>
      <c r="D83" s="119"/>
      <c r="E83" s="120"/>
      <c r="F83" s="120"/>
      <c r="G83" s="120"/>
      <c r="H83" s="120"/>
      <c r="I83" s="120"/>
      <c r="J83" s="120"/>
      <c r="K83" s="120"/>
      <c r="L83" s="120"/>
      <c r="M83" s="120"/>
      <c r="N83" s="101"/>
    </row>
    <row r="84" spans="1:14" x14ac:dyDescent="0.2">
      <c r="A84" s="116"/>
      <c r="B84" s="118" t="s">
        <v>427</v>
      </c>
      <c r="C84" s="465" t="s">
        <v>475</v>
      </c>
      <c r="D84" s="465"/>
      <c r="E84" s="465"/>
      <c r="F84" s="465"/>
      <c r="G84" s="465"/>
      <c r="H84" s="465"/>
      <c r="I84" s="465"/>
      <c r="J84" s="465"/>
      <c r="K84" s="465"/>
      <c r="L84" s="465"/>
      <c r="M84" s="465"/>
      <c r="N84" s="466"/>
    </row>
    <row r="85" spans="1:14" x14ac:dyDescent="0.2">
      <c r="A85" s="116"/>
      <c r="B85" s="119"/>
      <c r="C85" s="465"/>
      <c r="D85" s="465"/>
      <c r="E85" s="465"/>
      <c r="F85" s="465"/>
      <c r="G85" s="465"/>
      <c r="H85" s="465"/>
      <c r="I85" s="465"/>
      <c r="J85" s="465"/>
      <c r="K85" s="465"/>
      <c r="L85" s="465"/>
      <c r="M85" s="465"/>
      <c r="N85" s="466"/>
    </row>
    <row r="86" spans="1:14" x14ac:dyDescent="0.2">
      <c r="A86" s="116"/>
      <c r="B86" s="118" t="s">
        <v>426</v>
      </c>
      <c r="C86" s="119"/>
      <c r="D86" s="119"/>
      <c r="E86" s="120"/>
      <c r="F86" s="120"/>
      <c r="G86" s="120"/>
      <c r="H86" s="120"/>
      <c r="I86" s="120"/>
      <c r="J86" s="120"/>
      <c r="K86" s="120"/>
      <c r="L86" s="120"/>
      <c r="M86" s="120"/>
      <c r="N86" s="101"/>
    </row>
    <row r="87" spans="1:14" ht="13.5" thickBot="1" x14ac:dyDescent="0.25">
      <c r="A87" s="121"/>
      <c r="B87" s="118" t="s">
        <v>430</v>
      </c>
      <c r="C87" s="122"/>
      <c r="D87" s="122"/>
      <c r="E87" s="123"/>
      <c r="F87" s="123"/>
      <c r="G87" s="123"/>
      <c r="H87" s="123"/>
      <c r="I87" s="123"/>
      <c r="J87" s="123"/>
      <c r="K87" s="123"/>
      <c r="L87" s="123"/>
      <c r="M87" s="123"/>
      <c r="N87" s="104"/>
    </row>
    <row r="88" spans="1:14" x14ac:dyDescent="0.2">
      <c r="A88" s="116"/>
      <c r="B88" s="113" t="s">
        <v>263</v>
      </c>
      <c r="C88" s="119"/>
      <c r="D88" s="119"/>
      <c r="E88" s="120"/>
      <c r="F88" s="120"/>
      <c r="G88" s="120"/>
      <c r="H88" s="120"/>
      <c r="I88" s="120"/>
      <c r="J88" s="124" t="s">
        <v>907</v>
      </c>
      <c r="K88" s="100"/>
      <c r="L88" s="100"/>
      <c r="M88" s="100"/>
      <c r="N88" s="100"/>
    </row>
    <row r="89" spans="1:14" x14ac:dyDescent="0.2">
      <c r="A89" s="116"/>
      <c r="B89" s="119"/>
      <c r="C89" s="119"/>
      <c r="D89" s="119"/>
      <c r="E89" s="120"/>
      <c r="F89" s="120"/>
      <c r="G89" s="120"/>
      <c r="H89" s="120"/>
      <c r="I89" s="120"/>
      <c r="J89" s="124" t="s">
        <v>512</v>
      </c>
      <c r="K89" s="100" t="s">
        <v>611</v>
      </c>
      <c r="L89" s="100"/>
      <c r="M89" s="100"/>
      <c r="N89" s="100"/>
    </row>
    <row r="90" spans="1:14" x14ac:dyDescent="0.2">
      <c r="A90" s="365"/>
      <c r="B90" s="472" t="s">
        <v>67</v>
      </c>
      <c r="C90" s="472"/>
      <c r="D90" s="472"/>
      <c r="E90" s="354"/>
      <c r="F90" s="354" t="s">
        <v>1180</v>
      </c>
      <c r="G90" s="354" t="s">
        <v>68</v>
      </c>
      <c r="H90" s="354" t="s">
        <v>702</v>
      </c>
      <c r="I90" s="354"/>
      <c r="J90" s="355">
        <f>45/ATHENS!O1*ATHENS!O2</f>
        <v>81.818181818181813</v>
      </c>
      <c r="K90" s="355">
        <f>50/ATHENS!O1*ATHENS!O2</f>
        <v>90.909090909090907</v>
      </c>
      <c r="L90" s="355"/>
      <c r="M90" s="355"/>
      <c r="N90" s="356"/>
    </row>
    <row r="91" spans="1:14" x14ac:dyDescent="0.2">
      <c r="A91" s="366"/>
      <c r="B91" s="461" t="s">
        <v>67</v>
      </c>
      <c r="C91" s="461"/>
      <c r="D91" s="461"/>
      <c r="E91" s="120"/>
      <c r="F91" s="120" t="s">
        <v>1181</v>
      </c>
      <c r="G91" s="120" t="s">
        <v>68</v>
      </c>
      <c r="H91" s="120" t="s">
        <v>702</v>
      </c>
      <c r="I91" s="120"/>
      <c r="J91" s="100">
        <f>30/ATHENS!O1*ATHENS!O2</f>
        <v>54.54545454545454</v>
      </c>
      <c r="K91" s="100">
        <f>32.5/ATHENS!O1*ATHENS!O2</f>
        <v>59.090909090909086</v>
      </c>
      <c r="L91" s="100"/>
      <c r="M91" s="100"/>
      <c r="N91" s="357"/>
    </row>
    <row r="92" spans="1:14" x14ac:dyDescent="0.2">
      <c r="A92" s="366"/>
      <c r="B92" s="461" t="s">
        <v>67</v>
      </c>
      <c r="C92" s="461"/>
      <c r="D92" s="461"/>
      <c r="E92" s="120"/>
      <c r="F92" s="120" t="s">
        <v>1182</v>
      </c>
      <c r="G92" s="120" t="s">
        <v>68</v>
      </c>
      <c r="H92" s="120" t="s">
        <v>702</v>
      </c>
      <c r="I92" s="120"/>
      <c r="J92" s="100">
        <f>26.7/ATHENS!O1*ATHENS!O2</f>
        <v>48.54545454545454</v>
      </c>
      <c r="K92" s="100">
        <f>28.5/ATHENS!O1*ATHENS!O2</f>
        <v>51.818181818181813</v>
      </c>
      <c r="L92" s="100"/>
      <c r="M92" s="100"/>
      <c r="N92" s="357"/>
    </row>
    <row r="93" spans="1:14" x14ac:dyDescent="0.2">
      <c r="A93" s="367"/>
      <c r="B93" s="479" t="s">
        <v>67</v>
      </c>
      <c r="C93" s="479"/>
      <c r="D93" s="479"/>
      <c r="E93" s="360"/>
      <c r="F93" s="360" t="s">
        <v>257</v>
      </c>
      <c r="G93" s="360" t="s">
        <v>68</v>
      </c>
      <c r="H93" s="360" t="s">
        <v>702</v>
      </c>
      <c r="I93" s="360"/>
      <c r="J93" s="361">
        <f>25/ATHENS!O1*ATHENS!O2</f>
        <v>45.454545454545453</v>
      </c>
      <c r="K93" s="361">
        <f>26.5/ATHENS!O1*ATHENS!O2</f>
        <v>48.18181818181818</v>
      </c>
      <c r="L93" s="361"/>
      <c r="M93" s="361"/>
      <c r="N93" s="362"/>
    </row>
    <row r="94" spans="1:14" x14ac:dyDescent="0.2">
      <c r="A94" s="239"/>
      <c r="B94" s="119"/>
      <c r="C94" s="119"/>
      <c r="D94" s="119"/>
      <c r="E94" s="120"/>
      <c r="F94" s="120"/>
      <c r="G94" s="120"/>
      <c r="H94" s="120"/>
      <c r="I94" s="120"/>
      <c r="J94" s="120"/>
      <c r="K94" s="120"/>
      <c r="L94" s="120"/>
      <c r="M94" s="120"/>
      <c r="N94" s="120"/>
    </row>
    <row r="95" spans="1:14" x14ac:dyDescent="0.2">
      <c r="A95" s="239"/>
      <c r="B95" s="119"/>
      <c r="C95" s="119"/>
      <c r="D95" s="119"/>
      <c r="E95" s="120"/>
      <c r="F95" s="120"/>
      <c r="G95" s="120"/>
      <c r="H95" s="120"/>
      <c r="I95" s="120"/>
      <c r="J95" s="120"/>
      <c r="K95" s="120"/>
      <c r="L95" s="120"/>
      <c r="M95" s="120"/>
      <c r="N95" s="120"/>
    </row>
    <row r="96" spans="1:14" x14ac:dyDescent="0.2">
      <c r="A96" s="239"/>
      <c r="B96" s="119"/>
      <c r="C96" s="119"/>
      <c r="D96" s="119"/>
      <c r="E96" s="120"/>
      <c r="F96" s="120"/>
      <c r="G96" s="120"/>
      <c r="H96" s="120"/>
      <c r="I96" s="120"/>
      <c r="J96" s="120"/>
      <c r="K96" s="120"/>
      <c r="L96" s="120"/>
      <c r="M96" s="120"/>
      <c r="N96" s="120"/>
    </row>
    <row r="97" spans="1:14" x14ac:dyDescent="0.2">
      <c r="A97" s="108"/>
      <c r="B97" s="138"/>
      <c r="C97" s="138"/>
      <c r="D97" s="138"/>
      <c r="E97" s="139"/>
      <c r="F97" s="139"/>
      <c r="G97" s="139"/>
      <c r="H97" s="139"/>
      <c r="I97" s="139"/>
      <c r="J97" s="139"/>
      <c r="K97" s="139"/>
      <c r="L97" s="139"/>
      <c r="M97" s="139"/>
      <c r="N97" s="139"/>
    </row>
    <row r="112" spans="1:14" x14ac:dyDescent="0.2">
      <c r="A112" s="108"/>
      <c r="B112" s="109"/>
      <c r="C112" s="109"/>
      <c r="D112" s="109"/>
      <c r="E112" s="110"/>
      <c r="F112" s="110"/>
      <c r="G112" s="110"/>
      <c r="H112" s="110"/>
      <c r="I112" s="110"/>
      <c r="J112" s="110"/>
      <c r="K112" s="110"/>
      <c r="L112" s="110"/>
      <c r="M112" s="110"/>
      <c r="N112" s="110"/>
    </row>
  </sheetData>
  <customSheetViews>
    <customSheetView guid="{3C76061C-A85D-4390-B9DB-73E13038638C}" showPageBreaks="1" showGridLines="0" view="pageLayout" topLeftCell="A91">
      <selection activeCell="M51" sqref="M51"/>
      <rowBreaks count="2" manualBreakCount="2">
        <brk id="46" max="16383" man="1"/>
        <brk id="96" max="16383" man="1"/>
      </rowBreaks>
      <pageMargins left="0.28125" right="0.25" top="0.6692913385826772" bottom="0.70866141732283472" header="0.23622047244094491" footer="0.47244094488188981"/>
      <printOptions horizontalCentered="1"/>
      <pageSetup paperSize="9" firstPageNumber="70"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32">
    <mergeCell ref="B2:M2"/>
    <mergeCell ref="C5:N6"/>
    <mergeCell ref="B13:D13"/>
    <mergeCell ref="B14:D14"/>
    <mergeCell ref="B15:D15"/>
    <mergeCell ref="B20:M20"/>
    <mergeCell ref="C23:N25"/>
    <mergeCell ref="B62:D62"/>
    <mergeCell ref="B50:M50"/>
    <mergeCell ref="C53:N54"/>
    <mergeCell ref="B59:D59"/>
    <mergeCell ref="B60:D60"/>
    <mergeCell ref="B61:D61"/>
    <mergeCell ref="B65:M65"/>
    <mergeCell ref="C68:N70"/>
    <mergeCell ref="B75:D75"/>
    <mergeCell ref="B30:D30"/>
    <mergeCell ref="B31:D31"/>
    <mergeCell ref="B32:D32"/>
    <mergeCell ref="B36:M36"/>
    <mergeCell ref="C39:N40"/>
    <mergeCell ref="B44:D44"/>
    <mergeCell ref="B45:D45"/>
    <mergeCell ref="B93:D93"/>
    <mergeCell ref="B91:D91"/>
    <mergeCell ref="B92:D92"/>
    <mergeCell ref="B76:D76"/>
    <mergeCell ref="B78:D78"/>
    <mergeCell ref="B81:M81"/>
    <mergeCell ref="C84:N85"/>
    <mergeCell ref="B90:D90"/>
    <mergeCell ref="B77:D77"/>
  </mergeCells>
  <phoneticPr fontId="17" type="noConversion"/>
  <hyperlinks>
    <hyperlink ref="B2:M2" r:id="rId2" display="Amphitryon " xr:uid="{00000000-0004-0000-1900-000000000000}"/>
    <hyperlink ref="B20:M20" r:id="rId3" display="Amalia" xr:uid="{00000000-0004-0000-1900-000001000000}"/>
    <hyperlink ref="B36:M36" r:id="rId4" display="Grande Bretagne" xr:uid="{00000000-0004-0000-1900-000002000000}"/>
    <hyperlink ref="B50:M50" r:id="rId5" display="John &amp; George" xr:uid="{00000000-0004-0000-1900-000003000000}"/>
    <hyperlink ref="B65:M65" r:id="rId6" display="Dolphin" xr:uid="{00000000-0004-0000-1900-000004000000}"/>
    <hyperlink ref="B81:M81" r:id="rId7" display="Rex" xr:uid="{00000000-0004-0000-1900-000005000000}"/>
  </hyperlinks>
  <printOptions horizontalCentered="1"/>
  <pageMargins left="0.28125" right="0.25" top="0.6692913385826772" bottom="0.70866141732283472" header="0.23622047244094491" footer="0.47244094488188981"/>
  <pageSetup paperSize="9" firstPageNumber="70" orientation="portrait" useFirstPageNumber="1" horizontalDpi="300" verticalDpi="300" r:id="rId8"/>
  <headerFooter scaleWithDoc="0" alignWithMargins="0">
    <oddHeader xml:space="preserve">&amp;C TARIFF 2021
 (EURO)
</oddHeader>
    <oddFooter>&amp;LAll rates are in EURO&amp;C
TARIFF 2021
&amp;RPage &amp;P</oddFooter>
  </headerFooter>
  <rowBreaks count="2" manualBreakCount="2">
    <brk id="46" max="16383" man="1"/>
    <brk id="9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8"/>
  <dimension ref="A2:S140"/>
  <sheetViews>
    <sheetView showGridLines="0" view="pageLayout" zoomScaleNormal="100" workbookViewId="0">
      <selection activeCell="M53" sqref="M53"/>
    </sheetView>
  </sheetViews>
  <sheetFormatPr defaultRowHeight="12.75" x14ac:dyDescent="0.2"/>
  <cols>
    <col min="1" max="1" width="1.85546875" style="140" customWidth="1"/>
    <col min="2" max="3" width="10.7109375" style="140" customWidth="1"/>
    <col min="4" max="9" width="3.7109375" style="140" customWidth="1"/>
    <col min="10" max="14" width="10.7109375" style="140" customWidth="1"/>
    <col min="15" max="15" width="9.28515625" style="140" customWidth="1"/>
    <col min="16" max="25" width="2.7109375" style="140" customWidth="1"/>
    <col min="26" max="16384" width="9.140625" style="140"/>
  </cols>
  <sheetData>
    <row r="2" spans="1:14" ht="13.5" thickBot="1" x14ac:dyDescent="0.25"/>
    <row r="3" spans="1:14" x14ac:dyDescent="0.2">
      <c r="A3" s="20"/>
      <c r="B3" s="21"/>
      <c r="C3" s="21"/>
      <c r="D3" s="21"/>
      <c r="E3" s="22"/>
      <c r="F3" s="22"/>
      <c r="G3" s="22"/>
      <c r="H3" s="22"/>
      <c r="I3" s="22"/>
      <c r="J3" s="22"/>
      <c r="K3" s="22"/>
      <c r="L3" s="22"/>
      <c r="M3" s="22"/>
      <c r="N3" s="23"/>
    </row>
    <row r="4" spans="1:14" ht="15" x14ac:dyDescent="0.2">
      <c r="A4" s="24"/>
      <c r="B4" s="440" t="s">
        <v>1699</v>
      </c>
      <c r="C4" s="441"/>
      <c r="D4" s="441"/>
      <c r="E4" s="441"/>
      <c r="F4" s="441"/>
      <c r="G4" s="441"/>
      <c r="H4" s="441"/>
      <c r="I4" s="441"/>
      <c r="J4" s="441"/>
      <c r="K4" s="441"/>
      <c r="L4" s="441"/>
      <c r="M4" s="442"/>
      <c r="N4" s="25" t="s">
        <v>91</v>
      </c>
    </row>
    <row r="5" spans="1:14" x14ac:dyDescent="0.2">
      <c r="A5" s="24"/>
      <c r="B5" s="26" t="s">
        <v>428</v>
      </c>
      <c r="C5" s="27" t="s">
        <v>1700</v>
      </c>
      <c r="D5" s="27"/>
      <c r="E5" s="28"/>
      <c r="F5" s="28"/>
      <c r="G5" s="28"/>
      <c r="H5" s="28"/>
      <c r="I5" s="28"/>
      <c r="J5" s="28"/>
      <c r="K5" s="28"/>
      <c r="L5" s="28"/>
      <c r="M5" s="28"/>
      <c r="N5" s="29"/>
    </row>
    <row r="6" spans="1:14" x14ac:dyDescent="0.2">
      <c r="A6" s="24"/>
      <c r="B6" s="26" t="s">
        <v>429</v>
      </c>
      <c r="C6" s="27" t="s">
        <v>1673</v>
      </c>
      <c r="D6" s="27"/>
      <c r="E6" s="28"/>
      <c r="F6" s="28"/>
      <c r="G6" s="28"/>
      <c r="H6" s="28"/>
      <c r="I6" s="28"/>
      <c r="J6" s="28"/>
      <c r="K6" s="28"/>
      <c r="L6" s="28"/>
      <c r="M6" s="28"/>
      <c r="N6" s="29"/>
    </row>
    <row r="7" spans="1:14" x14ac:dyDescent="0.2">
      <c r="A7" s="24"/>
      <c r="B7" s="26" t="s">
        <v>427</v>
      </c>
      <c r="C7" s="436" t="s">
        <v>1702</v>
      </c>
      <c r="D7" s="436"/>
      <c r="E7" s="436"/>
      <c r="F7" s="436"/>
      <c r="G7" s="436"/>
      <c r="H7" s="436"/>
      <c r="I7" s="436"/>
      <c r="J7" s="436"/>
      <c r="K7" s="436"/>
      <c r="L7" s="436"/>
      <c r="M7" s="436"/>
      <c r="N7" s="437"/>
    </row>
    <row r="8" spans="1:14" x14ac:dyDescent="0.2">
      <c r="A8" s="24"/>
      <c r="B8" s="27"/>
      <c r="C8" s="436"/>
      <c r="D8" s="436"/>
      <c r="E8" s="436"/>
      <c r="F8" s="436"/>
      <c r="G8" s="436"/>
      <c r="H8" s="436"/>
      <c r="I8" s="436"/>
      <c r="J8" s="436"/>
      <c r="K8" s="436"/>
      <c r="L8" s="436"/>
      <c r="M8" s="436"/>
      <c r="N8" s="437"/>
    </row>
    <row r="9" spans="1:14" x14ac:dyDescent="0.2">
      <c r="A9" s="24"/>
      <c r="B9" s="26" t="s">
        <v>426</v>
      </c>
      <c r="C9" s="27" t="s">
        <v>1701</v>
      </c>
      <c r="D9" s="27"/>
      <c r="E9" s="28"/>
      <c r="F9" s="28"/>
      <c r="G9" s="28"/>
      <c r="H9" s="28"/>
      <c r="I9" s="28"/>
      <c r="J9" s="28"/>
      <c r="K9" s="28"/>
      <c r="L9" s="28"/>
      <c r="M9" s="28"/>
      <c r="N9" s="29"/>
    </row>
    <row r="10" spans="1:14" ht="13.5" thickBot="1" x14ac:dyDescent="0.25">
      <c r="A10" s="30"/>
      <c r="B10" s="26" t="s">
        <v>430</v>
      </c>
      <c r="C10" s="31"/>
      <c r="D10" s="31"/>
      <c r="E10" s="32"/>
      <c r="F10" s="32"/>
      <c r="G10" s="32"/>
      <c r="H10" s="32"/>
      <c r="I10" s="32"/>
      <c r="J10" s="32"/>
      <c r="K10" s="32"/>
      <c r="L10" s="32"/>
      <c r="M10" s="32"/>
      <c r="N10" s="33"/>
    </row>
    <row r="11" spans="1:14" x14ac:dyDescent="0.2">
      <c r="A11" s="24"/>
      <c r="B11" s="21" t="s">
        <v>263</v>
      </c>
      <c r="C11" s="27"/>
      <c r="D11" s="27"/>
      <c r="E11" s="28"/>
      <c r="F11" s="28"/>
      <c r="G11" s="28"/>
      <c r="H11" s="28"/>
      <c r="I11" s="28"/>
      <c r="J11" s="67"/>
      <c r="K11" s="63" t="s">
        <v>1565</v>
      </c>
      <c r="L11" s="63"/>
      <c r="M11" s="63"/>
      <c r="N11" s="63"/>
    </row>
    <row r="12" spans="1:14" ht="13.5" thickBot="1" x14ac:dyDescent="0.25">
      <c r="A12" s="30"/>
      <c r="B12" s="31"/>
      <c r="C12" s="31"/>
      <c r="D12" s="31"/>
      <c r="E12" s="32"/>
      <c r="F12" s="32"/>
      <c r="G12" s="32"/>
      <c r="H12" s="32"/>
      <c r="I12" s="32"/>
      <c r="J12" s="49" t="s">
        <v>1930</v>
      </c>
      <c r="K12" s="40" t="s">
        <v>832</v>
      </c>
      <c r="L12" s="40" t="s">
        <v>188</v>
      </c>
      <c r="M12" s="40"/>
      <c r="N12" s="40"/>
    </row>
    <row r="13" spans="1:14" x14ac:dyDescent="0.2">
      <c r="A13" s="20"/>
      <c r="B13" s="434" t="s">
        <v>67</v>
      </c>
      <c r="C13" s="434"/>
      <c r="D13" s="434"/>
      <c r="E13" s="22"/>
      <c r="F13" s="22" t="s">
        <v>1180</v>
      </c>
      <c r="G13" s="22" t="s">
        <v>68</v>
      </c>
      <c r="H13" s="22" t="s">
        <v>702</v>
      </c>
      <c r="I13" s="28"/>
      <c r="J13" s="75">
        <f>110/ATHENS!O1*ATHENS!O2</f>
        <v>199.99999999999997</v>
      </c>
      <c r="K13" s="75">
        <f>150/ATHENS!O1*ATHENS!O2</f>
        <v>272.72727272727269</v>
      </c>
      <c r="L13" s="44">
        <f>180/ATHENS!O1*ATHENS!O2</f>
        <v>327.27272727272725</v>
      </c>
      <c r="M13" s="42"/>
      <c r="N13" s="42"/>
    </row>
    <row r="14" spans="1:14" x14ac:dyDescent="0.2">
      <c r="A14" s="24"/>
      <c r="B14" s="435" t="s">
        <v>67</v>
      </c>
      <c r="C14" s="435"/>
      <c r="D14" s="435"/>
      <c r="E14" s="28"/>
      <c r="F14" s="28" t="s">
        <v>1181</v>
      </c>
      <c r="G14" s="28" t="s">
        <v>68</v>
      </c>
      <c r="H14" s="28" t="s">
        <v>702</v>
      </c>
      <c r="I14" s="28"/>
      <c r="J14" s="75">
        <f>60/ATHENS!O1*ATHENS!O2</f>
        <v>109.09090909090908</v>
      </c>
      <c r="K14" s="75">
        <f>85/ATHENS!O1*ATHENS!O2</f>
        <v>154.54545454545453</v>
      </c>
      <c r="L14" s="44">
        <f>100/ATHENS!O1*ATHENS!O2</f>
        <v>181.81818181818181</v>
      </c>
      <c r="M14" s="44"/>
      <c r="N14" s="44"/>
    </row>
    <row r="15" spans="1:14" x14ac:dyDescent="0.2">
      <c r="A15" s="24"/>
      <c r="B15" s="68" t="s">
        <v>67</v>
      </c>
      <c r="C15" s="27"/>
      <c r="D15" s="27"/>
      <c r="E15" s="28"/>
      <c r="F15" s="28" t="s">
        <v>1182</v>
      </c>
      <c r="G15" s="28" t="s">
        <v>68</v>
      </c>
      <c r="H15" s="28" t="s">
        <v>702</v>
      </c>
      <c r="I15" s="28"/>
      <c r="J15" s="75">
        <f>56/ATHENS!O1*ATHENS!O2</f>
        <v>101.81818181818181</v>
      </c>
      <c r="K15" s="75">
        <f>79.5/ATHENS!O1*ATHENS!O2</f>
        <v>144.54545454545453</v>
      </c>
      <c r="L15" s="44">
        <f>93.5/ATHENS!O1*ATHENS!O2</f>
        <v>170</v>
      </c>
      <c r="M15" s="44"/>
      <c r="N15" s="44"/>
    </row>
    <row r="16" spans="1:14" ht="13.5" thickBot="1" x14ac:dyDescent="0.25">
      <c r="A16" s="30"/>
      <c r="B16" s="443" t="s">
        <v>902</v>
      </c>
      <c r="C16" s="443"/>
      <c r="D16" s="443"/>
      <c r="E16" s="32"/>
      <c r="F16" s="89"/>
      <c r="G16" s="89"/>
      <c r="H16" s="32" t="s">
        <v>702</v>
      </c>
      <c r="I16" s="32"/>
      <c r="J16" s="76">
        <f>25/ATHENS!O1*ATHENS!O2</f>
        <v>45.454545454545453</v>
      </c>
      <c r="K16" s="76">
        <f>25/ATHENS!O1*ATHENS!O2</f>
        <v>45.454545454545453</v>
      </c>
      <c r="L16" s="46">
        <f>25/ATHENS!O1*ATHENS!O2</f>
        <v>45.454545454545453</v>
      </c>
      <c r="M16" s="46"/>
      <c r="N16" s="46"/>
    </row>
    <row r="18" spans="1:19" ht="13.5" thickBot="1" x14ac:dyDescent="0.25"/>
    <row r="19" spans="1:19" s="111" customFormat="1" x14ac:dyDescent="0.2">
      <c r="A19" s="112"/>
      <c r="B19" s="113"/>
      <c r="C19" s="113"/>
      <c r="D19" s="113"/>
      <c r="E19" s="114"/>
      <c r="F19" s="114"/>
      <c r="G19" s="114"/>
      <c r="H19" s="114"/>
      <c r="I19" s="114"/>
      <c r="J19" s="114"/>
      <c r="K19" s="114"/>
      <c r="L19" s="114"/>
      <c r="M19" s="114"/>
      <c r="N19" s="115"/>
      <c r="O19" s="130"/>
      <c r="Q19" s="129"/>
      <c r="R19" s="129"/>
      <c r="S19" s="129"/>
    </row>
    <row r="20" spans="1:19" s="111" customFormat="1" ht="15" x14ac:dyDescent="0.2">
      <c r="A20" s="116"/>
      <c r="B20" s="462" t="s">
        <v>619</v>
      </c>
      <c r="C20" s="463"/>
      <c r="D20" s="463"/>
      <c r="E20" s="463"/>
      <c r="F20" s="463"/>
      <c r="G20" s="463"/>
      <c r="H20" s="463"/>
      <c r="I20" s="463"/>
      <c r="J20" s="463"/>
      <c r="K20" s="463"/>
      <c r="L20" s="463"/>
      <c r="M20" s="464"/>
      <c r="N20" s="117" t="s">
        <v>96</v>
      </c>
      <c r="O20" s="130"/>
      <c r="Q20" s="129"/>
      <c r="R20" s="129"/>
      <c r="S20" s="129"/>
    </row>
    <row r="21" spans="1:19" s="111" customFormat="1" x14ac:dyDescent="0.2">
      <c r="A21" s="116"/>
      <c r="B21" s="118" t="s">
        <v>428</v>
      </c>
      <c r="C21" s="119" t="s">
        <v>620</v>
      </c>
      <c r="D21" s="119"/>
      <c r="E21" s="120"/>
      <c r="F21" s="120"/>
      <c r="G21" s="120"/>
      <c r="H21" s="120"/>
      <c r="I21" s="120"/>
      <c r="J21" s="120"/>
      <c r="K21" s="120"/>
      <c r="L21" s="120"/>
      <c r="M21" s="120"/>
      <c r="N21" s="101"/>
      <c r="O21" s="130"/>
      <c r="Q21" s="129"/>
      <c r="R21" s="129"/>
      <c r="S21" s="129"/>
    </row>
    <row r="22" spans="1:19" s="111" customFormat="1" x14ac:dyDescent="0.2">
      <c r="A22" s="116"/>
      <c r="B22" s="118" t="s">
        <v>429</v>
      </c>
      <c r="C22" s="119" t="s">
        <v>621</v>
      </c>
      <c r="D22" s="119"/>
      <c r="E22" s="120"/>
      <c r="F22" s="120"/>
      <c r="G22" s="120"/>
      <c r="H22" s="120"/>
      <c r="I22" s="120"/>
      <c r="J22" s="120"/>
      <c r="K22" s="120"/>
      <c r="L22" s="120"/>
      <c r="M22" s="120"/>
      <c r="N22" s="101"/>
      <c r="O22" s="130"/>
      <c r="Q22" s="129"/>
      <c r="R22" s="129"/>
      <c r="S22" s="129"/>
    </row>
    <row r="23" spans="1:19" s="111" customFormat="1" x14ac:dyDescent="0.2">
      <c r="A23" s="116"/>
      <c r="B23" s="118" t="s">
        <v>427</v>
      </c>
      <c r="C23" s="480" t="s">
        <v>1395</v>
      </c>
      <c r="D23" s="480"/>
      <c r="E23" s="480"/>
      <c r="F23" s="480"/>
      <c r="G23" s="480"/>
      <c r="H23" s="480"/>
      <c r="I23" s="480"/>
      <c r="J23" s="480"/>
      <c r="K23" s="480"/>
      <c r="L23" s="480"/>
      <c r="M23" s="480"/>
      <c r="N23" s="481"/>
      <c r="O23" s="130"/>
      <c r="Q23" s="129"/>
      <c r="R23" s="129"/>
      <c r="S23" s="129"/>
    </row>
    <row r="24" spans="1:19" s="111" customFormat="1" ht="13.5" thickBot="1" x14ac:dyDescent="0.25">
      <c r="A24" s="116"/>
      <c r="B24" s="109"/>
      <c r="C24" s="480"/>
      <c r="D24" s="480"/>
      <c r="E24" s="480"/>
      <c r="F24" s="480"/>
      <c r="G24" s="480"/>
      <c r="H24" s="480"/>
      <c r="I24" s="480"/>
      <c r="J24" s="480"/>
      <c r="K24" s="480"/>
      <c r="L24" s="480"/>
      <c r="M24" s="480"/>
      <c r="N24" s="481"/>
      <c r="O24" s="130"/>
      <c r="Q24" s="129"/>
      <c r="R24" s="129"/>
      <c r="S24" s="129"/>
    </row>
    <row r="25" spans="1:19" s="111" customFormat="1" x14ac:dyDescent="0.2">
      <c r="A25" s="112"/>
      <c r="B25" s="113" t="s">
        <v>263</v>
      </c>
      <c r="C25" s="113"/>
      <c r="D25" s="113"/>
      <c r="E25" s="114"/>
      <c r="F25" s="114"/>
      <c r="G25" s="114"/>
      <c r="H25" s="114"/>
      <c r="I25" s="114"/>
      <c r="J25" s="127" t="s">
        <v>758</v>
      </c>
      <c r="K25" s="126" t="s">
        <v>279</v>
      </c>
      <c r="L25" s="126"/>
      <c r="M25" s="126"/>
      <c r="N25" s="126"/>
      <c r="O25" s="130"/>
      <c r="Q25" s="129"/>
      <c r="R25" s="129"/>
      <c r="S25" s="129"/>
    </row>
    <row r="26" spans="1:19" s="111" customFormat="1" ht="13.5" thickBot="1" x14ac:dyDescent="0.25">
      <c r="A26" s="121"/>
      <c r="B26" s="122"/>
      <c r="C26" s="122"/>
      <c r="D26" s="122"/>
      <c r="E26" s="123"/>
      <c r="F26" s="123"/>
      <c r="G26" s="123"/>
      <c r="H26" s="123"/>
      <c r="I26" s="123"/>
      <c r="J26" s="125" t="s">
        <v>481</v>
      </c>
      <c r="K26" s="105" t="s">
        <v>832</v>
      </c>
      <c r="L26" s="105" t="s">
        <v>86</v>
      </c>
      <c r="M26" s="105" t="s">
        <v>830</v>
      </c>
      <c r="N26" s="105"/>
      <c r="O26" s="130"/>
      <c r="Q26" s="129"/>
      <c r="R26" s="129"/>
      <c r="S26" s="129"/>
    </row>
    <row r="27" spans="1:19" s="111" customFormat="1" x14ac:dyDescent="0.2">
      <c r="A27" s="112"/>
      <c r="B27" s="467" t="s">
        <v>67</v>
      </c>
      <c r="C27" s="467"/>
      <c r="D27" s="467"/>
      <c r="E27" s="114"/>
      <c r="F27" s="114" t="s">
        <v>1180</v>
      </c>
      <c r="G27" s="114" t="s">
        <v>68</v>
      </c>
      <c r="H27" s="114" t="s">
        <v>702</v>
      </c>
      <c r="I27" s="114"/>
      <c r="J27" s="100">
        <f>75/ATHENS!O1*ATHENS!O2</f>
        <v>136.36363636363635</v>
      </c>
      <c r="K27" s="100">
        <f>100/ATHENS!O1*ATHENS!O2</f>
        <v>181.81818181818181</v>
      </c>
      <c r="L27" s="100">
        <f>120/ATHENS!O1*ATHENS!O2</f>
        <v>218.18181818181816</v>
      </c>
      <c r="M27" s="126">
        <f>175/ATHENS!O1*ATHENS!O2</f>
        <v>318.18181818181813</v>
      </c>
      <c r="N27" s="126"/>
      <c r="O27" s="130"/>
      <c r="Q27" s="129"/>
      <c r="R27" s="129"/>
      <c r="S27" s="129"/>
    </row>
    <row r="28" spans="1:19" s="111" customFormat="1" x14ac:dyDescent="0.2">
      <c r="A28" s="116"/>
      <c r="B28" s="461" t="s">
        <v>67</v>
      </c>
      <c r="C28" s="461"/>
      <c r="D28" s="461"/>
      <c r="E28" s="120"/>
      <c r="F28" s="120" t="s">
        <v>1181</v>
      </c>
      <c r="G28" s="120" t="s">
        <v>68</v>
      </c>
      <c r="H28" s="120" t="s">
        <v>702</v>
      </c>
      <c r="I28" s="120"/>
      <c r="J28" s="100">
        <f>45/ATHENS!O1*ATHENS!O2</f>
        <v>81.818181818181813</v>
      </c>
      <c r="K28" s="100">
        <f>60/ATHENS!O1*ATHENS!O2</f>
        <v>109.09090909090908</v>
      </c>
      <c r="L28" s="100">
        <f>75/ATHENS!O1*ATHENS!O2</f>
        <v>136.36363636363635</v>
      </c>
      <c r="M28" s="100">
        <f>100/ATHENS!O1*ATHENS!O2</f>
        <v>181.81818181818181</v>
      </c>
      <c r="N28" s="100"/>
      <c r="O28" s="130"/>
      <c r="Q28" s="129"/>
      <c r="R28" s="129"/>
      <c r="S28" s="129"/>
    </row>
    <row r="29" spans="1:19" s="111" customFormat="1" ht="13.5" thickBot="1" x14ac:dyDescent="0.25">
      <c r="A29" s="121"/>
      <c r="B29" s="460" t="s">
        <v>67</v>
      </c>
      <c r="C29" s="460"/>
      <c r="D29" s="460"/>
      <c r="E29" s="123"/>
      <c r="F29" s="123" t="s">
        <v>1182</v>
      </c>
      <c r="G29" s="123" t="s">
        <v>68</v>
      </c>
      <c r="H29" s="123" t="s">
        <v>702</v>
      </c>
      <c r="I29" s="123"/>
      <c r="J29" s="105">
        <f>40/ATHENS!O1*ATHENS!O2</f>
        <v>72.72727272727272</v>
      </c>
      <c r="K29" s="105">
        <f>50/ATHENS!O1*ATHENS!O2</f>
        <v>90.909090909090907</v>
      </c>
      <c r="L29" s="105">
        <f>60/ATHENS!O1*ATHENS!O2</f>
        <v>109.09090909090908</v>
      </c>
      <c r="M29" s="105">
        <f>78.5/ATHENS!O1*ATHENS!O2</f>
        <v>142.72727272727272</v>
      </c>
      <c r="N29" s="105"/>
      <c r="O29" s="130"/>
      <c r="Q29" s="129"/>
      <c r="R29" s="129"/>
      <c r="S29" s="129"/>
    </row>
    <row r="30" spans="1:19" s="111" customFormat="1" x14ac:dyDescent="0.2">
      <c r="A30" s="108"/>
      <c r="B30" s="109"/>
      <c r="C30" s="109"/>
      <c r="D30" s="109"/>
      <c r="E30" s="110"/>
      <c r="F30" s="110"/>
      <c r="G30" s="110"/>
      <c r="H30" s="110"/>
      <c r="I30" s="110"/>
      <c r="J30" s="110"/>
      <c r="K30" s="110"/>
      <c r="L30" s="110"/>
      <c r="M30" s="110"/>
      <c r="N30" s="110"/>
    </row>
    <row r="31" spans="1:19" s="111" customFormat="1" ht="13.5" thickBot="1" x14ac:dyDescent="0.25">
      <c r="A31" s="108"/>
      <c r="B31" s="109"/>
      <c r="C31" s="109"/>
      <c r="D31" s="109"/>
      <c r="E31" s="110"/>
      <c r="F31" s="110"/>
      <c r="G31" s="110"/>
      <c r="H31" s="110"/>
      <c r="I31" s="110"/>
      <c r="J31" s="110"/>
      <c r="K31" s="110"/>
      <c r="L31" s="110"/>
      <c r="M31" s="110"/>
      <c r="N31" s="110"/>
    </row>
    <row r="32" spans="1:19" s="111" customFormat="1" x14ac:dyDescent="0.2">
      <c r="A32" s="112"/>
      <c r="B32" s="113"/>
      <c r="C32" s="113"/>
      <c r="D32" s="113"/>
      <c r="E32" s="114"/>
      <c r="F32" s="114"/>
      <c r="G32" s="114"/>
      <c r="H32" s="114"/>
      <c r="I32" s="114"/>
      <c r="J32" s="114"/>
      <c r="K32" s="114"/>
      <c r="L32" s="114"/>
      <c r="M32" s="114"/>
      <c r="N32" s="115"/>
    </row>
    <row r="33" spans="1:14" s="111" customFormat="1" ht="15" x14ac:dyDescent="0.2">
      <c r="A33" s="116"/>
      <c r="B33" s="462" t="s">
        <v>350</v>
      </c>
      <c r="C33" s="463"/>
      <c r="D33" s="463"/>
      <c r="E33" s="463"/>
      <c r="F33" s="463"/>
      <c r="G33" s="463"/>
      <c r="H33" s="463"/>
      <c r="I33" s="463"/>
      <c r="J33" s="463"/>
      <c r="K33" s="463"/>
      <c r="L33" s="463"/>
      <c r="M33" s="464"/>
      <c r="N33" s="117" t="s">
        <v>96</v>
      </c>
    </row>
    <row r="34" spans="1:14" s="111" customFormat="1" x14ac:dyDescent="0.2">
      <c r="A34" s="116"/>
      <c r="B34" s="118" t="s">
        <v>428</v>
      </c>
      <c r="C34" s="119" t="s">
        <v>1333</v>
      </c>
      <c r="D34" s="119"/>
      <c r="E34" s="120"/>
      <c r="F34" s="120"/>
      <c r="G34" s="120"/>
      <c r="H34" s="120"/>
      <c r="I34" s="120"/>
      <c r="J34" s="120"/>
      <c r="K34" s="120"/>
      <c r="L34" s="120"/>
      <c r="M34" s="120"/>
      <c r="N34" s="101"/>
    </row>
    <row r="35" spans="1:14" s="111" customFormat="1" x14ac:dyDescent="0.2">
      <c r="A35" s="116"/>
      <c r="B35" s="118" t="s">
        <v>429</v>
      </c>
      <c r="C35" s="119" t="s">
        <v>1298</v>
      </c>
      <c r="D35" s="119"/>
      <c r="E35" s="120"/>
      <c r="F35" s="120"/>
      <c r="G35" s="120"/>
      <c r="H35" s="120"/>
      <c r="I35" s="120"/>
      <c r="J35" s="120"/>
      <c r="K35" s="120"/>
      <c r="L35" s="120"/>
      <c r="M35" s="120"/>
      <c r="N35" s="101"/>
    </row>
    <row r="36" spans="1:14" s="111" customFormat="1" x14ac:dyDescent="0.2">
      <c r="A36" s="116"/>
      <c r="B36" s="118" t="s">
        <v>427</v>
      </c>
      <c r="C36" s="480" t="s">
        <v>351</v>
      </c>
      <c r="D36" s="480"/>
      <c r="E36" s="480"/>
      <c r="F36" s="480"/>
      <c r="G36" s="480"/>
      <c r="H36" s="480"/>
      <c r="I36" s="480"/>
      <c r="J36" s="480"/>
      <c r="K36" s="480"/>
      <c r="L36" s="480"/>
      <c r="M36" s="480"/>
      <c r="N36" s="481"/>
    </row>
    <row r="37" spans="1:14" s="111" customFormat="1" x14ac:dyDescent="0.2">
      <c r="A37" s="116"/>
      <c r="B37" s="118"/>
      <c r="C37" s="480"/>
      <c r="D37" s="480"/>
      <c r="E37" s="480"/>
      <c r="F37" s="480"/>
      <c r="G37" s="480"/>
      <c r="H37" s="480"/>
      <c r="I37" s="480"/>
      <c r="J37" s="480"/>
      <c r="K37" s="480"/>
      <c r="L37" s="480"/>
      <c r="M37" s="480"/>
      <c r="N37" s="481"/>
    </row>
    <row r="38" spans="1:14" s="111" customFormat="1" x14ac:dyDescent="0.2">
      <c r="A38" s="116"/>
      <c r="B38" s="118"/>
      <c r="C38" s="480"/>
      <c r="D38" s="480"/>
      <c r="E38" s="480"/>
      <c r="F38" s="480"/>
      <c r="G38" s="480"/>
      <c r="H38" s="480"/>
      <c r="I38" s="480"/>
      <c r="J38" s="480"/>
      <c r="K38" s="480"/>
      <c r="L38" s="480"/>
      <c r="M38" s="480"/>
      <c r="N38" s="481"/>
    </row>
    <row r="39" spans="1:14" s="111" customFormat="1" ht="13.5" thickBot="1" x14ac:dyDescent="0.25">
      <c r="A39" s="116"/>
      <c r="B39" s="109"/>
      <c r="C39" s="480"/>
      <c r="D39" s="480"/>
      <c r="E39" s="480"/>
      <c r="F39" s="480"/>
      <c r="G39" s="480"/>
      <c r="H39" s="480"/>
      <c r="I39" s="480"/>
      <c r="J39" s="480"/>
      <c r="K39" s="480"/>
      <c r="L39" s="480"/>
      <c r="M39" s="480"/>
      <c r="N39" s="481"/>
    </row>
    <row r="40" spans="1:14" s="111" customFormat="1" x14ac:dyDescent="0.2">
      <c r="A40" s="112"/>
      <c r="B40" s="113" t="s">
        <v>263</v>
      </c>
      <c r="C40" s="113"/>
      <c r="D40" s="113"/>
      <c r="E40" s="114"/>
      <c r="F40" s="114"/>
      <c r="G40" s="114"/>
      <c r="H40" s="114"/>
      <c r="I40" s="114"/>
      <c r="J40" s="127" t="s">
        <v>2066</v>
      </c>
      <c r="K40" s="126" t="s">
        <v>175</v>
      </c>
      <c r="L40" s="126" t="s">
        <v>353</v>
      </c>
      <c r="M40" s="126"/>
      <c r="N40" s="126"/>
    </row>
    <row r="41" spans="1:14" s="111" customFormat="1" ht="13.5" thickBot="1" x14ac:dyDescent="0.25">
      <c r="A41" s="121"/>
      <c r="B41" s="122"/>
      <c r="C41" s="122"/>
      <c r="D41" s="122"/>
      <c r="E41" s="123"/>
      <c r="F41" s="123"/>
      <c r="G41" s="123"/>
      <c r="H41" s="123"/>
      <c r="I41" s="123"/>
      <c r="J41" s="125" t="s">
        <v>2067</v>
      </c>
      <c r="K41" s="105" t="s">
        <v>352</v>
      </c>
      <c r="L41" s="105" t="s">
        <v>354</v>
      </c>
      <c r="M41" s="105" t="s">
        <v>2068</v>
      </c>
      <c r="N41" s="105"/>
    </row>
    <row r="42" spans="1:14" s="111" customFormat="1" x14ac:dyDescent="0.2">
      <c r="A42" s="112"/>
      <c r="B42" s="467" t="s">
        <v>67</v>
      </c>
      <c r="C42" s="467"/>
      <c r="D42" s="467"/>
      <c r="E42" s="114"/>
      <c r="F42" s="114" t="s">
        <v>1180</v>
      </c>
      <c r="G42" s="114" t="s">
        <v>68</v>
      </c>
      <c r="H42" s="114" t="s">
        <v>702</v>
      </c>
      <c r="I42" s="114"/>
      <c r="J42" s="100">
        <f>56.5/ATHENS!O1*ATHENS!O2</f>
        <v>102.72727272727272</v>
      </c>
      <c r="K42" s="100">
        <f>80.5/ATHENS!O1*ATHENS!O2</f>
        <v>146.36363636363635</v>
      </c>
      <c r="L42" s="100">
        <f>106.9/ATHENS!O1*ATHENS!O2</f>
        <v>194.36363636363635</v>
      </c>
      <c r="M42" s="126">
        <f>124.5/ATHENS!O1*ATHENS!O2</f>
        <v>226.36363636363635</v>
      </c>
      <c r="N42" s="126"/>
    </row>
    <row r="43" spans="1:14" s="111" customFormat="1" x14ac:dyDescent="0.2">
      <c r="A43" s="116"/>
      <c r="B43" s="461" t="s">
        <v>67</v>
      </c>
      <c r="C43" s="461"/>
      <c r="D43" s="461"/>
      <c r="E43" s="120"/>
      <c r="F43" s="120" t="s">
        <v>1181</v>
      </c>
      <c r="G43" s="120" t="s">
        <v>68</v>
      </c>
      <c r="H43" s="120" t="s">
        <v>702</v>
      </c>
      <c r="I43" s="120"/>
      <c r="J43" s="100">
        <f>36.6/ATHENS!O1*ATHENS!O2</f>
        <v>66.545454545454547</v>
      </c>
      <c r="K43" s="100">
        <f>48.5/ATHENS!O1*ATHENS!O2</f>
        <v>88.181818181818173</v>
      </c>
      <c r="L43" s="100">
        <f>60.7/ATHENS!O1*ATHENS!O2</f>
        <v>110.36363636363636</v>
      </c>
      <c r="M43" s="100">
        <f>77.5/ATHENS!O1*ATHENS!O2</f>
        <v>140.90909090909091</v>
      </c>
      <c r="N43" s="100"/>
    </row>
    <row r="44" spans="1:14" s="111" customFormat="1" ht="13.5" thickBot="1" x14ac:dyDescent="0.25">
      <c r="A44" s="121"/>
      <c r="B44" s="460" t="s">
        <v>67</v>
      </c>
      <c r="C44" s="460"/>
      <c r="D44" s="460"/>
      <c r="E44" s="123"/>
      <c r="F44" s="123" t="s">
        <v>1182</v>
      </c>
      <c r="G44" s="123" t="s">
        <v>68</v>
      </c>
      <c r="H44" s="123" t="s">
        <v>702</v>
      </c>
      <c r="I44" s="123"/>
      <c r="J44" s="105">
        <f>31.5/ATHENS!O1*ATHENS!O2</f>
        <v>57.272727272727266</v>
      </c>
      <c r="K44" s="105">
        <f>39.8/ATHENS!O1*ATHENS!O2</f>
        <v>72.363636363636346</v>
      </c>
      <c r="L44" s="105">
        <f>54.5/ATHENS!O1*ATHENS!O2</f>
        <v>99.090909090909079</v>
      </c>
      <c r="M44" s="105">
        <f>97.5/ATHENS!O1*ATHENS!O2</f>
        <v>177.27272727272725</v>
      </c>
      <c r="N44" s="105"/>
    </row>
    <row r="45" spans="1:14" s="111" customFormat="1" x14ac:dyDescent="0.2">
      <c r="A45" s="239"/>
      <c r="B45" s="119"/>
      <c r="C45" s="119"/>
      <c r="D45" s="119"/>
      <c r="E45" s="120"/>
      <c r="F45" s="120"/>
      <c r="G45" s="120"/>
      <c r="H45" s="120"/>
      <c r="I45" s="120"/>
      <c r="J45" s="120"/>
      <c r="K45" s="120"/>
      <c r="L45" s="120"/>
      <c r="M45" s="120"/>
      <c r="N45" s="120"/>
    </row>
    <row r="46" spans="1:14" s="111" customFormat="1" x14ac:dyDescent="0.2">
      <c r="A46" s="239"/>
      <c r="B46" s="119"/>
      <c r="C46" s="119"/>
      <c r="D46" s="119"/>
      <c r="E46" s="120"/>
      <c r="F46" s="120"/>
      <c r="G46" s="120"/>
      <c r="H46" s="120"/>
      <c r="I46" s="120"/>
      <c r="J46" s="120"/>
      <c r="K46" s="120"/>
      <c r="L46" s="120"/>
      <c r="M46" s="120"/>
      <c r="N46" s="120"/>
    </row>
    <row r="47" spans="1:14" s="111" customFormat="1" x14ac:dyDescent="0.2">
      <c r="A47" s="239"/>
      <c r="B47" s="119"/>
      <c r="C47" s="119"/>
      <c r="D47" s="119"/>
      <c r="E47" s="120"/>
      <c r="F47" s="120"/>
      <c r="G47" s="120"/>
      <c r="H47" s="120"/>
      <c r="I47" s="120"/>
      <c r="J47" s="120"/>
      <c r="K47" s="120"/>
      <c r="L47" s="120"/>
      <c r="M47" s="120"/>
      <c r="N47" s="120"/>
    </row>
    <row r="48" spans="1:14" s="111" customFormat="1" x14ac:dyDescent="0.2">
      <c r="A48" s="239"/>
      <c r="B48" s="119"/>
      <c r="C48" s="119"/>
      <c r="D48" s="119"/>
      <c r="E48" s="120"/>
      <c r="F48" s="120"/>
      <c r="G48" s="120"/>
      <c r="H48" s="120"/>
      <c r="I48" s="120"/>
      <c r="J48" s="120"/>
      <c r="K48" s="120"/>
      <c r="L48" s="120"/>
      <c r="M48" s="120"/>
      <c r="N48" s="120"/>
    </row>
    <row r="49" spans="1:14" s="111" customFormat="1" x14ac:dyDescent="0.2">
      <c r="A49" s="239"/>
      <c r="B49" s="119"/>
      <c r="C49" s="119"/>
      <c r="D49" s="119"/>
      <c r="E49" s="120"/>
      <c r="F49" s="120"/>
      <c r="G49" s="120"/>
      <c r="H49" s="120"/>
      <c r="I49" s="120"/>
      <c r="J49" s="120"/>
      <c r="K49" s="120"/>
      <c r="L49" s="120"/>
      <c r="M49" s="120"/>
      <c r="N49" s="120"/>
    </row>
    <row r="50" spans="1:14" s="111" customFormat="1" x14ac:dyDescent="0.2">
      <c r="A50" s="239"/>
      <c r="B50" s="119"/>
      <c r="C50" s="119"/>
      <c r="D50" s="119"/>
      <c r="E50" s="120"/>
      <c r="F50" s="120"/>
      <c r="G50" s="120"/>
      <c r="H50" s="120"/>
      <c r="I50" s="120"/>
      <c r="J50" s="120"/>
      <c r="K50" s="120"/>
      <c r="L50" s="120"/>
      <c r="M50" s="120"/>
      <c r="N50" s="120"/>
    </row>
    <row r="51" spans="1:14" s="111" customFormat="1" x14ac:dyDescent="0.2">
      <c r="A51" s="239"/>
      <c r="B51" s="119"/>
      <c r="C51" s="119"/>
      <c r="D51" s="119"/>
      <c r="E51" s="120"/>
      <c r="F51" s="120"/>
      <c r="G51" s="120"/>
      <c r="H51" s="120"/>
      <c r="I51" s="120"/>
      <c r="J51" s="120"/>
      <c r="K51" s="120"/>
      <c r="L51" s="120"/>
      <c r="M51" s="120"/>
      <c r="N51" s="120"/>
    </row>
    <row r="52" spans="1:14" s="111" customFormat="1" x14ac:dyDescent="0.2">
      <c r="A52" s="239"/>
      <c r="B52" s="119"/>
      <c r="C52" s="119"/>
      <c r="D52" s="119"/>
      <c r="E52" s="120"/>
      <c r="F52" s="120"/>
      <c r="G52" s="120"/>
      <c r="H52" s="120"/>
      <c r="I52" s="120"/>
      <c r="J52" s="120"/>
      <c r="K52" s="120"/>
      <c r="L52" s="120"/>
      <c r="M52" s="120"/>
      <c r="N52" s="120"/>
    </row>
    <row r="53" spans="1:14" s="111" customFormat="1" x14ac:dyDescent="0.2">
      <c r="A53" s="239"/>
      <c r="B53" s="119"/>
      <c r="C53" s="119"/>
      <c r="D53" s="119"/>
      <c r="E53" s="120"/>
      <c r="F53" s="120"/>
      <c r="G53" s="120"/>
      <c r="H53" s="120"/>
      <c r="I53" s="120"/>
      <c r="J53" s="120"/>
      <c r="K53" s="120"/>
      <c r="L53" s="120"/>
      <c r="M53" s="120"/>
      <c r="N53" s="120"/>
    </row>
    <row r="54" spans="1:14" s="111" customFormat="1" x14ac:dyDescent="0.2">
      <c r="A54" s="239"/>
      <c r="B54" s="119"/>
      <c r="C54" s="119"/>
      <c r="D54" s="119"/>
      <c r="E54" s="120"/>
      <c r="F54" s="120"/>
      <c r="G54" s="120"/>
      <c r="H54" s="120"/>
      <c r="I54" s="120"/>
      <c r="J54" s="120"/>
      <c r="K54" s="120"/>
      <c r="L54" s="120"/>
      <c r="M54" s="120"/>
      <c r="N54" s="120"/>
    </row>
    <row r="55" spans="1:14" s="111" customFormat="1" x14ac:dyDescent="0.2">
      <c r="A55" s="239"/>
      <c r="B55" s="119"/>
      <c r="C55" s="119"/>
      <c r="D55" s="119"/>
      <c r="E55" s="120"/>
      <c r="F55" s="120"/>
      <c r="G55" s="120"/>
      <c r="H55" s="120"/>
      <c r="I55" s="120"/>
      <c r="J55" s="120"/>
      <c r="K55" s="120"/>
      <c r="L55" s="120"/>
      <c r="M55" s="120"/>
      <c r="N55" s="120"/>
    </row>
    <row r="56" spans="1:14" s="111" customFormat="1" x14ac:dyDescent="0.2">
      <c r="A56" s="239"/>
      <c r="B56" s="119"/>
      <c r="C56" s="119"/>
      <c r="D56" s="119"/>
      <c r="E56" s="120"/>
      <c r="F56" s="120"/>
      <c r="G56" s="120"/>
      <c r="H56" s="120"/>
      <c r="I56" s="120"/>
      <c r="J56" s="120"/>
      <c r="K56" s="120"/>
      <c r="L56" s="120"/>
      <c r="M56" s="120"/>
      <c r="N56" s="120"/>
    </row>
    <row r="57" spans="1:14" s="111" customFormat="1" x14ac:dyDescent="0.2">
      <c r="A57" s="239"/>
      <c r="B57" s="119"/>
      <c r="C57" s="119"/>
      <c r="D57" s="119"/>
      <c r="E57" s="120"/>
      <c r="F57" s="120"/>
      <c r="G57" s="120"/>
      <c r="H57" s="120"/>
      <c r="I57" s="120"/>
      <c r="J57" s="120"/>
      <c r="K57" s="120"/>
      <c r="L57" s="120"/>
      <c r="M57" s="120"/>
      <c r="N57" s="120"/>
    </row>
    <row r="58" spans="1:14" s="111" customFormat="1" x14ac:dyDescent="0.2">
      <c r="A58" s="239"/>
      <c r="B58" s="119"/>
      <c r="C58" s="119"/>
      <c r="D58" s="119"/>
      <c r="E58" s="120"/>
      <c r="F58" s="120"/>
      <c r="G58" s="120"/>
      <c r="H58" s="120"/>
      <c r="I58" s="120"/>
      <c r="J58" s="120"/>
      <c r="K58" s="120"/>
      <c r="L58" s="120"/>
      <c r="M58" s="120"/>
      <c r="N58" s="120"/>
    </row>
    <row r="59" spans="1:14" s="111" customFormat="1" x14ac:dyDescent="0.2">
      <c r="A59" s="239"/>
      <c r="B59" s="119"/>
      <c r="C59" s="119"/>
      <c r="D59" s="119"/>
      <c r="E59" s="120"/>
      <c r="F59" s="120"/>
      <c r="G59" s="120"/>
      <c r="H59" s="120"/>
      <c r="I59" s="120"/>
      <c r="J59" s="120"/>
      <c r="K59" s="120"/>
      <c r="L59" s="120"/>
      <c r="M59" s="120"/>
      <c r="N59" s="120"/>
    </row>
    <row r="60" spans="1:14" s="111" customFormat="1" ht="13.5" thickBot="1" x14ac:dyDescent="0.25">
      <c r="A60" s="239"/>
      <c r="B60" s="119"/>
      <c r="C60" s="119"/>
      <c r="D60" s="119"/>
      <c r="E60" s="120"/>
      <c r="F60" s="120"/>
      <c r="G60" s="120"/>
      <c r="H60" s="120"/>
      <c r="I60" s="120"/>
      <c r="J60" s="120"/>
      <c r="K60" s="120"/>
      <c r="L60" s="120"/>
      <c r="M60" s="120"/>
      <c r="N60" s="120"/>
    </row>
    <row r="61" spans="1:14" s="111" customFormat="1" x14ac:dyDescent="0.2">
      <c r="A61" s="112"/>
      <c r="B61" s="113"/>
      <c r="C61" s="113"/>
      <c r="D61" s="113"/>
      <c r="E61" s="114"/>
      <c r="F61" s="114"/>
      <c r="G61" s="114"/>
      <c r="H61" s="114"/>
      <c r="I61" s="114"/>
      <c r="J61" s="114"/>
      <c r="K61" s="114"/>
      <c r="L61" s="114"/>
      <c r="M61" s="114"/>
      <c r="N61" s="115"/>
    </row>
    <row r="62" spans="1:14" s="111" customFormat="1" ht="15" x14ac:dyDescent="0.2">
      <c r="A62" s="116"/>
      <c r="B62" s="462" t="s">
        <v>1199</v>
      </c>
      <c r="C62" s="463"/>
      <c r="D62" s="463"/>
      <c r="E62" s="463"/>
      <c r="F62" s="463"/>
      <c r="G62" s="463"/>
      <c r="H62" s="463"/>
      <c r="I62" s="463"/>
      <c r="J62" s="463"/>
      <c r="K62" s="463"/>
      <c r="L62" s="463"/>
      <c r="M62" s="464"/>
      <c r="N62" s="117" t="s">
        <v>96</v>
      </c>
    </row>
    <row r="63" spans="1:14" s="111" customFormat="1" x14ac:dyDescent="0.2">
      <c r="A63" s="116"/>
      <c r="B63" s="118" t="s">
        <v>428</v>
      </c>
      <c r="C63" s="119" t="s">
        <v>561</v>
      </c>
      <c r="D63" s="119"/>
      <c r="E63" s="120"/>
      <c r="F63" s="120"/>
      <c r="G63" s="120"/>
      <c r="H63" s="120"/>
      <c r="I63" s="120"/>
      <c r="J63" s="120"/>
      <c r="K63" s="120"/>
      <c r="L63" s="120"/>
      <c r="M63" s="120"/>
      <c r="N63" s="101"/>
    </row>
    <row r="64" spans="1:14" s="111" customFormat="1" x14ac:dyDescent="0.2">
      <c r="A64" s="116"/>
      <c r="B64" s="118" t="s">
        <v>429</v>
      </c>
      <c r="C64" s="119" t="s">
        <v>1300</v>
      </c>
      <c r="D64" s="119"/>
      <c r="E64" s="120"/>
      <c r="F64" s="120"/>
      <c r="G64" s="120"/>
      <c r="H64" s="120"/>
      <c r="I64" s="120"/>
      <c r="J64" s="120"/>
      <c r="K64" s="120"/>
      <c r="L64" s="120"/>
      <c r="M64" s="120"/>
      <c r="N64" s="101"/>
    </row>
    <row r="65" spans="1:14" s="111" customFormat="1" x14ac:dyDescent="0.2">
      <c r="A65" s="116"/>
      <c r="B65" s="118" t="s">
        <v>427</v>
      </c>
      <c r="C65" s="480" t="s">
        <v>210</v>
      </c>
      <c r="D65" s="480"/>
      <c r="E65" s="480"/>
      <c r="F65" s="480"/>
      <c r="G65" s="480"/>
      <c r="H65" s="480"/>
      <c r="I65" s="480"/>
      <c r="J65" s="480"/>
      <c r="K65" s="480"/>
      <c r="L65" s="480"/>
      <c r="M65" s="480"/>
      <c r="N65" s="481"/>
    </row>
    <row r="66" spans="1:14" s="111" customFormat="1" x14ac:dyDescent="0.2">
      <c r="A66" s="116"/>
      <c r="B66" s="118"/>
      <c r="C66" s="480"/>
      <c r="D66" s="480"/>
      <c r="E66" s="480"/>
      <c r="F66" s="480"/>
      <c r="G66" s="480"/>
      <c r="H66" s="480"/>
      <c r="I66" s="480"/>
      <c r="J66" s="480"/>
      <c r="K66" s="480"/>
      <c r="L66" s="480"/>
      <c r="M66" s="480"/>
      <c r="N66" s="481"/>
    </row>
    <row r="67" spans="1:14" s="111" customFormat="1" x14ac:dyDescent="0.2">
      <c r="A67" s="116"/>
      <c r="B67" s="118"/>
      <c r="C67" s="480"/>
      <c r="D67" s="480"/>
      <c r="E67" s="480"/>
      <c r="F67" s="480"/>
      <c r="G67" s="480"/>
      <c r="H67" s="480"/>
      <c r="I67" s="480"/>
      <c r="J67" s="480"/>
      <c r="K67" s="480"/>
      <c r="L67" s="480"/>
      <c r="M67" s="480"/>
      <c r="N67" s="481"/>
    </row>
    <row r="68" spans="1:14" s="111" customFormat="1" x14ac:dyDescent="0.2">
      <c r="A68" s="116"/>
      <c r="B68" s="118"/>
      <c r="C68" s="480"/>
      <c r="D68" s="480"/>
      <c r="E68" s="480"/>
      <c r="F68" s="480"/>
      <c r="G68" s="480"/>
      <c r="H68" s="480"/>
      <c r="I68" s="480"/>
      <c r="J68" s="480"/>
      <c r="K68" s="480"/>
      <c r="L68" s="480"/>
      <c r="M68" s="480"/>
      <c r="N68" s="481"/>
    </row>
    <row r="69" spans="1:14" s="111" customFormat="1" x14ac:dyDescent="0.2">
      <c r="A69" s="116"/>
      <c r="B69" s="118"/>
      <c r="C69" s="480"/>
      <c r="D69" s="480"/>
      <c r="E69" s="480"/>
      <c r="F69" s="480"/>
      <c r="G69" s="480"/>
      <c r="H69" s="480"/>
      <c r="I69" s="480"/>
      <c r="J69" s="480"/>
      <c r="K69" s="480"/>
      <c r="L69" s="480"/>
      <c r="M69" s="480"/>
      <c r="N69" s="481"/>
    </row>
    <row r="70" spans="1:14" s="111" customFormat="1" ht="13.5" thickBot="1" x14ac:dyDescent="0.25">
      <c r="A70" s="116"/>
      <c r="B70" s="109"/>
      <c r="C70" s="480"/>
      <c r="D70" s="480"/>
      <c r="E70" s="480"/>
      <c r="F70" s="480"/>
      <c r="G70" s="480"/>
      <c r="H70" s="480"/>
      <c r="I70" s="480"/>
      <c r="J70" s="480"/>
      <c r="K70" s="480"/>
      <c r="L70" s="480"/>
      <c r="M70" s="480"/>
      <c r="N70" s="481"/>
    </row>
    <row r="71" spans="1:14" s="111" customFormat="1" x14ac:dyDescent="0.2">
      <c r="A71" s="112"/>
      <c r="B71" s="113" t="s">
        <v>263</v>
      </c>
      <c r="C71" s="113"/>
      <c r="D71" s="113"/>
      <c r="E71" s="114"/>
      <c r="F71" s="114"/>
      <c r="G71" s="114"/>
      <c r="H71" s="114"/>
      <c r="I71" s="114"/>
      <c r="J71" s="127" t="s">
        <v>211</v>
      </c>
      <c r="K71" s="126" t="s">
        <v>212</v>
      </c>
      <c r="L71" s="126"/>
      <c r="M71" s="126"/>
      <c r="N71" s="126"/>
    </row>
    <row r="72" spans="1:14" s="111" customFormat="1" ht="13.5" thickBot="1" x14ac:dyDescent="0.25">
      <c r="A72" s="121"/>
      <c r="B72" s="122"/>
      <c r="C72" s="122"/>
      <c r="D72" s="122"/>
      <c r="E72" s="123"/>
      <c r="F72" s="123"/>
      <c r="G72" s="123"/>
      <c r="H72" s="123"/>
      <c r="I72" s="123"/>
      <c r="J72" s="125" t="s">
        <v>245</v>
      </c>
      <c r="K72" s="105" t="s">
        <v>482</v>
      </c>
      <c r="L72" s="105" t="s">
        <v>213</v>
      </c>
      <c r="M72" s="105"/>
      <c r="N72" s="105"/>
    </row>
    <row r="73" spans="1:14" s="111" customFormat="1" x14ac:dyDescent="0.2">
      <c r="A73" s="112"/>
      <c r="B73" s="467" t="s">
        <v>67</v>
      </c>
      <c r="C73" s="467"/>
      <c r="D73" s="467"/>
      <c r="E73" s="114"/>
      <c r="F73" s="114" t="s">
        <v>1180</v>
      </c>
      <c r="G73" s="114" t="s">
        <v>68</v>
      </c>
      <c r="H73" s="114" t="s">
        <v>702</v>
      </c>
      <c r="I73" s="114"/>
      <c r="J73" s="100">
        <f>55/ATHENS!O1*ATHENS!O2</f>
        <v>99.999999999999986</v>
      </c>
      <c r="K73" s="100">
        <f>80/ATHENS!O1*ATHENS!O2</f>
        <v>145.45454545454544</v>
      </c>
      <c r="L73" s="100">
        <f>120/ATHENS!O1*ATHENS!O2</f>
        <v>218.18181818181816</v>
      </c>
      <c r="M73" s="126"/>
      <c r="N73" s="126"/>
    </row>
    <row r="74" spans="1:14" s="111" customFormat="1" x14ac:dyDescent="0.2">
      <c r="A74" s="116"/>
      <c r="B74" s="461" t="s">
        <v>67</v>
      </c>
      <c r="C74" s="461"/>
      <c r="D74" s="461"/>
      <c r="E74" s="120"/>
      <c r="F74" s="120" t="s">
        <v>1181</v>
      </c>
      <c r="G74" s="120" t="s">
        <v>68</v>
      </c>
      <c r="H74" s="120" t="s">
        <v>702</v>
      </c>
      <c r="I74" s="120"/>
      <c r="J74" s="100">
        <f>37.5/ATHENS!O1*ATHENS!O2</f>
        <v>68.181818181818173</v>
      </c>
      <c r="K74" s="100">
        <f>57.5/ATHENS!O1*ATHENS!O2</f>
        <v>104.54545454545453</v>
      </c>
      <c r="L74" s="100">
        <f>71/ATHENS!O1*ATHENS!O2</f>
        <v>129.09090909090909</v>
      </c>
      <c r="M74" s="100"/>
      <c r="N74" s="100"/>
    </row>
    <row r="75" spans="1:14" s="111" customFormat="1" ht="13.5" thickBot="1" x14ac:dyDescent="0.25">
      <c r="A75" s="121"/>
      <c r="B75" s="460" t="s">
        <v>67</v>
      </c>
      <c r="C75" s="460"/>
      <c r="D75" s="460"/>
      <c r="E75" s="123"/>
      <c r="F75" s="123" t="s">
        <v>1182</v>
      </c>
      <c r="G75" s="123" t="s">
        <v>68</v>
      </c>
      <c r="H75" s="123" t="s">
        <v>702</v>
      </c>
      <c r="I75" s="123"/>
      <c r="J75" s="105">
        <f>33.5/ATHENS!O1*ATHENS!O2</f>
        <v>60.909090909090907</v>
      </c>
      <c r="K75" s="105">
        <f>51.6/ATHENS!O1*ATHENS!O2</f>
        <v>93.818181818181813</v>
      </c>
      <c r="L75" s="105">
        <f>61.6/ATHENS!O1*ATHENS!O2</f>
        <v>112</v>
      </c>
      <c r="M75" s="105"/>
      <c r="N75" s="105"/>
    </row>
    <row r="76" spans="1:14" s="111" customFormat="1" ht="13.5" thickBot="1" x14ac:dyDescent="0.25">
      <c r="A76" s="239"/>
      <c r="B76" s="119"/>
      <c r="C76" s="119"/>
      <c r="D76" s="119"/>
      <c r="E76" s="120"/>
      <c r="F76" s="120"/>
      <c r="G76" s="120"/>
      <c r="H76" s="120"/>
      <c r="I76" s="120"/>
      <c r="J76" s="120"/>
      <c r="K76" s="120"/>
      <c r="L76" s="120"/>
      <c r="M76" s="120"/>
      <c r="N76" s="120"/>
    </row>
    <row r="77" spans="1:14" s="111" customFormat="1" x14ac:dyDescent="0.2">
      <c r="A77" s="20"/>
      <c r="B77" s="21"/>
      <c r="C77" s="21"/>
      <c r="D77" s="21"/>
      <c r="E77" s="22"/>
      <c r="F77" s="22"/>
      <c r="G77" s="22"/>
      <c r="H77" s="22"/>
      <c r="I77" s="22"/>
      <c r="J77" s="22"/>
      <c r="K77" s="22"/>
      <c r="L77" s="22"/>
      <c r="M77" s="22"/>
      <c r="N77" s="23"/>
    </row>
    <row r="78" spans="1:14" s="111" customFormat="1" ht="15" x14ac:dyDescent="0.2">
      <c r="A78" s="24"/>
      <c r="B78" s="440" t="s">
        <v>1703</v>
      </c>
      <c r="C78" s="441"/>
      <c r="D78" s="441"/>
      <c r="E78" s="441"/>
      <c r="F78" s="441"/>
      <c r="G78" s="441"/>
      <c r="H78" s="441"/>
      <c r="I78" s="441"/>
      <c r="J78" s="441"/>
      <c r="K78" s="441"/>
      <c r="L78" s="441"/>
      <c r="M78" s="442"/>
      <c r="N78" s="25" t="s">
        <v>664</v>
      </c>
    </row>
    <row r="79" spans="1:14" s="111" customFormat="1" x14ac:dyDescent="0.2">
      <c r="A79" s="24"/>
      <c r="B79" s="26" t="s">
        <v>428</v>
      </c>
      <c r="C79" s="27" t="s">
        <v>1705</v>
      </c>
      <c r="D79" s="27"/>
      <c r="E79" s="28"/>
      <c r="F79" s="28"/>
      <c r="G79" s="28"/>
      <c r="H79" s="28"/>
      <c r="I79" s="28"/>
      <c r="J79" s="28"/>
      <c r="K79" s="28"/>
      <c r="L79" s="28"/>
      <c r="M79" s="28"/>
      <c r="N79" s="29"/>
    </row>
    <row r="80" spans="1:14" s="111" customFormat="1" x14ac:dyDescent="0.2">
      <c r="A80" s="24"/>
      <c r="B80" s="26" t="s">
        <v>429</v>
      </c>
      <c r="C80" s="27" t="s">
        <v>1673</v>
      </c>
      <c r="D80" s="27"/>
      <c r="E80" s="28"/>
      <c r="F80" s="28"/>
      <c r="G80" s="28"/>
      <c r="H80" s="28"/>
      <c r="I80" s="28"/>
      <c r="J80" s="28"/>
      <c r="K80" s="28"/>
      <c r="L80" s="28"/>
      <c r="M80" s="28"/>
      <c r="N80" s="29"/>
    </row>
    <row r="81" spans="1:14" s="111" customFormat="1" x14ac:dyDescent="0.2">
      <c r="A81" s="24"/>
      <c r="B81" s="26" t="s">
        <v>427</v>
      </c>
      <c r="C81" s="436" t="s">
        <v>1704</v>
      </c>
      <c r="D81" s="436"/>
      <c r="E81" s="436"/>
      <c r="F81" s="436"/>
      <c r="G81" s="436"/>
      <c r="H81" s="436"/>
      <c r="I81" s="436"/>
      <c r="J81" s="436"/>
      <c r="K81" s="436"/>
      <c r="L81" s="436"/>
      <c r="M81" s="436"/>
      <c r="N81" s="437"/>
    </row>
    <row r="82" spans="1:14" s="111" customFormat="1" x14ac:dyDescent="0.2">
      <c r="A82" s="24"/>
      <c r="B82" s="27"/>
      <c r="C82" s="436"/>
      <c r="D82" s="436"/>
      <c r="E82" s="436"/>
      <c r="F82" s="436"/>
      <c r="G82" s="436"/>
      <c r="H82" s="436"/>
      <c r="I82" s="436"/>
      <c r="J82" s="436"/>
      <c r="K82" s="436"/>
      <c r="L82" s="436"/>
      <c r="M82" s="436"/>
      <c r="N82" s="437"/>
    </row>
    <row r="83" spans="1:14" s="111" customFormat="1" x14ac:dyDescent="0.2">
      <c r="A83" s="24"/>
      <c r="B83" s="26" t="s">
        <v>426</v>
      </c>
      <c r="C83" s="27" t="s">
        <v>1705</v>
      </c>
      <c r="D83" s="27"/>
      <c r="E83" s="28"/>
      <c r="F83" s="28"/>
      <c r="G83" s="28"/>
      <c r="H83" s="28"/>
      <c r="I83" s="28"/>
      <c r="J83" s="28"/>
      <c r="K83" s="28"/>
      <c r="L83" s="28"/>
      <c r="M83" s="28"/>
      <c r="N83" s="29"/>
    </row>
    <row r="84" spans="1:14" s="111" customFormat="1" ht="13.5" thickBot="1" x14ac:dyDescent="0.25">
      <c r="A84" s="30"/>
      <c r="B84" s="26" t="s">
        <v>430</v>
      </c>
      <c r="C84" s="31"/>
      <c r="D84" s="31"/>
      <c r="E84" s="32"/>
      <c r="F84" s="32"/>
      <c r="G84" s="32"/>
      <c r="H84" s="32"/>
      <c r="I84" s="32"/>
      <c r="J84" s="32"/>
      <c r="K84" s="32"/>
      <c r="L84" s="32"/>
      <c r="M84" s="32"/>
      <c r="N84" s="33"/>
    </row>
    <row r="85" spans="1:14" s="111" customFormat="1" x14ac:dyDescent="0.2">
      <c r="A85" s="24"/>
      <c r="B85" s="21" t="s">
        <v>263</v>
      </c>
      <c r="C85" s="27"/>
      <c r="D85" s="27"/>
      <c r="E85" s="28"/>
      <c r="F85" s="28"/>
      <c r="G85" s="28"/>
      <c r="H85" s="28"/>
      <c r="I85" s="28"/>
      <c r="J85" s="67" t="s">
        <v>339</v>
      </c>
      <c r="K85" s="63" t="s">
        <v>279</v>
      </c>
      <c r="L85" s="63"/>
      <c r="M85" s="63"/>
      <c r="N85" s="63"/>
    </row>
    <row r="86" spans="1:14" s="111" customFormat="1" ht="13.5" thickBot="1" x14ac:dyDescent="0.25">
      <c r="A86" s="30"/>
      <c r="B86" s="31"/>
      <c r="C86" s="31"/>
      <c r="D86" s="31"/>
      <c r="E86" s="32"/>
      <c r="F86" s="32"/>
      <c r="G86" s="32"/>
      <c r="H86" s="32"/>
      <c r="I86" s="32"/>
      <c r="J86" s="49" t="s">
        <v>341</v>
      </c>
      <c r="K86" s="40" t="s">
        <v>520</v>
      </c>
      <c r="L86" s="40" t="s">
        <v>514</v>
      </c>
      <c r="M86" s="40" t="s">
        <v>481</v>
      </c>
      <c r="N86" s="40"/>
    </row>
    <row r="87" spans="1:14" s="111" customFormat="1" x14ac:dyDescent="0.2">
      <c r="A87" s="20"/>
      <c r="B87" s="434" t="s">
        <v>67</v>
      </c>
      <c r="C87" s="434"/>
      <c r="D87" s="434"/>
      <c r="E87" s="22"/>
      <c r="F87" s="22" t="s">
        <v>1180</v>
      </c>
      <c r="G87" s="22" t="s">
        <v>68</v>
      </c>
      <c r="H87" s="22" t="s">
        <v>702</v>
      </c>
      <c r="I87" s="28"/>
      <c r="J87" s="75">
        <f>39.5/ATHENS!O1*ATHENS!O2</f>
        <v>71.818181818181813</v>
      </c>
      <c r="K87" s="75">
        <f>44.9/ATHENS!O1*ATHENS!O2</f>
        <v>81.636363636363626</v>
      </c>
      <c r="L87" s="44">
        <f>75/ATHENS!O1*ATHENS!O2</f>
        <v>136.36363636363635</v>
      </c>
      <c r="M87" s="42">
        <f>34/ATHENS!O1*ATHENS!O2</f>
        <v>61.818181818181813</v>
      </c>
      <c r="N87" s="42"/>
    </row>
    <row r="88" spans="1:14" s="111" customFormat="1" x14ac:dyDescent="0.2">
      <c r="A88" s="24"/>
      <c r="B88" s="435" t="s">
        <v>67</v>
      </c>
      <c r="C88" s="435"/>
      <c r="D88" s="435"/>
      <c r="E88" s="28"/>
      <c r="F88" s="28" t="s">
        <v>1181</v>
      </c>
      <c r="G88" s="28" t="s">
        <v>68</v>
      </c>
      <c r="H88" s="28" t="s">
        <v>702</v>
      </c>
      <c r="I88" s="28"/>
      <c r="J88" s="75">
        <f>19.7/ATHENS!O1*ATHENS!O2</f>
        <v>35.818181818181813</v>
      </c>
      <c r="K88" s="75">
        <f>22.5/ATHENS!O1*ATHENS!O2</f>
        <v>40.909090909090907</v>
      </c>
      <c r="L88" s="44">
        <f>38/ATHENS!O1*ATHENS!O2</f>
        <v>69.090909090909079</v>
      </c>
      <c r="M88" s="44">
        <f>17/ATHENS!O1*ATHENS!O2</f>
        <v>30.909090909090907</v>
      </c>
      <c r="N88" s="44"/>
    </row>
    <row r="89" spans="1:14" s="111" customFormat="1" x14ac:dyDescent="0.2">
      <c r="A89" s="24"/>
      <c r="B89" s="68" t="s">
        <v>67</v>
      </c>
      <c r="C89" s="27"/>
      <c r="D89" s="27"/>
      <c r="E89" s="28"/>
      <c r="F89" s="28" t="s">
        <v>1182</v>
      </c>
      <c r="G89" s="28" t="s">
        <v>68</v>
      </c>
      <c r="H89" s="28" t="s">
        <v>702</v>
      </c>
      <c r="I89" s="28"/>
      <c r="J89" s="75">
        <f>17.5/ATHENS!O1*ATHENS!O2</f>
        <v>31.818181818181817</v>
      </c>
      <c r="K89" s="75">
        <f>19.5/ATHENS!O1*ATHENS!O2</f>
        <v>35.454545454545453</v>
      </c>
      <c r="L89" s="44">
        <f>34/ATHENS!O1*ATHENS!O2</f>
        <v>61.818181818181813</v>
      </c>
      <c r="M89" s="44">
        <f>15/ATHENS!O1*ATHENS!O2</f>
        <v>27.27272727272727</v>
      </c>
      <c r="N89" s="44"/>
    </row>
    <row r="90" spans="1:14" s="111" customFormat="1" ht="13.5" thickBot="1" x14ac:dyDescent="0.25">
      <c r="A90" s="30"/>
      <c r="B90" s="443"/>
      <c r="C90" s="443"/>
      <c r="D90" s="443"/>
      <c r="E90" s="32"/>
      <c r="F90" s="89"/>
      <c r="G90" s="89"/>
      <c r="H90" s="32"/>
      <c r="I90" s="32"/>
      <c r="J90" s="76"/>
      <c r="K90" s="76"/>
      <c r="L90" s="46"/>
      <c r="M90" s="46"/>
      <c r="N90" s="46"/>
    </row>
    <row r="91" spans="1:14" s="111" customFormat="1" x14ac:dyDescent="0.2">
      <c r="A91" s="108"/>
      <c r="B91" s="109"/>
      <c r="C91" s="109"/>
      <c r="D91" s="109"/>
      <c r="E91" s="110"/>
      <c r="F91" s="110"/>
      <c r="G91" s="110"/>
      <c r="H91" s="110"/>
      <c r="I91" s="110"/>
      <c r="J91" s="110"/>
      <c r="K91" s="110"/>
      <c r="L91" s="110"/>
      <c r="M91" s="110"/>
      <c r="N91" s="110"/>
    </row>
    <row r="92" spans="1:14" s="111" customFormat="1" x14ac:dyDescent="0.2">
      <c r="A92" s="108"/>
      <c r="B92" s="109"/>
      <c r="C92" s="109"/>
      <c r="D92" s="109"/>
      <c r="E92" s="110"/>
      <c r="F92" s="110"/>
      <c r="G92" s="110"/>
      <c r="H92" s="110"/>
      <c r="I92" s="110"/>
      <c r="J92" s="110"/>
      <c r="K92" s="110"/>
      <c r="L92" s="110"/>
      <c r="M92" s="110"/>
      <c r="N92" s="110"/>
    </row>
    <row r="93" spans="1:14" s="111" customFormat="1" ht="13.5" thickBot="1" x14ac:dyDescent="0.25">
      <c r="A93" s="108"/>
      <c r="B93" s="109"/>
      <c r="C93" s="109"/>
      <c r="D93" s="109"/>
      <c r="E93" s="110"/>
      <c r="F93" s="110"/>
      <c r="G93" s="110"/>
      <c r="H93" s="110"/>
      <c r="I93" s="110"/>
      <c r="J93" s="110"/>
      <c r="K93" s="110"/>
      <c r="L93" s="110"/>
      <c r="M93" s="110"/>
      <c r="N93" s="110"/>
    </row>
    <row r="94" spans="1:14" s="111" customFormat="1" x14ac:dyDescent="0.2">
      <c r="A94" s="112"/>
      <c r="B94" s="113"/>
      <c r="C94" s="113"/>
      <c r="D94" s="113"/>
      <c r="E94" s="114"/>
      <c r="F94" s="114"/>
      <c r="G94" s="114"/>
      <c r="H94" s="114"/>
      <c r="I94" s="114"/>
      <c r="J94" s="114"/>
      <c r="K94" s="114"/>
      <c r="L94" s="114"/>
      <c r="M94" s="114"/>
      <c r="N94" s="115"/>
    </row>
    <row r="95" spans="1:14" s="111" customFormat="1" ht="15" x14ac:dyDescent="0.2">
      <c r="A95" s="116"/>
      <c r="B95" s="462" t="s">
        <v>356</v>
      </c>
      <c r="C95" s="463"/>
      <c r="D95" s="463"/>
      <c r="E95" s="463"/>
      <c r="F95" s="463"/>
      <c r="G95" s="463"/>
      <c r="H95" s="463"/>
      <c r="I95" s="463"/>
      <c r="J95" s="463"/>
      <c r="K95" s="463"/>
      <c r="L95" s="463"/>
      <c r="M95" s="464"/>
      <c r="N95" s="117" t="s">
        <v>664</v>
      </c>
    </row>
    <row r="96" spans="1:14" s="111" customFormat="1" x14ac:dyDescent="0.2">
      <c r="A96" s="116"/>
      <c r="B96" s="118" t="s">
        <v>428</v>
      </c>
      <c r="C96" s="119" t="s">
        <v>355</v>
      </c>
      <c r="D96" s="119"/>
      <c r="E96" s="120"/>
      <c r="F96" s="120"/>
      <c r="G96" s="120"/>
      <c r="H96" s="120"/>
      <c r="I96" s="120"/>
      <c r="J96" s="120"/>
      <c r="K96" s="120"/>
      <c r="L96" s="120"/>
      <c r="M96" s="120"/>
      <c r="N96" s="101"/>
    </row>
    <row r="97" spans="1:14" s="111" customFormat="1" x14ac:dyDescent="0.2">
      <c r="A97" s="116"/>
      <c r="B97" s="118" t="s">
        <v>429</v>
      </c>
      <c r="C97" s="119" t="s">
        <v>1299</v>
      </c>
      <c r="D97" s="119"/>
      <c r="E97" s="120"/>
      <c r="F97" s="120"/>
      <c r="G97" s="120"/>
      <c r="H97" s="120"/>
      <c r="I97" s="120"/>
      <c r="J97" s="120"/>
      <c r="K97" s="120"/>
      <c r="L97" s="120"/>
      <c r="M97" s="120"/>
      <c r="N97" s="101"/>
    </row>
    <row r="98" spans="1:14" s="111" customFormat="1" x14ac:dyDescent="0.2">
      <c r="A98" s="116"/>
      <c r="B98" s="118" t="s">
        <v>427</v>
      </c>
      <c r="C98" s="480" t="s">
        <v>357</v>
      </c>
      <c r="D98" s="480"/>
      <c r="E98" s="480"/>
      <c r="F98" s="480"/>
      <c r="G98" s="480"/>
      <c r="H98" s="480"/>
      <c r="I98" s="480"/>
      <c r="J98" s="480"/>
      <c r="K98" s="480"/>
      <c r="L98" s="480"/>
      <c r="M98" s="480"/>
      <c r="N98" s="481"/>
    </row>
    <row r="99" spans="1:14" s="111" customFormat="1" x14ac:dyDescent="0.2">
      <c r="A99" s="116"/>
      <c r="B99" s="118"/>
      <c r="C99" s="480"/>
      <c r="D99" s="480"/>
      <c r="E99" s="480"/>
      <c r="F99" s="480"/>
      <c r="G99" s="480"/>
      <c r="H99" s="480"/>
      <c r="I99" s="480"/>
      <c r="J99" s="480"/>
      <c r="K99" s="480"/>
      <c r="L99" s="480"/>
      <c r="M99" s="480"/>
      <c r="N99" s="481"/>
    </row>
    <row r="100" spans="1:14" s="111" customFormat="1" x14ac:dyDescent="0.2">
      <c r="A100" s="116"/>
      <c r="B100" s="118"/>
      <c r="C100" s="480"/>
      <c r="D100" s="480"/>
      <c r="E100" s="480"/>
      <c r="F100" s="480"/>
      <c r="G100" s="480"/>
      <c r="H100" s="480"/>
      <c r="I100" s="480"/>
      <c r="J100" s="480"/>
      <c r="K100" s="480"/>
      <c r="L100" s="480"/>
      <c r="M100" s="480"/>
      <c r="N100" s="481"/>
    </row>
    <row r="101" spans="1:14" s="111" customFormat="1" x14ac:dyDescent="0.2">
      <c r="A101" s="116"/>
      <c r="B101" s="109"/>
      <c r="C101" s="480"/>
      <c r="D101" s="480"/>
      <c r="E101" s="480"/>
      <c r="F101" s="480"/>
      <c r="G101" s="480"/>
      <c r="H101" s="480"/>
      <c r="I101" s="480"/>
      <c r="J101" s="480"/>
      <c r="K101" s="480"/>
      <c r="L101" s="480"/>
      <c r="M101" s="480"/>
      <c r="N101" s="481"/>
    </row>
    <row r="102" spans="1:14" s="111" customFormat="1" x14ac:dyDescent="0.2">
      <c r="A102" s="116"/>
      <c r="B102" s="109"/>
      <c r="C102" s="480"/>
      <c r="D102" s="480"/>
      <c r="E102" s="480"/>
      <c r="F102" s="480"/>
      <c r="G102" s="480"/>
      <c r="H102" s="480"/>
      <c r="I102" s="480"/>
      <c r="J102" s="480"/>
      <c r="K102" s="480"/>
      <c r="L102" s="480"/>
      <c r="M102" s="480"/>
      <c r="N102" s="481"/>
    </row>
    <row r="103" spans="1:14" s="111" customFormat="1" x14ac:dyDescent="0.2">
      <c r="A103" s="116"/>
      <c r="B103" s="118" t="s">
        <v>426</v>
      </c>
      <c r="C103" s="119"/>
      <c r="D103" s="119"/>
      <c r="E103" s="120"/>
      <c r="F103" s="120"/>
      <c r="G103" s="120"/>
      <c r="H103" s="120"/>
      <c r="I103" s="120"/>
      <c r="J103" s="120"/>
      <c r="K103" s="120"/>
      <c r="L103" s="120"/>
      <c r="M103" s="120"/>
      <c r="N103" s="101"/>
    </row>
    <row r="104" spans="1:14" s="111" customFormat="1" ht="13.5" thickBot="1" x14ac:dyDescent="0.25">
      <c r="A104" s="121"/>
      <c r="B104" s="118" t="s">
        <v>430</v>
      </c>
      <c r="C104" s="122"/>
      <c r="D104" s="122"/>
      <c r="E104" s="123"/>
      <c r="F104" s="123"/>
      <c r="G104" s="123"/>
      <c r="H104" s="123"/>
      <c r="I104" s="123"/>
      <c r="J104" s="123"/>
      <c r="K104" s="123"/>
      <c r="L104" s="123"/>
      <c r="M104" s="123"/>
      <c r="N104" s="104"/>
    </row>
    <row r="105" spans="1:14" s="111" customFormat="1" ht="13.5" thickBot="1" x14ac:dyDescent="0.25">
      <c r="A105" s="112"/>
      <c r="B105" s="113" t="s">
        <v>263</v>
      </c>
      <c r="C105" s="113"/>
      <c r="D105" s="113"/>
      <c r="E105" s="114"/>
      <c r="F105" s="114"/>
      <c r="G105" s="114"/>
      <c r="H105" s="114"/>
      <c r="I105" s="114"/>
      <c r="J105" s="157" t="s">
        <v>2069</v>
      </c>
      <c r="K105" s="111" t="s">
        <v>175</v>
      </c>
      <c r="L105" s="127"/>
      <c r="M105" s="126"/>
      <c r="N105" s="126"/>
    </row>
    <row r="106" spans="1:14" s="111" customFormat="1" ht="13.5" thickBot="1" x14ac:dyDescent="0.25">
      <c r="A106" s="121"/>
      <c r="B106" s="122"/>
      <c r="C106" s="122"/>
      <c r="D106" s="122"/>
      <c r="E106" s="123"/>
      <c r="F106" s="123"/>
      <c r="G106" s="123"/>
      <c r="H106" s="123"/>
      <c r="I106" s="123"/>
      <c r="J106" s="125" t="s">
        <v>2070</v>
      </c>
      <c r="K106" s="157" t="s">
        <v>2071</v>
      </c>
      <c r="L106" s="125" t="s">
        <v>480</v>
      </c>
      <c r="M106" s="105"/>
      <c r="N106" s="105"/>
    </row>
    <row r="107" spans="1:14" s="111" customFormat="1" x14ac:dyDescent="0.2">
      <c r="A107" s="112"/>
      <c r="B107" s="467" t="s">
        <v>67</v>
      </c>
      <c r="C107" s="467"/>
      <c r="D107" s="467"/>
      <c r="E107" s="114"/>
      <c r="F107" s="114" t="s">
        <v>1180</v>
      </c>
      <c r="G107" s="114" t="s">
        <v>68</v>
      </c>
      <c r="H107" s="114" t="s">
        <v>702</v>
      </c>
      <c r="I107" s="114"/>
      <c r="J107" s="100">
        <f>60.7/ATHENS!O1*ATHENS!O2</f>
        <v>110.36363636363636</v>
      </c>
      <c r="K107" s="100">
        <f>76.8/ATHENS!O1*ATHENS!O2</f>
        <v>139.63636363636363</v>
      </c>
      <c r="L107" s="100">
        <f>141.5/ATHENS!O1*ATHENS!O2</f>
        <v>257.27272727272725</v>
      </c>
      <c r="M107" s="126"/>
      <c r="N107" s="126"/>
    </row>
    <row r="108" spans="1:14" s="111" customFormat="1" x14ac:dyDescent="0.2">
      <c r="A108" s="116"/>
      <c r="B108" s="461" t="s">
        <v>67</v>
      </c>
      <c r="C108" s="461"/>
      <c r="D108" s="461"/>
      <c r="E108" s="120"/>
      <c r="F108" s="120" t="s">
        <v>1181</v>
      </c>
      <c r="G108" s="120" t="s">
        <v>68</v>
      </c>
      <c r="H108" s="120" t="s">
        <v>702</v>
      </c>
      <c r="I108" s="120"/>
      <c r="J108" s="100">
        <f>32.5/ATHENS!O1*ATHENS!O2</f>
        <v>59.090909090909086</v>
      </c>
      <c r="K108" s="100">
        <f>46.5/ATHENS!O1*ATHENS!O2</f>
        <v>84.545454545454533</v>
      </c>
      <c r="L108" s="100">
        <f>70.7/ATHENS!O1*ATHENS!O2</f>
        <v>128.54545454545453</v>
      </c>
      <c r="M108" s="100"/>
      <c r="N108" s="100"/>
    </row>
    <row r="109" spans="1:14" s="111" customFormat="1" ht="13.5" thickBot="1" x14ac:dyDescent="0.25">
      <c r="A109" s="121"/>
      <c r="B109" s="460" t="s">
        <v>67</v>
      </c>
      <c r="C109" s="460"/>
      <c r="D109" s="460"/>
      <c r="E109" s="123"/>
      <c r="F109" s="123" t="s">
        <v>1182</v>
      </c>
      <c r="G109" s="123" t="s">
        <v>68</v>
      </c>
      <c r="H109" s="123" t="s">
        <v>702</v>
      </c>
      <c r="I109" s="123"/>
      <c r="J109" s="105">
        <f>27.5/ATHENS!O1*ATHENS!O2</f>
        <v>49.999999999999993</v>
      </c>
      <c r="K109" s="105">
        <f>40.5/ATHENS!O1*ATHENS!O2</f>
        <v>73.636363636363626</v>
      </c>
      <c r="L109" s="105">
        <f>64.9/ATHENS!O1*ATHENS!O2</f>
        <v>118</v>
      </c>
      <c r="M109" s="105"/>
      <c r="N109" s="105"/>
    </row>
    <row r="110" spans="1:14" s="111" customFormat="1" ht="13.5" thickBot="1" x14ac:dyDescent="0.25">
      <c r="A110" s="108"/>
      <c r="B110" s="109"/>
      <c r="C110" s="109"/>
      <c r="D110" s="109"/>
      <c r="E110" s="110"/>
      <c r="F110" s="110"/>
      <c r="G110" s="110"/>
      <c r="H110" s="110"/>
      <c r="I110" s="110"/>
      <c r="J110" s="110"/>
      <c r="K110" s="110"/>
      <c r="L110" s="110"/>
      <c r="M110" s="110"/>
      <c r="N110" s="110"/>
    </row>
    <row r="111" spans="1:14" s="111" customFormat="1" x14ac:dyDescent="0.2">
      <c r="A111" s="112"/>
      <c r="B111" s="113"/>
      <c r="C111" s="113"/>
      <c r="D111" s="113"/>
      <c r="E111" s="114"/>
      <c r="F111" s="114"/>
      <c r="G111" s="114"/>
      <c r="H111" s="114"/>
      <c r="I111" s="114"/>
      <c r="J111" s="114"/>
      <c r="K111" s="114"/>
      <c r="L111" s="114"/>
      <c r="M111" s="114"/>
      <c r="N111" s="115"/>
    </row>
    <row r="112" spans="1:14" s="111" customFormat="1" ht="15" x14ac:dyDescent="0.2">
      <c r="A112" s="116"/>
      <c r="B112" s="462" t="s">
        <v>931</v>
      </c>
      <c r="C112" s="463"/>
      <c r="D112" s="463"/>
      <c r="E112" s="463"/>
      <c r="F112" s="463"/>
      <c r="G112" s="463"/>
      <c r="H112" s="463"/>
      <c r="I112" s="463"/>
      <c r="J112" s="463"/>
      <c r="K112" s="463"/>
      <c r="L112" s="463"/>
      <c r="M112" s="464"/>
      <c r="N112" s="117" t="s">
        <v>664</v>
      </c>
    </row>
    <row r="113" spans="1:14" s="111" customFormat="1" x14ac:dyDescent="0.2">
      <c r="A113" s="116"/>
      <c r="B113" s="118" t="s">
        <v>428</v>
      </c>
      <c r="C113" s="119" t="s">
        <v>561</v>
      </c>
      <c r="D113" s="119"/>
      <c r="E113" s="120"/>
      <c r="F113" s="120"/>
      <c r="G113" s="120"/>
      <c r="H113" s="120"/>
      <c r="I113" s="120"/>
      <c r="J113" s="120"/>
      <c r="K113" s="120"/>
      <c r="L113" s="120"/>
      <c r="M113" s="120"/>
      <c r="N113" s="101"/>
    </row>
    <row r="114" spans="1:14" s="111" customFormat="1" x14ac:dyDescent="0.2">
      <c r="A114" s="116"/>
      <c r="B114" s="118" t="s">
        <v>429</v>
      </c>
      <c r="C114" s="119" t="s">
        <v>193</v>
      </c>
      <c r="D114" s="119"/>
      <c r="E114" s="120"/>
      <c r="F114" s="120"/>
      <c r="G114" s="120"/>
      <c r="H114" s="120"/>
      <c r="I114" s="120"/>
      <c r="J114" s="120"/>
      <c r="K114" s="120"/>
      <c r="L114" s="120"/>
      <c r="M114" s="120"/>
      <c r="N114" s="101"/>
    </row>
    <row r="115" spans="1:14" s="111" customFormat="1" x14ac:dyDescent="0.2">
      <c r="A115" s="116"/>
      <c r="B115" s="118" t="s">
        <v>427</v>
      </c>
      <c r="C115" s="480" t="s">
        <v>838</v>
      </c>
      <c r="D115" s="480"/>
      <c r="E115" s="480"/>
      <c r="F115" s="480"/>
      <c r="G115" s="480"/>
      <c r="H115" s="480"/>
      <c r="I115" s="480"/>
      <c r="J115" s="480"/>
      <c r="K115" s="480"/>
      <c r="L115" s="480"/>
      <c r="M115" s="480"/>
      <c r="N115" s="481"/>
    </row>
    <row r="116" spans="1:14" s="111" customFormat="1" x14ac:dyDescent="0.2">
      <c r="A116" s="116"/>
      <c r="B116" s="118"/>
      <c r="C116" s="480"/>
      <c r="D116" s="480"/>
      <c r="E116" s="480"/>
      <c r="F116" s="480"/>
      <c r="G116" s="480"/>
      <c r="H116" s="480"/>
      <c r="I116" s="480"/>
      <c r="J116" s="480"/>
      <c r="K116" s="480"/>
      <c r="L116" s="480"/>
      <c r="M116" s="480"/>
      <c r="N116" s="481"/>
    </row>
    <row r="117" spans="1:14" s="111" customFormat="1" x14ac:dyDescent="0.2">
      <c r="A117" s="116"/>
      <c r="B117" s="109"/>
      <c r="C117" s="480"/>
      <c r="D117" s="480"/>
      <c r="E117" s="480"/>
      <c r="F117" s="480"/>
      <c r="G117" s="480"/>
      <c r="H117" s="480"/>
      <c r="I117" s="480"/>
      <c r="J117" s="480"/>
      <c r="K117" s="480"/>
      <c r="L117" s="480"/>
      <c r="M117" s="480"/>
      <c r="N117" s="481"/>
    </row>
    <row r="118" spans="1:14" s="111" customFormat="1" ht="13.5" thickBot="1" x14ac:dyDescent="0.25">
      <c r="A118" s="116"/>
      <c r="B118" s="118" t="s">
        <v>426</v>
      </c>
      <c r="C118" s="119" t="s">
        <v>932</v>
      </c>
      <c r="D118" s="119"/>
      <c r="E118" s="120"/>
      <c r="F118" s="120"/>
      <c r="G118" s="120"/>
      <c r="H118" s="120"/>
      <c r="I118" s="120"/>
      <c r="J118" s="120"/>
      <c r="K118" s="120"/>
      <c r="L118" s="120"/>
      <c r="M118" s="120"/>
      <c r="N118" s="101"/>
    </row>
    <row r="119" spans="1:14" s="111" customFormat="1" x14ac:dyDescent="0.2">
      <c r="A119" s="112"/>
      <c r="B119" s="113" t="s">
        <v>263</v>
      </c>
      <c r="C119" s="113"/>
      <c r="D119" s="113"/>
      <c r="E119" s="114"/>
      <c r="F119" s="114"/>
      <c r="G119" s="114"/>
      <c r="H119" s="114"/>
      <c r="I119" s="114"/>
      <c r="J119" s="127" t="s">
        <v>65</v>
      </c>
      <c r="K119" s="126" t="s">
        <v>175</v>
      </c>
      <c r="L119" s="126"/>
      <c r="M119" s="126"/>
      <c r="N119" s="126"/>
    </row>
    <row r="120" spans="1:14" s="111" customFormat="1" ht="13.5" thickBot="1" x14ac:dyDescent="0.25">
      <c r="A120" s="121"/>
      <c r="B120" s="122" t="s">
        <v>263</v>
      </c>
      <c r="C120" s="122"/>
      <c r="D120" s="122"/>
      <c r="E120" s="123"/>
      <c r="F120" s="123"/>
      <c r="G120" s="123"/>
      <c r="H120" s="123"/>
      <c r="I120" s="123"/>
      <c r="J120" s="125" t="s">
        <v>1407</v>
      </c>
      <c r="K120" s="105" t="s">
        <v>482</v>
      </c>
      <c r="L120" s="105" t="s">
        <v>752</v>
      </c>
      <c r="M120" s="105"/>
      <c r="N120" s="105"/>
    </row>
    <row r="121" spans="1:14" s="111" customFormat="1" x14ac:dyDescent="0.2">
      <c r="A121" s="112"/>
      <c r="B121" s="467" t="s">
        <v>67</v>
      </c>
      <c r="C121" s="467"/>
      <c r="D121" s="467"/>
      <c r="E121" s="114"/>
      <c r="F121" s="114" t="s">
        <v>1180</v>
      </c>
      <c r="G121" s="114" t="s">
        <v>68</v>
      </c>
      <c r="H121" s="114" t="s">
        <v>702</v>
      </c>
      <c r="I121" s="114"/>
      <c r="J121" s="100">
        <f>32.07/ATHENS!O1*ATHENS!O2</f>
        <v>58.309090909090905</v>
      </c>
      <c r="K121" s="100">
        <f>47.5/ATHENS!O1*ATHENS!O2</f>
        <v>86.36363636363636</v>
      </c>
      <c r="L121" s="100">
        <f>90.9/ATHENS!O1*ATHENS!O2</f>
        <v>165.27272727272728</v>
      </c>
      <c r="M121" s="126"/>
      <c r="N121" s="126"/>
    </row>
    <row r="122" spans="1:14" s="111" customFormat="1" x14ac:dyDescent="0.2">
      <c r="A122" s="116"/>
      <c r="B122" s="461" t="s">
        <v>67</v>
      </c>
      <c r="C122" s="461"/>
      <c r="D122" s="461"/>
      <c r="E122" s="120"/>
      <c r="F122" s="120" t="s">
        <v>1181</v>
      </c>
      <c r="G122" s="120" t="s">
        <v>68</v>
      </c>
      <c r="H122" s="120" t="s">
        <v>702</v>
      </c>
      <c r="I122" s="120"/>
      <c r="J122" s="100">
        <f>19.5/ATHENS!O1*ATHENS!O2</f>
        <v>35.454545454545453</v>
      </c>
      <c r="K122" s="100">
        <f>26.5/ATHENS!O1*ATHENS!O2</f>
        <v>48.18181818181818</v>
      </c>
      <c r="L122" s="100">
        <f>45.5/ATHENS!O1*ATHENS!O2</f>
        <v>82.72727272727272</v>
      </c>
      <c r="M122" s="100"/>
      <c r="N122" s="100"/>
    </row>
    <row r="123" spans="1:14" s="111" customFormat="1" ht="13.5" thickBot="1" x14ac:dyDescent="0.25">
      <c r="A123" s="121"/>
      <c r="B123" s="460" t="s">
        <v>67</v>
      </c>
      <c r="C123" s="460"/>
      <c r="D123" s="460"/>
      <c r="E123" s="123"/>
      <c r="F123" s="123" t="s">
        <v>1182</v>
      </c>
      <c r="G123" s="123" t="s">
        <v>68</v>
      </c>
      <c r="H123" s="123" t="s">
        <v>702</v>
      </c>
      <c r="I123" s="123"/>
      <c r="J123" s="105">
        <f>15.6/ATHENS!O1*ATHENS!O2</f>
        <v>28.36363636363636</v>
      </c>
      <c r="K123" s="105">
        <f>23.5/ATHENS!O1*ATHENS!O2</f>
        <v>42.727272727272727</v>
      </c>
      <c r="L123" s="105">
        <f>39.5/ATHENS!O1*ATHENS!O2</f>
        <v>71.818181818181813</v>
      </c>
      <c r="M123" s="105"/>
      <c r="N123" s="105"/>
    </row>
    <row r="124" spans="1:14" s="111" customFormat="1" x14ac:dyDescent="0.2">
      <c r="A124" s="108"/>
      <c r="B124" s="109"/>
      <c r="C124" s="109"/>
      <c r="D124" s="109"/>
      <c r="E124" s="110"/>
      <c r="F124" s="110"/>
      <c r="G124" s="110"/>
      <c r="H124" s="110"/>
      <c r="I124" s="110"/>
      <c r="J124" s="110"/>
      <c r="K124" s="110"/>
      <c r="L124" s="110"/>
      <c r="M124" s="110"/>
      <c r="N124" s="110"/>
    </row>
    <row r="125" spans="1:14" s="111" customFormat="1" x14ac:dyDescent="0.2"/>
    <row r="126" spans="1:14" s="111" customFormat="1" x14ac:dyDescent="0.2"/>
    <row r="127" spans="1:14" s="111" customFormat="1" x14ac:dyDescent="0.2"/>
    <row r="128" spans="1:14" s="111" customFormat="1" x14ac:dyDescent="0.2"/>
    <row r="129" spans="1:14" s="111" customFormat="1" x14ac:dyDescent="0.2"/>
    <row r="130" spans="1:14" s="111" customFormat="1" x14ac:dyDescent="0.2"/>
    <row r="131" spans="1:14" s="111" customFormat="1" x14ac:dyDescent="0.2"/>
    <row r="132" spans="1:14" s="111" customFormat="1" x14ac:dyDescent="0.2"/>
    <row r="133" spans="1:14" s="111" customFormat="1" x14ac:dyDescent="0.2"/>
    <row r="134" spans="1:14" s="111" customFormat="1" x14ac:dyDescent="0.2"/>
    <row r="135" spans="1:14" s="111" customFormat="1" x14ac:dyDescent="0.2"/>
    <row r="136" spans="1:14" s="111" customFormat="1" x14ac:dyDescent="0.2"/>
    <row r="137" spans="1:14" s="111" customFormat="1" x14ac:dyDescent="0.2"/>
    <row r="138" spans="1:14" s="111" customFormat="1" x14ac:dyDescent="0.2"/>
    <row r="139" spans="1:14" s="111" customFormat="1" x14ac:dyDescent="0.2"/>
    <row r="140" spans="1:14" s="111" customFormat="1" x14ac:dyDescent="0.2">
      <c r="A140" s="108"/>
      <c r="B140" s="109"/>
      <c r="C140" s="109"/>
      <c r="D140" s="109"/>
      <c r="E140" s="110"/>
      <c r="F140" s="110"/>
      <c r="G140" s="110"/>
      <c r="H140" s="110"/>
      <c r="I140" s="110"/>
      <c r="J140" s="110"/>
      <c r="K140" s="110"/>
      <c r="L140" s="110"/>
      <c r="M140" s="110"/>
      <c r="N140" s="110"/>
    </row>
  </sheetData>
  <customSheetViews>
    <customSheetView guid="{3C76061C-A85D-4390-B9DB-73E13038638C}" showPageBreaks="1" showGridLines="0" view="pageLayout">
      <selection activeCell="M51" sqref="M51"/>
      <rowBreaks count="1" manualBreakCount="1">
        <brk id="93" max="16383" man="1"/>
      </rowBreaks>
      <pageMargins left="0.28125" right="0.25" top="0.6692913385826772" bottom="0.70866141732283472" header="0.23622047244094491" footer="0.47244094488188981"/>
      <printOptions horizontalCentered="1"/>
      <pageSetup paperSize="9" firstPageNumber="73"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 guid="{777CFE61-6F99-11D9-974B-0050BFD074B6}" showRuler="0">
      <selection activeCell="K14" sqref="K14:N18"/>
      <pageMargins left="0" right="0" top="0" bottom="0" header="0" footer="0"/>
      <pageSetup paperSize="9" orientation="portrait" horizontalDpi="4294967293" verticalDpi="300" r:id="rId2"/>
      <headerFooter alignWithMargins="0"/>
    </customSheetView>
  </customSheetViews>
  <mergeCells count="35">
    <mergeCell ref="B4:M4"/>
    <mergeCell ref="C7:N8"/>
    <mergeCell ref="B13:D13"/>
    <mergeCell ref="B14:D14"/>
    <mergeCell ref="B16:D16"/>
    <mergeCell ref="B33:M33"/>
    <mergeCell ref="B20:M20"/>
    <mergeCell ref="C23:N24"/>
    <mergeCell ref="B27:D27"/>
    <mergeCell ref="B28:D28"/>
    <mergeCell ref="B29:D29"/>
    <mergeCell ref="B90:D90"/>
    <mergeCell ref="B43:D43"/>
    <mergeCell ref="B112:M112"/>
    <mergeCell ref="B108:D108"/>
    <mergeCell ref="B109:D109"/>
    <mergeCell ref="C98:N102"/>
    <mergeCell ref="B95:M95"/>
    <mergeCell ref="C81:N82"/>
    <mergeCell ref="B123:D123"/>
    <mergeCell ref="C115:N117"/>
    <mergeCell ref="B122:D122"/>
    <mergeCell ref="B121:D121"/>
    <mergeCell ref="C36:N39"/>
    <mergeCell ref="B107:D107"/>
    <mergeCell ref="B42:D42"/>
    <mergeCell ref="B44:D44"/>
    <mergeCell ref="B62:M62"/>
    <mergeCell ref="C65:N70"/>
    <mergeCell ref="B73:D73"/>
    <mergeCell ref="B78:M78"/>
    <mergeCell ref="B74:D74"/>
    <mergeCell ref="B75:D75"/>
    <mergeCell ref="B87:D87"/>
    <mergeCell ref="B88:D88"/>
  </mergeCells>
  <phoneticPr fontId="0" type="noConversion"/>
  <hyperlinks>
    <hyperlink ref="B20:M20" r:id="rId3" display="Iria Beach Art Hotel" xr:uid="{00000000-0004-0000-1A00-000000000000}"/>
    <hyperlink ref="B33:M33" r:id="rId4" display="Naxos Palace" xr:uid="{00000000-0004-0000-1A00-000001000000}"/>
    <hyperlink ref="B95:M95" r:id="rId5" display="Astir of Naxos" xr:uid="{00000000-0004-0000-1A00-000002000000}"/>
    <hyperlink ref="B62:M62" r:id="rId6" display="Naxos Resort" xr:uid="{00000000-0004-0000-1A00-000003000000}"/>
    <hyperlink ref="B112:M112" r:id="rId7" display="Naxos Holidays" xr:uid="{00000000-0004-0000-1A00-000004000000}"/>
    <hyperlink ref="B4:M4" r:id="rId8" display="Naxos Island" xr:uid="{00000000-0004-0000-1A00-000005000000}"/>
    <hyperlink ref="B78:M78" r:id="rId9" display="Al Mare" xr:uid="{00000000-0004-0000-1A00-000006000000}"/>
  </hyperlinks>
  <printOptions horizontalCentered="1"/>
  <pageMargins left="0.28125" right="0.25" top="0.6692913385826772" bottom="0.70866141732283472" header="0.23622047244094491" footer="0.47244094488188981"/>
  <pageSetup paperSize="9" firstPageNumber="73" orientation="portrait" useFirstPageNumber="1" horizontalDpi="300" verticalDpi="300" r:id="rId10"/>
  <headerFooter scaleWithDoc="0" alignWithMargins="0">
    <oddHeader xml:space="preserve">&amp;C TARIFF 2021
 (EURO)
</oddHeader>
    <oddFooter>&amp;LAll rates are in EURO&amp;C
TARIFF 2021
&amp;RPage &amp;P</oddFooter>
  </headerFooter>
  <rowBreaks count="1" manualBreakCount="1">
    <brk id="93"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87"/>
  <sheetViews>
    <sheetView showGridLines="0" view="pageLayout" zoomScaleNormal="100" workbookViewId="0">
      <selection activeCell="M53" sqref="M53"/>
    </sheetView>
  </sheetViews>
  <sheetFormatPr defaultRowHeight="12.75" x14ac:dyDescent="0.2"/>
  <cols>
    <col min="1" max="1" width="1.85546875" style="141" customWidth="1"/>
    <col min="2" max="3" width="10.7109375" style="141" customWidth="1"/>
    <col min="4" max="9" width="3.7109375" style="141" customWidth="1"/>
    <col min="10" max="14" width="10.7109375" style="141" customWidth="1"/>
    <col min="15" max="16384" width="9.140625" style="141"/>
  </cols>
  <sheetData>
    <row r="1" spans="1:14" ht="13.5" thickBot="1" x14ac:dyDescent="0.25">
      <c r="A1" s="239"/>
      <c r="B1" s="119"/>
      <c r="C1" s="119"/>
      <c r="D1" s="119"/>
      <c r="E1" s="120"/>
      <c r="F1" s="120"/>
      <c r="G1" s="120"/>
      <c r="H1" s="120"/>
      <c r="I1" s="120"/>
      <c r="J1" s="120"/>
      <c r="K1" s="120"/>
      <c r="L1" s="120"/>
      <c r="M1" s="120"/>
      <c r="N1" s="120"/>
    </row>
    <row r="2" spans="1:14" x14ac:dyDescent="0.2">
      <c r="A2" s="20"/>
      <c r="B2" s="21"/>
      <c r="C2" s="21"/>
      <c r="D2" s="21"/>
      <c r="E2" s="22"/>
      <c r="F2" s="22"/>
      <c r="G2" s="22"/>
      <c r="H2" s="22"/>
      <c r="I2" s="22"/>
      <c r="J2" s="22"/>
      <c r="K2" s="22"/>
      <c r="L2" s="22"/>
      <c r="M2" s="22"/>
      <c r="N2" s="23"/>
    </row>
    <row r="3" spans="1:14" ht="15" x14ac:dyDescent="0.2">
      <c r="A3" s="24"/>
      <c r="B3" s="440" t="s">
        <v>1681</v>
      </c>
      <c r="C3" s="441"/>
      <c r="D3" s="441"/>
      <c r="E3" s="441"/>
      <c r="F3" s="441"/>
      <c r="G3" s="441"/>
      <c r="H3" s="441"/>
      <c r="I3" s="441"/>
      <c r="J3" s="441"/>
      <c r="K3" s="441"/>
      <c r="L3" s="441"/>
      <c r="M3" s="442"/>
      <c r="N3" s="25" t="s">
        <v>91</v>
      </c>
    </row>
    <row r="4" spans="1:14" x14ac:dyDescent="0.2">
      <c r="A4" s="24"/>
      <c r="B4" s="26" t="s">
        <v>428</v>
      </c>
      <c r="C4" s="27" t="s">
        <v>1682</v>
      </c>
      <c r="D4" s="27"/>
      <c r="E4" s="28"/>
      <c r="F4" s="28"/>
      <c r="G4" s="28"/>
      <c r="H4" s="28"/>
      <c r="I4" s="28"/>
      <c r="J4" s="28"/>
      <c r="K4" s="28"/>
      <c r="L4" s="28"/>
      <c r="M4" s="28"/>
      <c r="N4" s="29"/>
    </row>
    <row r="5" spans="1:14" x14ac:dyDescent="0.2">
      <c r="A5" s="24"/>
      <c r="B5" s="26" t="s">
        <v>429</v>
      </c>
      <c r="C5" s="27" t="s">
        <v>1683</v>
      </c>
      <c r="D5" s="27"/>
      <c r="E5" s="28"/>
      <c r="F5" s="28"/>
      <c r="G5" s="28"/>
      <c r="H5" s="28"/>
      <c r="I5" s="28"/>
      <c r="J5" s="28"/>
      <c r="K5" s="28"/>
      <c r="L5" s="28"/>
      <c r="M5" s="28"/>
      <c r="N5" s="29"/>
    </row>
    <row r="6" spans="1:14" x14ac:dyDescent="0.2">
      <c r="A6" s="24"/>
      <c r="B6" s="26" t="s">
        <v>427</v>
      </c>
      <c r="C6" s="436" t="s">
        <v>1684</v>
      </c>
      <c r="D6" s="436"/>
      <c r="E6" s="436"/>
      <c r="F6" s="436"/>
      <c r="G6" s="436"/>
      <c r="H6" s="436"/>
      <c r="I6" s="436"/>
      <c r="J6" s="436"/>
      <c r="K6" s="436"/>
      <c r="L6" s="436"/>
      <c r="M6" s="436"/>
      <c r="N6" s="437"/>
    </row>
    <row r="7" spans="1:14" x14ac:dyDescent="0.2">
      <c r="A7" s="24"/>
      <c r="B7" s="27"/>
      <c r="C7" s="436"/>
      <c r="D7" s="436"/>
      <c r="E7" s="436"/>
      <c r="F7" s="436"/>
      <c r="G7" s="436"/>
      <c r="H7" s="436"/>
      <c r="I7" s="436"/>
      <c r="J7" s="436"/>
      <c r="K7" s="436"/>
      <c r="L7" s="436"/>
      <c r="M7" s="436"/>
      <c r="N7" s="437"/>
    </row>
    <row r="8" spans="1:14" x14ac:dyDescent="0.2">
      <c r="A8" s="24"/>
      <c r="B8" s="26" t="s">
        <v>426</v>
      </c>
      <c r="C8" s="27" t="s">
        <v>1682</v>
      </c>
      <c r="D8" s="27"/>
      <c r="E8" s="28"/>
      <c r="F8" s="28"/>
      <c r="G8" s="28"/>
      <c r="H8" s="28"/>
      <c r="I8" s="28"/>
      <c r="J8" s="28"/>
      <c r="K8" s="28"/>
      <c r="L8" s="28"/>
      <c r="M8" s="28"/>
      <c r="N8" s="29"/>
    </row>
    <row r="9" spans="1:14" ht="13.5" thickBot="1" x14ac:dyDescent="0.25">
      <c r="A9" s="30"/>
      <c r="B9" s="26" t="s">
        <v>430</v>
      </c>
      <c r="C9" s="31"/>
      <c r="D9" s="31"/>
      <c r="E9" s="32"/>
      <c r="F9" s="32"/>
      <c r="G9" s="32"/>
      <c r="H9" s="32"/>
      <c r="I9" s="32"/>
      <c r="J9" s="32"/>
      <c r="K9" s="32"/>
      <c r="L9" s="32"/>
      <c r="M9" s="32"/>
      <c r="N9" s="33"/>
    </row>
    <row r="10" spans="1:14" x14ac:dyDescent="0.2">
      <c r="A10" s="24"/>
      <c r="B10" s="21" t="s">
        <v>263</v>
      </c>
      <c r="C10" s="27"/>
      <c r="D10" s="27"/>
      <c r="E10" s="28"/>
      <c r="F10" s="28"/>
      <c r="G10" s="28"/>
      <c r="H10" s="28"/>
      <c r="I10" s="28"/>
      <c r="J10" s="67"/>
      <c r="K10" s="63"/>
      <c r="L10" s="63"/>
      <c r="M10" s="63"/>
      <c r="N10" s="63"/>
    </row>
    <row r="11" spans="1:14" ht="13.5" thickBot="1" x14ac:dyDescent="0.25">
      <c r="A11" s="30"/>
      <c r="B11" s="31"/>
      <c r="C11" s="31"/>
      <c r="D11" s="31"/>
      <c r="E11" s="32"/>
      <c r="F11" s="32"/>
      <c r="G11" s="32"/>
      <c r="H11" s="32"/>
      <c r="I11" s="32"/>
      <c r="J11" s="49" t="s">
        <v>611</v>
      </c>
      <c r="K11" s="40"/>
      <c r="L11" s="40"/>
      <c r="M11" s="40"/>
      <c r="N11" s="40"/>
    </row>
    <row r="12" spans="1:14" x14ac:dyDescent="0.2">
      <c r="A12" s="20"/>
      <c r="B12" s="434" t="s">
        <v>67</v>
      </c>
      <c r="C12" s="434"/>
      <c r="D12" s="434"/>
      <c r="E12" s="22"/>
      <c r="F12" s="22" t="s">
        <v>1180</v>
      </c>
      <c r="G12" s="22" t="s">
        <v>68</v>
      </c>
      <c r="H12" s="22" t="s">
        <v>702</v>
      </c>
      <c r="I12" s="28"/>
      <c r="J12" s="75">
        <f>65/ATHENS!O1*ATHENS!O2</f>
        <v>118.18181818181817</v>
      </c>
      <c r="K12" s="75"/>
      <c r="L12" s="44"/>
      <c r="M12" s="42"/>
      <c r="N12" s="42"/>
    </row>
    <row r="13" spans="1:14" x14ac:dyDescent="0.2">
      <c r="A13" s="24"/>
      <c r="B13" s="435" t="s">
        <v>67</v>
      </c>
      <c r="C13" s="435"/>
      <c r="D13" s="435"/>
      <c r="E13" s="28"/>
      <c r="F13" s="28" t="s">
        <v>1181</v>
      </c>
      <c r="G13" s="28" t="s">
        <v>68</v>
      </c>
      <c r="H13" s="28" t="s">
        <v>702</v>
      </c>
      <c r="I13" s="28"/>
      <c r="J13" s="75">
        <f>40/ATHENS!O1*ATHENS!O2</f>
        <v>72.72727272727272</v>
      </c>
      <c r="K13" s="75"/>
      <c r="L13" s="44"/>
      <c r="M13" s="44"/>
      <c r="N13" s="44"/>
    </row>
    <row r="14" spans="1:14" ht="13.5" thickBot="1" x14ac:dyDescent="0.25">
      <c r="A14" s="30"/>
      <c r="B14" s="68" t="s">
        <v>67</v>
      </c>
      <c r="C14" s="27"/>
      <c r="D14" s="27"/>
      <c r="E14" s="28"/>
      <c r="F14" s="28" t="s">
        <v>1182</v>
      </c>
      <c r="G14" s="28" t="s">
        <v>68</v>
      </c>
      <c r="H14" s="28" t="s">
        <v>702</v>
      </c>
      <c r="I14" s="32"/>
      <c r="J14" s="76">
        <f>30/ATHENS!O1*ATHENS!O2</f>
        <v>54.54545454545454</v>
      </c>
      <c r="K14" s="76"/>
      <c r="L14" s="46"/>
      <c r="M14" s="46"/>
      <c r="N14" s="46"/>
    </row>
    <row r="15" spans="1:14" x14ac:dyDescent="0.2">
      <c r="A15" s="239"/>
      <c r="B15" s="119"/>
      <c r="C15" s="119"/>
      <c r="D15" s="119"/>
      <c r="E15" s="120"/>
      <c r="F15" s="120"/>
      <c r="G15" s="120"/>
      <c r="H15" s="120"/>
      <c r="I15" s="120"/>
      <c r="J15" s="120"/>
      <c r="K15" s="120"/>
      <c r="L15" s="120"/>
      <c r="M15" s="120"/>
      <c r="N15" s="120"/>
    </row>
    <row r="16" spans="1:14" ht="13.5" thickBot="1" x14ac:dyDescent="0.25">
      <c r="A16" s="108"/>
      <c r="B16" s="138"/>
      <c r="C16" s="138"/>
      <c r="D16" s="138"/>
      <c r="E16" s="139"/>
      <c r="F16" s="139"/>
      <c r="G16" s="139"/>
      <c r="H16" s="139"/>
      <c r="I16" s="139"/>
      <c r="J16" s="139"/>
      <c r="K16" s="139"/>
      <c r="L16" s="139"/>
      <c r="M16" s="139"/>
      <c r="N16" s="139"/>
    </row>
    <row r="17" spans="1:14" x14ac:dyDescent="0.2">
      <c r="A17" s="112"/>
      <c r="B17" s="113"/>
      <c r="C17" s="113"/>
      <c r="D17" s="113"/>
      <c r="E17" s="114"/>
      <c r="F17" s="114"/>
      <c r="G17" s="114"/>
      <c r="H17" s="114"/>
      <c r="I17" s="114"/>
      <c r="J17" s="114"/>
      <c r="K17" s="114"/>
      <c r="L17" s="114"/>
      <c r="M17" s="114"/>
      <c r="N17" s="115"/>
    </row>
    <row r="18" spans="1:14" ht="15" x14ac:dyDescent="0.2">
      <c r="A18" s="116"/>
      <c r="B18" s="462" t="s">
        <v>903</v>
      </c>
      <c r="C18" s="463"/>
      <c r="D18" s="463"/>
      <c r="E18" s="463"/>
      <c r="F18" s="463"/>
      <c r="G18" s="463"/>
      <c r="H18" s="463"/>
      <c r="I18" s="463"/>
      <c r="J18" s="463"/>
      <c r="K18" s="463"/>
      <c r="L18" s="463"/>
      <c r="M18" s="464"/>
      <c r="N18" s="117" t="s">
        <v>96</v>
      </c>
    </row>
    <row r="19" spans="1:14" x14ac:dyDescent="0.2">
      <c r="A19" s="116"/>
      <c r="B19" s="118" t="s">
        <v>428</v>
      </c>
      <c r="C19" s="119" t="s">
        <v>1241</v>
      </c>
      <c r="D19" s="119"/>
      <c r="E19" s="120"/>
      <c r="F19" s="120"/>
      <c r="G19" s="120"/>
      <c r="H19" s="120"/>
      <c r="I19" s="120"/>
      <c r="J19" s="120"/>
      <c r="K19" s="120"/>
      <c r="L19" s="120"/>
      <c r="M19" s="120"/>
      <c r="N19" s="101"/>
    </row>
    <row r="20" spans="1:14" x14ac:dyDescent="0.2">
      <c r="A20" s="116"/>
      <c r="B20" s="118" t="s">
        <v>429</v>
      </c>
      <c r="C20" s="119" t="s">
        <v>1301</v>
      </c>
      <c r="D20" s="119"/>
      <c r="E20" s="120"/>
      <c r="F20" s="120"/>
      <c r="G20" s="120"/>
      <c r="H20" s="120"/>
      <c r="I20" s="120"/>
      <c r="J20" s="120"/>
      <c r="K20" s="120"/>
      <c r="L20" s="120"/>
      <c r="M20" s="120"/>
      <c r="N20" s="101"/>
    </row>
    <row r="21" spans="1:14" x14ac:dyDescent="0.2">
      <c r="A21" s="116"/>
      <c r="B21" s="118" t="s">
        <v>427</v>
      </c>
      <c r="C21" s="482" t="s">
        <v>797</v>
      </c>
      <c r="D21" s="482"/>
      <c r="E21" s="482"/>
      <c r="F21" s="482"/>
      <c r="G21" s="482"/>
      <c r="H21" s="482"/>
      <c r="I21" s="482"/>
      <c r="J21" s="482"/>
      <c r="K21" s="482"/>
      <c r="L21" s="482"/>
      <c r="M21" s="482"/>
      <c r="N21" s="483"/>
    </row>
    <row r="22" spans="1:14" ht="13.5" thickBot="1" x14ac:dyDescent="0.25">
      <c r="A22" s="116"/>
      <c r="B22" s="109"/>
      <c r="C22" s="482"/>
      <c r="D22" s="482"/>
      <c r="E22" s="482"/>
      <c r="F22" s="482"/>
      <c r="G22" s="482"/>
      <c r="H22" s="482"/>
      <c r="I22" s="482"/>
      <c r="J22" s="482"/>
      <c r="K22" s="482"/>
      <c r="L22" s="482"/>
      <c r="M22" s="482"/>
      <c r="N22" s="483"/>
    </row>
    <row r="23" spans="1:14" ht="13.5" thickBot="1" x14ac:dyDescent="0.25">
      <c r="A23" s="112"/>
      <c r="B23" s="113" t="s">
        <v>263</v>
      </c>
      <c r="C23" s="113"/>
      <c r="D23" s="113"/>
      <c r="E23" s="114"/>
      <c r="F23" s="114"/>
      <c r="G23" s="114"/>
      <c r="H23" s="114"/>
      <c r="I23" s="115"/>
      <c r="J23" s="156" t="s">
        <v>753</v>
      </c>
      <c r="K23" s="157" t="s">
        <v>513</v>
      </c>
      <c r="L23" s="157"/>
      <c r="M23" s="157"/>
      <c r="N23" s="157"/>
    </row>
    <row r="24" spans="1:14" ht="13.5" thickBot="1" x14ac:dyDescent="0.25">
      <c r="A24" s="116"/>
      <c r="B24" s="119"/>
      <c r="C24" s="119"/>
      <c r="D24" s="119"/>
      <c r="E24" s="120"/>
      <c r="F24" s="120"/>
      <c r="G24" s="120"/>
      <c r="H24" s="120"/>
      <c r="I24" s="120"/>
      <c r="J24" s="156" t="s">
        <v>514</v>
      </c>
      <c r="K24" s="157" t="s">
        <v>612</v>
      </c>
      <c r="L24" s="157"/>
      <c r="M24" s="126"/>
      <c r="N24" s="126"/>
    </row>
    <row r="25" spans="1:14" x14ac:dyDescent="0.2">
      <c r="A25" s="112"/>
      <c r="B25" s="467" t="s">
        <v>67</v>
      </c>
      <c r="C25" s="467"/>
      <c r="D25" s="467"/>
      <c r="E25" s="114"/>
      <c r="F25" s="114" t="s">
        <v>1180</v>
      </c>
      <c r="G25" s="114" t="s">
        <v>68</v>
      </c>
      <c r="H25" s="114" t="s">
        <v>702</v>
      </c>
      <c r="I25" s="114"/>
      <c r="J25" s="100">
        <f>63/ATHENS!O1*ATHENS!O2</f>
        <v>114.54545454545453</v>
      </c>
      <c r="K25" s="100">
        <f>67/ATHENS!O1*ATHENS!O2</f>
        <v>121.81818181818181</v>
      </c>
      <c r="L25" s="100"/>
      <c r="M25" s="126"/>
      <c r="N25" s="126"/>
    </row>
    <row r="26" spans="1:14" x14ac:dyDescent="0.2">
      <c r="A26" s="116"/>
      <c r="B26" s="461" t="s">
        <v>67</v>
      </c>
      <c r="C26" s="461"/>
      <c r="D26" s="461"/>
      <c r="E26" s="120"/>
      <c r="F26" s="120" t="s">
        <v>1181</v>
      </c>
      <c r="G26" s="120" t="s">
        <v>68</v>
      </c>
      <c r="H26" s="120" t="s">
        <v>702</v>
      </c>
      <c r="I26" s="120"/>
      <c r="J26" s="100">
        <f>35.5/ATHENS!O1*ATHENS!O2</f>
        <v>64.545454545454547</v>
      </c>
      <c r="K26" s="100">
        <f>37.5/ATHENS!O1*ATHENS!O2</f>
        <v>68.181818181818173</v>
      </c>
      <c r="L26" s="100"/>
      <c r="M26" s="100"/>
      <c r="N26" s="100"/>
    </row>
    <row r="27" spans="1:14" x14ac:dyDescent="0.2">
      <c r="A27" s="116"/>
      <c r="B27" s="461" t="s">
        <v>67</v>
      </c>
      <c r="C27" s="461"/>
      <c r="D27" s="461"/>
      <c r="E27" s="120"/>
      <c r="F27" s="120" t="s">
        <v>1182</v>
      </c>
      <c r="G27" s="120" t="s">
        <v>68</v>
      </c>
      <c r="H27" s="120" t="s">
        <v>702</v>
      </c>
      <c r="I27" s="120"/>
      <c r="J27" s="100">
        <f>26.7/ATHENS!O1*ATHENS!O2</f>
        <v>48.54545454545454</v>
      </c>
      <c r="K27" s="100">
        <f>28.5/ATHENS!O1*ATHENS!O2</f>
        <v>51.818181818181813</v>
      </c>
      <c r="L27" s="100"/>
      <c r="M27" s="100"/>
      <c r="N27" s="100"/>
    </row>
    <row r="28" spans="1:14" ht="13.5" thickBot="1" x14ac:dyDescent="0.25">
      <c r="A28" s="121"/>
      <c r="B28" s="460"/>
      <c r="C28" s="460"/>
      <c r="D28" s="460"/>
      <c r="E28" s="123"/>
      <c r="F28" s="123"/>
      <c r="G28" s="123"/>
      <c r="H28" s="123"/>
      <c r="I28" s="123"/>
      <c r="J28" s="105"/>
      <c r="K28" s="105"/>
      <c r="L28" s="105"/>
      <c r="M28" s="105"/>
      <c r="N28" s="105"/>
    </row>
    <row r="29" spans="1:14" ht="13.5" thickBot="1" x14ac:dyDescent="0.25">
      <c r="A29" s="108"/>
      <c r="B29" s="138"/>
      <c r="C29" s="138"/>
      <c r="D29" s="138"/>
      <c r="E29" s="139"/>
      <c r="F29" s="139"/>
      <c r="G29" s="139"/>
      <c r="H29" s="139"/>
      <c r="I29" s="139"/>
      <c r="J29" s="139"/>
      <c r="K29" s="139"/>
      <c r="L29" s="139"/>
      <c r="M29" s="139"/>
      <c r="N29" s="139"/>
    </row>
    <row r="30" spans="1:14" x14ac:dyDescent="0.2">
      <c r="A30" s="112"/>
      <c r="B30" s="113"/>
      <c r="C30" s="113"/>
      <c r="D30" s="113"/>
      <c r="E30" s="114"/>
      <c r="F30" s="114"/>
      <c r="G30" s="114"/>
      <c r="H30" s="114"/>
      <c r="I30" s="114"/>
      <c r="J30" s="114"/>
      <c r="K30" s="114"/>
      <c r="L30" s="114"/>
      <c r="M30" s="114"/>
      <c r="N30" s="115"/>
    </row>
    <row r="31" spans="1:14" ht="15" x14ac:dyDescent="0.2">
      <c r="A31" s="116"/>
      <c r="B31" s="462" t="s">
        <v>789</v>
      </c>
      <c r="C31" s="463"/>
      <c r="D31" s="463"/>
      <c r="E31" s="463"/>
      <c r="F31" s="463"/>
      <c r="G31" s="463"/>
      <c r="H31" s="463"/>
      <c r="I31" s="463"/>
      <c r="J31" s="463"/>
      <c r="K31" s="463"/>
      <c r="L31" s="463"/>
      <c r="M31" s="464"/>
      <c r="N31" s="117" t="s">
        <v>96</v>
      </c>
    </row>
    <row r="32" spans="1:14" x14ac:dyDescent="0.2">
      <c r="A32" s="116"/>
      <c r="B32" s="118" t="s">
        <v>428</v>
      </c>
      <c r="C32" s="119" t="s">
        <v>1242</v>
      </c>
      <c r="D32" s="119"/>
      <c r="E32" s="120"/>
      <c r="F32" s="120"/>
      <c r="G32" s="120"/>
      <c r="H32" s="120"/>
      <c r="I32" s="120"/>
      <c r="J32" s="120"/>
      <c r="K32" s="120"/>
      <c r="L32" s="120"/>
      <c r="M32" s="120"/>
      <c r="N32" s="101"/>
    </row>
    <row r="33" spans="1:14" x14ac:dyDescent="0.2">
      <c r="A33" s="116"/>
      <c r="B33" s="118" t="s">
        <v>429</v>
      </c>
      <c r="C33" s="119" t="s">
        <v>1302</v>
      </c>
      <c r="D33" s="119"/>
      <c r="E33" s="120"/>
      <c r="F33" s="120"/>
      <c r="G33" s="120"/>
      <c r="H33" s="120"/>
      <c r="I33" s="120"/>
      <c r="J33" s="120"/>
      <c r="K33" s="120"/>
      <c r="L33" s="120"/>
      <c r="M33" s="120"/>
      <c r="N33" s="101"/>
    </row>
    <row r="34" spans="1:14" x14ac:dyDescent="0.2">
      <c r="A34" s="116"/>
      <c r="B34" s="118" t="s">
        <v>427</v>
      </c>
      <c r="C34" s="465" t="s">
        <v>796</v>
      </c>
      <c r="D34" s="465"/>
      <c r="E34" s="465"/>
      <c r="F34" s="465"/>
      <c r="G34" s="465"/>
      <c r="H34" s="465"/>
      <c r="I34" s="465"/>
      <c r="J34" s="465"/>
      <c r="K34" s="465"/>
      <c r="L34" s="465"/>
      <c r="M34" s="465"/>
      <c r="N34" s="466"/>
    </row>
    <row r="35" spans="1:14" ht="13.5" thickBot="1" x14ac:dyDescent="0.25">
      <c r="A35" s="116"/>
      <c r="B35" s="109"/>
      <c r="C35" s="465"/>
      <c r="D35" s="465"/>
      <c r="E35" s="465"/>
      <c r="F35" s="465"/>
      <c r="G35" s="465"/>
      <c r="H35" s="465"/>
      <c r="I35" s="465"/>
      <c r="J35" s="465"/>
      <c r="K35" s="465"/>
      <c r="L35" s="465"/>
      <c r="M35" s="465"/>
      <c r="N35" s="466"/>
    </row>
    <row r="36" spans="1:14" ht="13.5" thickBot="1" x14ac:dyDescent="0.25">
      <c r="A36" s="134"/>
      <c r="B36" s="135" t="s">
        <v>263</v>
      </c>
      <c r="C36" s="135"/>
      <c r="D36" s="135"/>
      <c r="E36" s="136"/>
      <c r="F36" s="136"/>
      <c r="G36" s="136"/>
      <c r="H36" s="136"/>
      <c r="I36" s="136"/>
      <c r="J36" s="156" t="s">
        <v>907</v>
      </c>
      <c r="K36" s="157" t="s">
        <v>611</v>
      </c>
      <c r="L36" s="157"/>
      <c r="M36" s="157"/>
      <c r="N36" s="157"/>
    </row>
    <row r="37" spans="1:14" x14ac:dyDescent="0.2">
      <c r="A37" s="112"/>
      <c r="B37" s="467" t="s">
        <v>67</v>
      </c>
      <c r="C37" s="467"/>
      <c r="D37" s="467"/>
      <c r="E37" s="114"/>
      <c r="F37" s="114" t="s">
        <v>1180</v>
      </c>
      <c r="G37" s="114" t="s">
        <v>68</v>
      </c>
      <c r="H37" s="114" t="s">
        <v>702</v>
      </c>
      <c r="I37" s="114"/>
      <c r="J37" s="100">
        <f>32/ATHENS!O1*ATHENS!O2</f>
        <v>58.18181818181818</v>
      </c>
      <c r="K37" s="100">
        <f>48/ATHENS!O1*ATHENS!O2</f>
        <v>87.272727272727266</v>
      </c>
      <c r="L37" s="100"/>
      <c r="M37" s="126"/>
      <c r="N37" s="126"/>
    </row>
    <row r="38" spans="1:14" x14ac:dyDescent="0.2">
      <c r="A38" s="116"/>
      <c r="B38" s="461" t="s">
        <v>67</v>
      </c>
      <c r="C38" s="461"/>
      <c r="D38" s="461"/>
      <c r="E38" s="120"/>
      <c r="F38" s="120" t="s">
        <v>1181</v>
      </c>
      <c r="G38" s="120" t="s">
        <v>68</v>
      </c>
      <c r="H38" s="120" t="s">
        <v>702</v>
      </c>
      <c r="I38" s="120"/>
      <c r="J38" s="100">
        <f>26/ATHENS!O1*ATHENS!O2</f>
        <v>47.272727272727266</v>
      </c>
      <c r="K38" s="100">
        <f>33.5/ATHENS!O1*ATHENS!O2</f>
        <v>60.909090909090907</v>
      </c>
      <c r="L38" s="100"/>
      <c r="M38" s="100"/>
      <c r="N38" s="100"/>
    </row>
    <row r="39" spans="1:14" x14ac:dyDescent="0.2">
      <c r="A39" s="116"/>
      <c r="B39" s="461" t="s">
        <v>67</v>
      </c>
      <c r="C39" s="461"/>
      <c r="D39" s="461"/>
      <c r="E39" s="120"/>
      <c r="F39" s="120" t="s">
        <v>1182</v>
      </c>
      <c r="G39" s="120" t="s">
        <v>68</v>
      </c>
      <c r="H39" s="120" t="s">
        <v>702</v>
      </c>
      <c r="I39" s="101"/>
      <c r="J39" s="100">
        <f>24/ATHENS!O1*ATHENS!O2</f>
        <v>43.636363636363633</v>
      </c>
      <c r="K39" s="100">
        <f>23/ATHENS!O1*ATHENS!O2</f>
        <v>41.818181818181813</v>
      </c>
      <c r="L39" s="100"/>
      <c r="M39" s="100"/>
      <c r="N39" s="100"/>
    </row>
    <row r="40" spans="1:14" x14ac:dyDescent="0.2">
      <c r="A40" s="116"/>
      <c r="B40" s="461" t="s">
        <v>67</v>
      </c>
      <c r="C40" s="461"/>
      <c r="D40" s="461"/>
      <c r="E40" s="120"/>
      <c r="F40" s="120" t="s">
        <v>257</v>
      </c>
      <c r="G40" s="120" t="s">
        <v>68</v>
      </c>
      <c r="H40" s="120" t="s">
        <v>702</v>
      </c>
      <c r="I40" s="101"/>
      <c r="J40" s="100" t="s">
        <v>864</v>
      </c>
      <c r="K40" s="100">
        <f>19/ATHENS!O1*ATHENS!O2</f>
        <v>34.54545454545454</v>
      </c>
      <c r="L40" s="100"/>
      <c r="M40" s="100"/>
      <c r="N40" s="100"/>
    </row>
    <row r="41" spans="1:14" ht="13.5" thickBot="1" x14ac:dyDescent="0.25">
      <c r="A41" s="121"/>
      <c r="B41" s="460"/>
      <c r="C41" s="460"/>
      <c r="D41" s="460"/>
      <c r="E41" s="123"/>
      <c r="F41" s="123"/>
      <c r="G41" s="123"/>
      <c r="H41" s="123"/>
      <c r="I41" s="123"/>
      <c r="J41" s="105"/>
      <c r="K41" s="105"/>
      <c r="L41" s="105"/>
      <c r="M41" s="105"/>
      <c r="N41" s="105"/>
    </row>
    <row r="42" spans="1:14" x14ac:dyDescent="0.2">
      <c r="A42" s="239"/>
      <c r="B42" s="119"/>
      <c r="C42" s="119"/>
      <c r="D42" s="119"/>
      <c r="E42" s="120"/>
      <c r="F42" s="120"/>
      <c r="G42" s="120"/>
      <c r="H42" s="120"/>
      <c r="I42" s="120"/>
      <c r="J42" s="120"/>
      <c r="K42" s="120"/>
      <c r="L42" s="120"/>
      <c r="M42" s="120"/>
      <c r="N42" s="120"/>
    </row>
    <row r="43" spans="1:14" ht="13.5" thickBot="1" x14ac:dyDescent="0.25">
      <c r="A43" s="108"/>
      <c r="B43" s="138"/>
      <c r="C43" s="138"/>
      <c r="D43" s="138"/>
      <c r="E43" s="139"/>
      <c r="F43" s="139"/>
      <c r="G43" s="139"/>
      <c r="H43" s="139"/>
      <c r="I43" s="139"/>
      <c r="J43" s="139"/>
      <c r="K43" s="139"/>
      <c r="L43" s="139"/>
      <c r="M43" s="139"/>
      <c r="N43" s="139"/>
    </row>
    <row r="44" spans="1:14" x14ac:dyDescent="0.2">
      <c r="A44" s="112"/>
      <c r="B44" s="113"/>
      <c r="C44" s="113"/>
      <c r="D44" s="113"/>
      <c r="E44" s="114"/>
      <c r="F44" s="114"/>
      <c r="G44" s="114"/>
      <c r="H44" s="114"/>
      <c r="I44" s="114"/>
      <c r="J44" s="114"/>
      <c r="K44" s="114"/>
      <c r="L44" s="114"/>
      <c r="M44" s="114"/>
      <c r="N44" s="115"/>
    </row>
    <row r="45" spans="1:14" ht="15" x14ac:dyDescent="0.2">
      <c r="A45" s="116"/>
      <c r="B45" s="462" t="s">
        <v>790</v>
      </c>
      <c r="C45" s="463"/>
      <c r="D45" s="463"/>
      <c r="E45" s="463"/>
      <c r="F45" s="463"/>
      <c r="G45" s="463"/>
      <c r="H45" s="463"/>
      <c r="I45" s="463"/>
      <c r="J45" s="463"/>
      <c r="K45" s="463"/>
      <c r="L45" s="463"/>
      <c r="M45" s="464"/>
      <c r="N45" s="117" t="s">
        <v>96</v>
      </c>
    </row>
    <row r="46" spans="1:14" x14ac:dyDescent="0.2">
      <c r="A46" s="116"/>
      <c r="B46" s="118" t="s">
        <v>428</v>
      </c>
      <c r="C46" s="119" t="s">
        <v>1242</v>
      </c>
      <c r="D46" s="119"/>
      <c r="E46" s="120"/>
      <c r="F46" s="120"/>
      <c r="G46" s="120"/>
      <c r="H46" s="120"/>
      <c r="I46" s="120"/>
      <c r="J46" s="120"/>
      <c r="K46" s="120"/>
      <c r="L46" s="120"/>
      <c r="M46" s="120"/>
      <c r="N46" s="101"/>
    </row>
    <row r="47" spans="1:14" x14ac:dyDescent="0.2">
      <c r="A47" s="116"/>
      <c r="B47" s="118" t="s">
        <v>429</v>
      </c>
      <c r="C47" s="119" t="s">
        <v>239</v>
      </c>
      <c r="D47" s="119"/>
      <c r="E47" s="120"/>
      <c r="F47" s="120"/>
      <c r="G47" s="120"/>
      <c r="H47" s="120"/>
      <c r="I47" s="120"/>
      <c r="J47" s="120"/>
      <c r="K47" s="120"/>
      <c r="L47" s="120"/>
      <c r="M47" s="120"/>
      <c r="N47" s="101"/>
    </row>
    <row r="48" spans="1:14" x14ac:dyDescent="0.2">
      <c r="A48" s="116"/>
      <c r="B48" s="118" t="s">
        <v>427</v>
      </c>
      <c r="C48" s="465" t="s">
        <v>1246</v>
      </c>
      <c r="D48" s="465"/>
      <c r="E48" s="465"/>
      <c r="F48" s="465"/>
      <c r="G48" s="465"/>
      <c r="H48" s="465"/>
      <c r="I48" s="465"/>
      <c r="J48" s="465"/>
      <c r="K48" s="465"/>
      <c r="L48" s="465"/>
      <c r="M48" s="465"/>
      <c r="N48" s="466"/>
    </row>
    <row r="49" spans="1:14" x14ac:dyDescent="0.2">
      <c r="A49" s="116"/>
      <c r="B49" s="118"/>
      <c r="C49" s="465"/>
      <c r="D49" s="465"/>
      <c r="E49" s="465"/>
      <c r="F49" s="465"/>
      <c r="G49" s="465"/>
      <c r="H49" s="465"/>
      <c r="I49" s="465"/>
      <c r="J49" s="465"/>
      <c r="K49" s="465"/>
      <c r="L49" s="465"/>
      <c r="M49" s="465"/>
      <c r="N49" s="466"/>
    </row>
    <row r="50" spans="1:14" ht="13.5" thickBot="1" x14ac:dyDescent="0.25">
      <c r="A50" s="116"/>
      <c r="B50" s="109"/>
      <c r="C50" s="465"/>
      <c r="D50" s="465"/>
      <c r="E50" s="465"/>
      <c r="F50" s="465"/>
      <c r="G50" s="465"/>
      <c r="H50" s="465"/>
      <c r="I50" s="465"/>
      <c r="J50" s="465"/>
      <c r="K50" s="465"/>
      <c r="L50" s="465"/>
      <c r="M50" s="465"/>
      <c r="N50" s="466"/>
    </row>
    <row r="51" spans="1:14" ht="13.5" thickBot="1" x14ac:dyDescent="0.25">
      <c r="A51" s="134"/>
      <c r="B51" s="135" t="s">
        <v>263</v>
      </c>
      <c r="C51" s="135"/>
      <c r="D51" s="135"/>
      <c r="E51" s="136"/>
      <c r="F51" s="136"/>
      <c r="G51" s="136"/>
      <c r="H51" s="136"/>
      <c r="I51" s="136"/>
      <c r="J51" s="156" t="s">
        <v>907</v>
      </c>
      <c r="K51" s="157" t="s">
        <v>1917</v>
      </c>
      <c r="L51" s="157"/>
      <c r="M51" s="157"/>
      <c r="N51" s="157"/>
    </row>
    <row r="52" spans="1:14" x14ac:dyDescent="0.2">
      <c r="A52" s="112"/>
      <c r="B52" s="467" t="s">
        <v>67</v>
      </c>
      <c r="C52" s="467"/>
      <c r="D52" s="467"/>
      <c r="E52" s="114"/>
      <c r="F52" s="114" t="s">
        <v>1180</v>
      </c>
      <c r="G52" s="114" t="s">
        <v>68</v>
      </c>
      <c r="H52" s="114" t="s">
        <v>702</v>
      </c>
      <c r="I52" s="114"/>
      <c r="J52" s="100">
        <f>60/ATHENS!O1*ATHENS!O2</f>
        <v>109.09090909090908</v>
      </c>
      <c r="K52" s="100">
        <f>65/ATHENS!O1*ATHENS!O2</f>
        <v>118.18181818181817</v>
      </c>
      <c r="L52" s="100"/>
      <c r="M52" s="126"/>
      <c r="N52" s="126"/>
    </row>
    <row r="53" spans="1:14" x14ac:dyDescent="0.2">
      <c r="A53" s="116"/>
      <c r="B53" s="461" t="s">
        <v>67</v>
      </c>
      <c r="C53" s="461"/>
      <c r="D53" s="461"/>
      <c r="E53" s="120"/>
      <c r="F53" s="120" t="s">
        <v>1181</v>
      </c>
      <c r="G53" s="120" t="s">
        <v>68</v>
      </c>
      <c r="H53" s="120" t="s">
        <v>702</v>
      </c>
      <c r="I53" s="120"/>
      <c r="J53" s="100">
        <f>37.5/ATHENS!O1*ATHENS!O2</f>
        <v>68.181818181818173</v>
      </c>
      <c r="K53" s="100">
        <f>39.5/ATHENS!O1*ATHENS!O2</f>
        <v>71.818181818181813</v>
      </c>
      <c r="L53" s="100"/>
      <c r="M53" s="100"/>
      <c r="N53" s="100"/>
    </row>
    <row r="54" spans="1:14" x14ac:dyDescent="0.2">
      <c r="A54" s="116"/>
      <c r="B54" s="461" t="s">
        <v>67</v>
      </c>
      <c r="C54" s="461"/>
      <c r="D54" s="461"/>
      <c r="E54" s="120"/>
      <c r="F54" s="120" t="s">
        <v>1182</v>
      </c>
      <c r="G54" s="120" t="s">
        <v>68</v>
      </c>
      <c r="H54" s="120" t="s">
        <v>702</v>
      </c>
      <c r="I54" s="120"/>
      <c r="J54" s="100">
        <f>29.5/ATHENS!O1*ATHENS!O2</f>
        <v>53.636363636363633</v>
      </c>
      <c r="K54" s="100">
        <f>32/ATHENS!O1*ATHENS!O2</f>
        <v>58.18181818181818</v>
      </c>
      <c r="L54" s="100"/>
      <c r="M54" s="100"/>
      <c r="N54" s="100"/>
    </row>
    <row r="55" spans="1:14" ht="13.5" thickBot="1" x14ac:dyDescent="0.25">
      <c r="A55" s="121"/>
      <c r="B55" s="460" t="s">
        <v>67</v>
      </c>
      <c r="C55" s="460"/>
      <c r="D55" s="460"/>
      <c r="E55" s="123"/>
      <c r="F55" s="123" t="s">
        <v>257</v>
      </c>
      <c r="G55" s="123" t="s">
        <v>68</v>
      </c>
      <c r="H55" s="123" t="s">
        <v>702</v>
      </c>
      <c r="I55" s="123"/>
      <c r="J55" s="105">
        <f>23.7/ATHENS!O1*ATHENS!O2</f>
        <v>43.090909090909086</v>
      </c>
      <c r="K55" s="105">
        <f>25/ATHENS!O1*ATHENS!O2</f>
        <v>45.454545454545453</v>
      </c>
      <c r="L55" s="105"/>
      <c r="M55" s="105"/>
      <c r="N55" s="105"/>
    </row>
    <row r="56" spans="1:14" x14ac:dyDescent="0.2">
      <c r="A56" s="239"/>
      <c r="B56" s="119"/>
      <c r="C56" s="119"/>
      <c r="D56" s="119"/>
      <c r="E56" s="120"/>
      <c r="F56" s="120"/>
      <c r="G56" s="120"/>
      <c r="H56" s="120"/>
      <c r="I56" s="120"/>
      <c r="J56" s="120"/>
      <c r="K56" s="120"/>
      <c r="L56" s="120"/>
      <c r="M56" s="120"/>
      <c r="N56" s="120"/>
    </row>
    <row r="57" spans="1:14" x14ac:dyDescent="0.2">
      <c r="A57" s="239"/>
      <c r="B57" s="119"/>
      <c r="C57" s="119"/>
      <c r="D57" s="119"/>
      <c r="E57" s="120"/>
      <c r="F57" s="120"/>
      <c r="G57" s="120"/>
      <c r="H57" s="120"/>
      <c r="I57" s="120"/>
      <c r="J57" s="120"/>
      <c r="K57" s="120"/>
      <c r="L57" s="120"/>
      <c r="M57" s="120"/>
      <c r="N57" s="120"/>
    </row>
    <row r="58" spans="1:14" ht="13.5" thickBot="1" x14ac:dyDescent="0.25">
      <c r="A58" s="239"/>
      <c r="B58" s="119"/>
      <c r="C58" s="119"/>
      <c r="D58" s="119"/>
      <c r="E58" s="120"/>
      <c r="F58" s="120"/>
      <c r="G58" s="120"/>
      <c r="H58" s="120"/>
      <c r="I58" s="120"/>
      <c r="J58" s="120"/>
      <c r="K58" s="120"/>
      <c r="L58" s="120"/>
      <c r="M58" s="120"/>
      <c r="N58" s="120"/>
    </row>
    <row r="59" spans="1:14" x14ac:dyDescent="0.2">
      <c r="A59" s="20"/>
      <c r="B59" s="21"/>
      <c r="C59" s="21"/>
      <c r="D59" s="21"/>
      <c r="E59" s="22"/>
      <c r="F59" s="22"/>
      <c r="G59" s="22"/>
      <c r="H59" s="22"/>
      <c r="I59" s="22"/>
      <c r="J59" s="22"/>
      <c r="K59" s="22"/>
      <c r="L59" s="22"/>
      <c r="M59" s="22"/>
      <c r="N59" s="23"/>
    </row>
    <row r="60" spans="1:14" ht="15" x14ac:dyDescent="0.2">
      <c r="A60" s="24"/>
      <c r="B60" s="440" t="s">
        <v>1739</v>
      </c>
      <c r="C60" s="441"/>
      <c r="D60" s="441"/>
      <c r="E60" s="441"/>
      <c r="F60" s="441"/>
      <c r="G60" s="441"/>
      <c r="H60" s="441"/>
      <c r="I60" s="441"/>
      <c r="J60" s="441"/>
      <c r="K60" s="441"/>
      <c r="L60" s="441"/>
      <c r="M60" s="442"/>
      <c r="N60" s="25" t="s">
        <v>96</v>
      </c>
    </row>
    <row r="61" spans="1:14" x14ac:dyDescent="0.2">
      <c r="A61" s="24"/>
      <c r="B61" s="26" t="s">
        <v>428</v>
      </c>
      <c r="C61" s="27" t="s">
        <v>1242</v>
      </c>
      <c r="D61" s="27"/>
      <c r="E61" s="28"/>
      <c r="F61" s="28"/>
      <c r="G61" s="28"/>
      <c r="H61" s="28"/>
      <c r="I61" s="28"/>
      <c r="J61" s="28"/>
      <c r="K61" s="28"/>
      <c r="L61" s="28"/>
      <c r="M61" s="28"/>
      <c r="N61" s="29"/>
    </row>
    <row r="62" spans="1:14" x14ac:dyDescent="0.2">
      <c r="A62" s="24"/>
      <c r="B62" s="26" t="s">
        <v>429</v>
      </c>
      <c r="C62" s="27" t="s">
        <v>1673</v>
      </c>
      <c r="D62" s="27"/>
      <c r="E62" s="28"/>
      <c r="F62" s="28"/>
      <c r="G62" s="28"/>
      <c r="H62" s="28"/>
      <c r="I62" s="28"/>
      <c r="J62" s="28"/>
      <c r="K62" s="28"/>
      <c r="L62" s="28"/>
      <c r="M62" s="28"/>
      <c r="N62" s="29"/>
    </row>
    <row r="63" spans="1:14" x14ac:dyDescent="0.2">
      <c r="A63" s="24"/>
      <c r="B63" s="26" t="s">
        <v>427</v>
      </c>
      <c r="C63" s="436" t="s">
        <v>1740</v>
      </c>
      <c r="D63" s="436"/>
      <c r="E63" s="436"/>
      <c r="F63" s="436"/>
      <c r="G63" s="436"/>
      <c r="H63" s="436"/>
      <c r="I63" s="436"/>
      <c r="J63" s="436"/>
      <c r="K63" s="436"/>
      <c r="L63" s="436"/>
      <c r="M63" s="436"/>
      <c r="N63" s="437"/>
    </row>
    <row r="64" spans="1:14" x14ac:dyDescent="0.2">
      <c r="A64" s="24"/>
      <c r="B64" s="27"/>
      <c r="C64" s="436"/>
      <c r="D64" s="436"/>
      <c r="E64" s="436"/>
      <c r="F64" s="436"/>
      <c r="G64" s="436"/>
      <c r="H64" s="436"/>
      <c r="I64" s="436"/>
      <c r="J64" s="436"/>
      <c r="K64" s="436"/>
      <c r="L64" s="436"/>
      <c r="M64" s="436"/>
      <c r="N64" s="437"/>
    </row>
    <row r="65" spans="1:14" x14ac:dyDescent="0.2">
      <c r="A65" s="24"/>
      <c r="B65" s="26" t="s">
        <v>426</v>
      </c>
      <c r="C65" s="27"/>
      <c r="D65" s="27"/>
      <c r="E65" s="28"/>
      <c r="F65" s="28"/>
      <c r="G65" s="28"/>
      <c r="H65" s="28"/>
      <c r="I65" s="28"/>
      <c r="J65" s="28"/>
      <c r="K65" s="28"/>
      <c r="L65" s="28"/>
      <c r="M65" s="28"/>
      <c r="N65" s="29"/>
    </row>
    <row r="66" spans="1:14" ht="13.5" thickBot="1" x14ac:dyDescent="0.25">
      <c r="A66" s="30"/>
      <c r="B66" s="26" t="s">
        <v>430</v>
      </c>
      <c r="C66" s="31"/>
      <c r="D66" s="31"/>
      <c r="E66" s="32"/>
      <c r="F66" s="32"/>
      <c r="G66" s="32"/>
      <c r="H66" s="32"/>
      <c r="I66" s="32"/>
      <c r="J66" s="32"/>
      <c r="K66" s="32"/>
      <c r="L66" s="32"/>
      <c r="M66" s="32"/>
      <c r="N66" s="33"/>
    </row>
    <row r="67" spans="1:14" ht="13.5" thickBot="1" x14ac:dyDescent="0.25">
      <c r="A67" s="24"/>
      <c r="B67" s="21" t="s">
        <v>263</v>
      </c>
      <c r="C67" s="27"/>
      <c r="D67" s="27"/>
      <c r="E67" s="28"/>
      <c r="F67" s="28"/>
      <c r="G67" s="28"/>
      <c r="H67" s="28"/>
      <c r="I67" s="28"/>
      <c r="J67" s="67" t="s">
        <v>1937</v>
      </c>
      <c r="K67" s="63"/>
      <c r="L67" s="63"/>
      <c r="M67" s="63"/>
      <c r="N67" s="63"/>
    </row>
    <row r="68" spans="1:14" x14ac:dyDescent="0.2">
      <c r="A68" s="20"/>
      <c r="B68" s="434" t="s">
        <v>67</v>
      </c>
      <c r="C68" s="434"/>
      <c r="D68" s="434"/>
      <c r="E68" s="22"/>
      <c r="F68" s="22" t="s">
        <v>1180</v>
      </c>
      <c r="G68" s="22" t="s">
        <v>68</v>
      </c>
      <c r="H68" s="22" t="s">
        <v>702</v>
      </c>
      <c r="I68" s="28"/>
      <c r="J68" s="75">
        <f>50/ATHENS!O1*ATHENS!O2</f>
        <v>90.909090909090907</v>
      </c>
      <c r="K68" s="75"/>
      <c r="L68" s="44"/>
      <c r="M68" s="42"/>
      <c r="N68" s="42"/>
    </row>
    <row r="69" spans="1:14" x14ac:dyDescent="0.2">
      <c r="A69" s="24"/>
      <c r="B69" s="435" t="s">
        <v>67</v>
      </c>
      <c r="C69" s="435"/>
      <c r="D69" s="435"/>
      <c r="E69" s="28"/>
      <c r="F69" s="28" t="s">
        <v>1181</v>
      </c>
      <c r="G69" s="28" t="s">
        <v>68</v>
      </c>
      <c r="H69" s="28" t="s">
        <v>702</v>
      </c>
      <c r="I69" s="28"/>
      <c r="J69" s="75">
        <f>32.5/ATHENS!O1*ATHENS!O2</f>
        <v>59.090909090909086</v>
      </c>
      <c r="K69" s="75"/>
      <c r="L69" s="44"/>
      <c r="M69" s="44"/>
      <c r="N69" s="44"/>
    </row>
    <row r="70" spans="1:14" x14ac:dyDescent="0.2">
      <c r="A70" s="24"/>
      <c r="B70" s="68" t="s">
        <v>67</v>
      </c>
      <c r="C70" s="27"/>
      <c r="D70" s="27"/>
      <c r="E70" s="28"/>
      <c r="F70" s="28" t="s">
        <v>1182</v>
      </c>
      <c r="G70" s="28" t="s">
        <v>68</v>
      </c>
      <c r="H70" s="28" t="s">
        <v>702</v>
      </c>
      <c r="I70" s="28"/>
      <c r="J70" s="75">
        <f>25/ATHENS!O1*ATHENS!O2</f>
        <v>45.454545454545453</v>
      </c>
      <c r="K70" s="75"/>
      <c r="L70" s="44"/>
      <c r="M70" s="44"/>
      <c r="N70" s="44"/>
    </row>
    <row r="71" spans="1:14" ht="13.5" thickBot="1" x14ac:dyDescent="0.25">
      <c r="A71" s="30"/>
      <c r="B71" s="443"/>
      <c r="C71" s="443"/>
      <c r="D71" s="443"/>
      <c r="E71" s="32"/>
      <c r="F71" s="89"/>
      <c r="G71" s="89"/>
      <c r="H71" s="32"/>
      <c r="I71" s="32"/>
      <c r="J71" s="76"/>
      <c r="K71" s="76"/>
      <c r="L71" s="46"/>
      <c r="M71" s="46"/>
      <c r="N71" s="46"/>
    </row>
    <row r="72" spans="1:14" ht="13.5" thickBot="1" x14ac:dyDescent="0.25">
      <c r="A72" s="52"/>
      <c r="B72" s="27"/>
      <c r="C72" s="27"/>
      <c r="D72" s="27"/>
      <c r="E72" s="28"/>
      <c r="F72" s="316"/>
      <c r="G72" s="316"/>
      <c r="H72" s="28"/>
      <c r="I72" s="28"/>
      <c r="J72" s="229"/>
      <c r="K72" s="229"/>
      <c r="L72" s="53"/>
      <c r="M72" s="53"/>
      <c r="N72" s="53"/>
    </row>
    <row r="73" spans="1:14" x14ac:dyDescent="0.2">
      <c r="A73" s="112"/>
      <c r="B73" s="113"/>
      <c r="C73" s="113"/>
      <c r="D73" s="113"/>
      <c r="E73" s="114"/>
      <c r="F73" s="114"/>
      <c r="G73" s="114"/>
      <c r="H73" s="114"/>
      <c r="I73" s="114"/>
      <c r="J73" s="114"/>
      <c r="K73" s="114"/>
      <c r="L73" s="114"/>
      <c r="M73" s="114"/>
      <c r="N73" s="115"/>
    </row>
    <row r="74" spans="1:14" ht="15" x14ac:dyDescent="0.2">
      <c r="A74" s="116"/>
      <c r="B74" s="462" t="s">
        <v>791</v>
      </c>
      <c r="C74" s="463"/>
      <c r="D74" s="463"/>
      <c r="E74" s="463"/>
      <c r="F74" s="463"/>
      <c r="G74" s="463"/>
      <c r="H74" s="463"/>
      <c r="I74" s="463"/>
      <c r="J74" s="463"/>
      <c r="K74" s="463"/>
      <c r="L74" s="463"/>
      <c r="M74" s="464"/>
      <c r="N74" s="117" t="s">
        <v>664</v>
      </c>
    </row>
    <row r="75" spans="1:14" x14ac:dyDescent="0.2">
      <c r="A75" s="116"/>
      <c r="B75" s="118" t="s">
        <v>428</v>
      </c>
      <c r="C75" s="119" t="s">
        <v>1242</v>
      </c>
      <c r="D75" s="119"/>
      <c r="E75" s="120"/>
      <c r="F75" s="120"/>
      <c r="G75" s="120"/>
      <c r="H75" s="120"/>
      <c r="I75" s="120"/>
      <c r="J75" s="120"/>
      <c r="K75" s="120"/>
      <c r="L75" s="120"/>
      <c r="M75" s="120"/>
      <c r="N75" s="101"/>
    </row>
    <row r="76" spans="1:14" x14ac:dyDescent="0.2">
      <c r="A76" s="116"/>
      <c r="B76" s="118" t="s">
        <v>429</v>
      </c>
      <c r="C76" s="119" t="s">
        <v>240</v>
      </c>
      <c r="D76" s="119"/>
      <c r="E76" s="120"/>
      <c r="F76" s="120"/>
      <c r="G76" s="120"/>
      <c r="H76" s="120"/>
      <c r="I76" s="120"/>
      <c r="J76" s="120"/>
      <c r="K76" s="120"/>
      <c r="L76" s="120"/>
      <c r="M76" s="120"/>
      <c r="N76" s="101"/>
    </row>
    <row r="77" spans="1:14" x14ac:dyDescent="0.2">
      <c r="A77" s="116"/>
      <c r="B77" s="118" t="s">
        <v>427</v>
      </c>
      <c r="C77" s="465" t="s">
        <v>1644</v>
      </c>
      <c r="D77" s="465"/>
      <c r="E77" s="465"/>
      <c r="F77" s="465"/>
      <c r="G77" s="465"/>
      <c r="H77" s="465"/>
      <c r="I77" s="465"/>
      <c r="J77" s="465"/>
      <c r="K77" s="465"/>
      <c r="L77" s="465"/>
      <c r="M77" s="465"/>
      <c r="N77" s="466"/>
    </row>
    <row r="78" spans="1:14" x14ac:dyDescent="0.2">
      <c r="A78" s="116"/>
      <c r="B78" s="109"/>
      <c r="C78" s="465"/>
      <c r="D78" s="465"/>
      <c r="E78" s="465"/>
      <c r="F78" s="465"/>
      <c r="G78" s="465"/>
      <c r="H78" s="465"/>
      <c r="I78" s="465"/>
      <c r="J78" s="465"/>
      <c r="K78" s="465"/>
      <c r="L78" s="465"/>
      <c r="M78" s="465"/>
      <c r="N78" s="466"/>
    </row>
    <row r="79" spans="1:14" x14ac:dyDescent="0.2">
      <c r="A79" s="116"/>
      <c r="B79" s="118" t="s">
        <v>426</v>
      </c>
      <c r="C79" s="119"/>
      <c r="D79" s="119"/>
      <c r="E79" s="120"/>
      <c r="F79" s="120"/>
      <c r="G79" s="120"/>
      <c r="H79" s="120"/>
      <c r="I79" s="120"/>
      <c r="J79" s="120"/>
      <c r="K79" s="120"/>
      <c r="L79" s="120"/>
      <c r="M79" s="120"/>
      <c r="N79" s="101"/>
    </row>
    <row r="80" spans="1:14" ht="13.5" thickBot="1" x14ac:dyDescent="0.25">
      <c r="A80" s="121"/>
      <c r="B80" s="118" t="s">
        <v>430</v>
      </c>
      <c r="C80" s="122"/>
      <c r="D80" s="122"/>
      <c r="E80" s="123"/>
      <c r="F80" s="123"/>
      <c r="G80" s="123"/>
      <c r="H80" s="123"/>
      <c r="I80" s="123"/>
      <c r="J80" s="123"/>
      <c r="K80" s="123"/>
      <c r="L80" s="123"/>
      <c r="M80" s="123"/>
      <c r="N80" s="104"/>
    </row>
    <row r="81" spans="1:14" ht="13.5" thickBot="1" x14ac:dyDescent="0.25">
      <c r="A81" s="121"/>
      <c r="B81" s="135" t="s">
        <v>263</v>
      </c>
      <c r="C81" s="122"/>
      <c r="D81" s="122"/>
      <c r="E81" s="123"/>
      <c r="F81" s="123"/>
      <c r="G81" s="123"/>
      <c r="H81" s="123"/>
      <c r="I81" s="123"/>
      <c r="J81" s="125" t="s">
        <v>907</v>
      </c>
      <c r="K81" s="105" t="s">
        <v>611</v>
      </c>
      <c r="L81" s="105"/>
      <c r="M81" s="105"/>
      <c r="N81" s="105"/>
    </row>
    <row r="82" spans="1:14" x14ac:dyDescent="0.2">
      <c r="A82" s="112"/>
      <c r="B82" s="467" t="s">
        <v>67</v>
      </c>
      <c r="C82" s="467"/>
      <c r="D82" s="467"/>
      <c r="E82" s="114"/>
      <c r="F82" s="114" t="s">
        <v>1180</v>
      </c>
      <c r="G82" s="114" t="s">
        <v>68</v>
      </c>
      <c r="H82" s="114" t="s">
        <v>702</v>
      </c>
      <c r="I82" s="114"/>
      <c r="J82" s="100">
        <f>26/ATHENS!O1*ATHENS!O2</f>
        <v>47.272727272727266</v>
      </c>
      <c r="K82" s="100">
        <f>35/ATHENS!O1*ATHENS!O2</f>
        <v>63.636363636363633</v>
      </c>
      <c r="L82" s="100"/>
      <c r="M82" s="126"/>
      <c r="N82" s="126"/>
    </row>
    <row r="83" spans="1:14" x14ac:dyDescent="0.2">
      <c r="A83" s="116"/>
      <c r="B83" s="461" t="s">
        <v>67</v>
      </c>
      <c r="C83" s="461"/>
      <c r="D83" s="461"/>
      <c r="E83" s="120"/>
      <c r="F83" s="120" t="s">
        <v>1181</v>
      </c>
      <c r="G83" s="120" t="s">
        <v>68</v>
      </c>
      <c r="H83" s="120" t="s">
        <v>702</v>
      </c>
      <c r="I83" s="120"/>
      <c r="J83" s="100">
        <f>21/ATHENS!O1*ATHENS!O2</f>
        <v>38.18181818181818</v>
      </c>
      <c r="K83" s="100">
        <f>24/ATHENS!O1*ATHENS!O2</f>
        <v>43.636363636363633</v>
      </c>
      <c r="L83" s="100"/>
      <c r="M83" s="100"/>
      <c r="N83" s="100"/>
    </row>
    <row r="84" spans="1:14" x14ac:dyDescent="0.2">
      <c r="A84" s="116"/>
      <c r="B84" s="461" t="s">
        <v>67</v>
      </c>
      <c r="C84" s="461"/>
      <c r="D84" s="461"/>
      <c r="E84" s="120"/>
      <c r="F84" s="120" t="s">
        <v>1182</v>
      </c>
      <c r="G84" s="120" t="s">
        <v>68</v>
      </c>
      <c r="H84" s="120" t="s">
        <v>702</v>
      </c>
      <c r="I84" s="120"/>
      <c r="J84" s="100">
        <f>17/ATHENS!O1*ATHENS!O2</f>
        <v>30.909090909090907</v>
      </c>
      <c r="K84" s="100">
        <f>21/ATHENS!O1*ATHENS!O2</f>
        <v>38.18181818181818</v>
      </c>
      <c r="L84" s="100"/>
      <c r="M84" s="100"/>
      <c r="N84" s="100"/>
    </row>
    <row r="85" spans="1:14" x14ac:dyDescent="0.2">
      <c r="A85" s="116"/>
      <c r="B85" s="461" t="s">
        <v>67</v>
      </c>
      <c r="C85" s="461"/>
      <c r="D85" s="461"/>
      <c r="E85" s="120"/>
      <c r="F85" s="120" t="s">
        <v>257</v>
      </c>
      <c r="G85" s="120" t="s">
        <v>68</v>
      </c>
      <c r="H85" s="120" t="s">
        <v>702</v>
      </c>
      <c r="I85" s="120"/>
      <c r="J85" s="100" t="s">
        <v>864</v>
      </c>
      <c r="K85" s="100">
        <f>18/ATHENS!O1*ATHENS!O2</f>
        <v>32.727272727272727</v>
      </c>
      <c r="L85" s="100"/>
      <c r="M85" s="100"/>
      <c r="N85" s="100"/>
    </row>
    <row r="86" spans="1:14" ht="13.5" thickBot="1" x14ac:dyDescent="0.25">
      <c r="A86" s="121"/>
      <c r="B86" s="460"/>
      <c r="C86" s="460"/>
      <c r="D86" s="460"/>
      <c r="E86" s="123"/>
      <c r="F86" s="123"/>
      <c r="G86" s="123"/>
      <c r="H86" s="123"/>
      <c r="I86" s="123"/>
      <c r="J86" s="105"/>
      <c r="K86" s="105"/>
      <c r="L86" s="105"/>
      <c r="M86" s="105"/>
      <c r="N86" s="105"/>
    </row>
    <row r="87" spans="1:14" x14ac:dyDescent="0.2">
      <c r="A87" s="108"/>
      <c r="B87" s="138"/>
      <c r="C87" s="138"/>
      <c r="D87" s="138"/>
      <c r="E87" s="139"/>
      <c r="F87" s="139"/>
      <c r="G87" s="139"/>
      <c r="H87" s="139"/>
      <c r="I87" s="139"/>
      <c r="J87" s="139"/>
      <c r="K87" s="139"/>
      <c r="L87" s="139"/>
      <c r="M87" s="139"/>
      <c r="N87" s="139"/>
    </row>
  </sheetData>
  <customSheetViews>
    <customSheetView guid="{3C76061C-A85D-4390-B9DB-73E13038638C}" showPageBreaks="1" showGridLines="0" view="pageLayout">
      <selection activeCell="M51" sqref="M51"/>
      <rowBreaks count="1" manualBreakCount="1">
        <brk id="87" max="16383" man="1"/>
      </rowBreaks>
      <pageMargins left="0.28125" right="0.25" top="0.6692913385826772" bottom="0.70866141732283472" header="0.23622047244094491" footer="0.47244094488188981"/>
      <printOptions horizontalCentered="1"/>
      <pageSetup paperSize="9" firstPageNumber="75"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35">
    <mergeCell ref="B3:M3"/>
    <mergeCell ref="B53:D53"/>
    <mergeCell ref="B41:D41"/>
    <mergeCell ref="B45:M45"/>
    <mergeCell ref="B26:D26"/>
    <mergeCell ref="B18:M18"/>
    <mergeCell ref="C21:N22"/>
    <mergeCell ref="B25:D25"/>
    <mergeCell ref="C34:N35"/>
    <mergeCell ref="C6:N7"/>
    <mergeCell ref="B12:D12"/>
    <mergeCell ref="B13:D13"/>
    <mergeCell ref="B85:D85"/>
    <mergeCell ref="B86:D86"/>
    <mergeCell ref="B27:D27"/>
    <mergeCell ref="B37:D37"/>
    <mergeCell ref="B38:D38"/>
    <mergeCell ref="B39:D39"/>
    <mergeCell ref="B28:D28"/>
    <mergeCell ref="B55:D55"/>
    <mergeCell ref="B54:D54"/>
    <mergeCell ref="C63:N64"/>
    <mergeCell ref="B68:D68"/>
    <mergeCell ref="B52:D52"/>
    <mergeCell ref="B40:D40"/>
    <mergeCell ref="C48:N50"/>
    <mergeCell ref="B31:M31"/>
    <mergeCell ref="B60:M60"/>
    <mergeCell ref="B84:D84"/>
    <mergeCell ref="B74:M74"/>
    <mergeCell ref="C77:N78"/>
    <mergeCell ref="B82:D82"/>
    <mergeCell ref="B69:D69"/>
    <mergeCell ref="B71:D71"/>
    <mergeCell ref="B83:D83"/>
  </mergeCells>
  <phoneticPr fontId="17" type="noConversion"/>
  <hyperlinks>
    <hyperlink ref="B18:M18" r:id="rId2" display="Amalia" xr:uid="{00000000-0004-0000-1B00-000000000000}"/>
    <hyperlink ref="B31:M31" r:id="rId3" display="Antonios" xr:uid="{00000000-0004-0000-1B00-000001000000}"/>
    <hyperlink ref="B45:M45" r:id="rId4" display="Best Western Europa" xr:uid="{00000000-0004-0000-1B00-000002000000}"/>
    <hyperlink ref="B74:M74" r:id="rId5" display="Ilis" xr:uid="{00000000-0004-0000-1B00-000003000000}"/>
    <hyperlink ref="B3:M3" r:id="rId6" display="Arty Grand" xr:uid="{00000000-0004-0000-1B00-000004000000}"/>
    <hyperlink ref="B60:M60" r:id="rId7" display="Olympic Village" xr:uid="{00000000-0004-0000-1B00-000005000000}"/>
  </hyperlinks>
  <printOptions horizontalCentered="1"/>
  <pageMargins left="0.28125" right="0.25" top="0.6692913385826772" bottom="0.70866141732283472" header="0.23622047244094491" footer="0.47244094488188981"/>
  <pageSetup paperSize="9" firstPageNumber="75" orientation="portrait" useFirstPageNumber="1" horizontalDpi="300" verticalDpi="300" r:id="rId8"/>
  <headerFooter scaleWithDoc="0" alignWithMargins="0">
    <oddHeader xml:space="preserve">&amp;C TARIFF 2021
 (EURO)
</oddHeader>
    <oddFooter>&amp;LAll rates are in EURO&amp;C
TARIFF 2021
&amp;RPage &amp;P</oddFooter>
  </headerFooter>
  <rowBreaks count="1" manualBreakCount="1">
    <brk id="87"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41"/>
  <sheetViews>
    <sheetView showGridLines="0" view="pageLayout" topLeftCell="A4" workbookViewId="0">
      <selection activeCell="M53" sqref="M53"/>
    </sheetView>
  </sheetViews>
  <sheetFormatPr defaultRowHeight="12.75" x14ac:dyDescent="0.2"/>
  <cols>
    <col min="1" max="1" width="1.85546875" style="141" customWidth="1"/>
    <col min="2" max="3" width="10.7109375" style="141" customWidth="1"/>
    <col min="4" max="9" width="3.7109375" style="141" customWidth="1"/>
    <col min="10" max="14" width="10.7109375" style="141" customWidth="1"/>
    <col min="15" max="16384" width="9.140625" style="141"/>
  </cols>
  <sheetData>
    <row r="1" spans="1:14" ht="15.75" customHeight="1" x14ac:dyDescent="0.2">
      <c r="A1" s="108"/>
      <c r="B1" s="109"/>
      <c r="C1" s="109"/>
      <c r="D1" s="109"/>
      <c r="E1" s="110"/>
      <c r="F1" s="110"/>
      <c r="G1" s="110"/>
      <c r="H1" s="110"/>
      <c r="I1" s="110"/>
      <c r="J1" s="110"/>
      <c r="K1" s="110"/>
      <c r="L1" s="110"/>
      <c r="M1" s="110"/>
      <c r="N1" s="110"/>
    </row>
    <row r="2" spans="1:14" ht="13.5" thickBot="1" x14ac:dyDescent="0.25">
      <c r="A2" s="108"/>
      <c r="B2" s="138"/>
      <c r="C2" s="138"/>
      <c r="D2" s="138"/>
      <c r="E2" s="139"/>
      <c r="F2" s="139"/>
      <c r="G2" s="139"/>
      <c r="H2" s="139"/>
      <c r="I2" s="139"/>
      <c r="J2" s="139"/>
      <c r="K2" s="139"/>
      <c r="L2" s="139"/>
      <c r="M2" s="139"/>
      <c r="N2" s="139"/>
    </row>
    <row r="3" spans="1:14" ht="13.5" thickBot="1" x14ac:dyDescent="0.25">
      <c r="A3" s="112"/>
      <c r="B3" s="113"/>
      <c r="C3" s="113"/>
      <c r="D3" s="113"/>
      <c r="E3" s="114"/>
      <c r="F3" s="114"/>
      <c r="G3" s="114"/>
      <c r="H3" s="114"/>
      <c r="I3" s="114"/>
      <c r="J3" s="114"/>
      <c r="K3" s="114"/>
      <c r="L3" s="114"/>
      <c r="M3" s="114"/>
      <c r="N3" s="115"/>
    </row>
    <row r="4" spans="1:14" ht="15.75" thickBot="1" x14ac:dyDescent="0.25">
      <c r="A4" s="116"/>
      <c r="B4" s="484" t="s">
        <v>544</v>
      </c>
      <c r="C4" s="485"/>
      <c r="D4" s="485"/>
      <c r="E4" s="485"/>
      <c r="F4" s="485"/>
      <c r="G4" s="485"/>
      <c r="H4" s="485"/>
      <c r="I4" s="485"/>
      <c r="J4" s="485"/>
      <c r="K4" s="485"/>
      <c r="L4" s="485"/>
      <c r="M4" s="486"/>
      <c r="N4" s="117" t="s">
        <v>96</v>
      </c>
    </row>
    <row r="5" spans="1:14" x14ac:dyDescent="0.2">
      <c r="A5" s="116"/>
      <c r="B5" s="118" t="s">
        <v>428</v>
      </c>
      <c r="C5" s="119" t="s">
        <v>546</v>
      </c>
      <c r="D5" s="119"/>
      <c r="E5" s="120"/>
      <c r="F5" s="120"/>
      <c r="G5" s="120"/>
      <c r="H5" s="120"/>
      <c r="I5" s="120"/>
      <c r="J5" s="120"/>
      <c r="K5" s="120"/>
      <c r="L5" s="120"/>
      <c r="M5" s="120"/>
      <c r="N5" s="101"/>
    </row>
    <row r="6" spans="1:14" x14ac:dyDescent="0.2">
      <c r="A6" s="116"/>
      <c r="B6" s="118" t="s">
        <v>429</v>
      </c>
      <c r="C6" s="119" t="s">
        <v>242</v>
      </c>
      <c r="D6" s="119"/>
      <c r="E6" s="120"/>
      <c r="F6" s="120"/>
      <c r="G6" s="120"/>
      <c r="H6" s="120"/>
      <c r="I6" s="120"/>
      <c r="J6" s="120"/>
      <c r="K6" s="120"/>
      <c r="L6" s="120"/>
      <c r="M6" s="120"/>
      <c r="N6" s="101"/>
    </row>
    <row r="7" spans="1:14" x14ac:dyDescent="0.2">
      <c r="A7" s="116"/>
      <c r="B7" s="118" t="s">
        <v>427</v>
      </c>
      <c r="C7" s="487" t="s">
        <v>547</v>
      </c>
      <c r="D7" s="487"/>
      <c r="E7" s="487"/>
      <c r="F7" s="487"/>
      <c r="G7" s="487"/>
      <c r="H7" s="487"/>
      <c r="I7" s="487"/>
      <c r="J7" s="487"/>
      <c r="K7" s="487"/>
      <c r="L7" s="487"/>
      <c r="M7" s="487"/>
      <c r="N7" s="488"/>
    </row>
    <row r="8" spans="1:14" ht="13.5" thickBot="1" x14ac:dyDescent="0.25">
      <c r="A8" s="116"/>
      <c r="B8" s="109"/>
      <c r="C8" s="487"/>
      <c r="D8" s="487"/>
      <c r="E8" s="487"/>
      <c r="F8" s="487"/>
      <c r="G8" s="487"/>
      <c r="H8" s="487"/>
      <c r="I8" s="487"/>
      <c r="J8" s="487"/>
      <c r="K8" s="487"/>
      <c r="L8" s="487"/>
      <c r="M8" s="487"/>
      <c r="N8" s="488"/>
    </row>
    <row r="9" spans="1:14" ht="13.5" thickBot="1" x14ac:dyDescent="0.25">
      <c r="A9" s="134"/>
      <c r="B9" s="135" t="s">
        <v>263</v>
      </c>
      <c r="C9" s="135"/>
      <c r="D9" s="135"/>
      <c r="E9" s="136"/>
      <c r="F9" s="136"/>
      <c r="G9" s="136"/>
      <c r="H9" s="136"/>
      <c r="I9" s="136"/>
      <c r="J9" s="156" t="s">
        <v>229</v>
      </c>
      <c r="K9" s="157"/>
      <c r="L9" s="157"/>
      <c r="M9" s="157"/>
      <c r="N9" s="157"/>
    </row>
    <row r="10" spans="1:14" x14ac:dyDescent="0.2">
      <c r="A10" s="112"/>
      <c r="B10" s="467" t="s">
        <v>67</v>
      </c>
      <c r="C10" s="467"/>
      <c r="D10" s="467"/>
      <c r="E10" s="114"/>
      <c r="F10" s="114" t="s">
        <v>1180</v>
      </c>
      <c r="G10" s="114" t="s">
        <v>68</v>
      </c>
      <c r="H10" s="114" t="s">
        <v>702</v>
      </c>
      <c r="I10" s="114"/>
      <c r="J10" s="100">
        <f>50/ATHENS!O1*ATHENS!O2</f>
        <v>90.909090909090907</v>
      </c>
      <c r="K10" s="100"/>
      <c r="L10" s="100"/>
      <c r="M10" s="126"/>
      <c r="N10" s="126"/>
    </row>
    <row r="11" spans="1:14" x14ac:dyDescent="0.2">
      <c r="A11" s="116"/>
      <c r="B11" s="461" t="s">
        <v>67</v>
      </c>
      <c r="C11" s="461"/>
      <c r="D11" s="461"/>
      <c r="E11" s="120"/>
      <c r="F11" s="120" t="s">
        <v>1181</v>
      </c>
      <c r="G11" s="120" t="s">
        <v>68</v>
      </c>
      <c r="H11" s="120" t="s">
        <v>702</v>
      </c>
      <c r="I11" s="120"/>
      <c r="J11" s="100">
        <f>29/ATHENS!O1*ATHENS!O2</f>
        <v>52.72727272727272</v>
      </c>
      <c r="K11" s="100"/>
      <c r="L11" s="100"/>
      <c r="M11" s="100"/>
      <c r="N11" s="100"/>
    </row>
    <row r="12" spans="1:14" ht="13.5" thickBot="1" x14ac:dyDescent="0.25">
      <c r="A12" s="121"/>
      <c r="B12" s="460" t="s">
        <v>67</v>
      </c>
      <c r="C12" s="460"/>
      <c r="D12" s="460"/>
      <c r="E12" s="123"/>
      <c r="F12" s="123" t="s">
        <v>1182</v>
      </c>
      <c r="G12" s="123" t="s">
        <v>68</v>
      </c>
      <c r="H12" s="123" t="s">
        <v>702</v>
      </c>
      <c r="I12" s="123"/>
      <c r="J12" s="105">
        <f>27.6/ATHENS!O1*ATHENS!O2</f>
        <v>50.18181818181818</v>
      </c>
      <c r="K12" s="105"/>
      <c r="L12" s="105"/>
      <c r="M12" s="105"/>
      <c r="N12" s="105"/>
    </row>
    <row r="13" spans="1:14" ht="13.5" thickBot="1" x14ac:dyDescent="0.25">
      <c r="A13" s="108"/>
      <c r="B13" s="109"/>
      <c r="C13" s="109"/>
      <c r="D13" s="109"/>
      <c r="E13" s="110"/>
      <c r="F13" s="110"/>
      <c r="G13" s="110"/>
      <c r="H13" s="110"/>
      <c r="I13" s="110"/>
      <c r="J13" s="110"/>
      <c r="K13" s="110"/>
      <c r="L13" s="110"/>
      <c r="M13" s="110"/>
      <c r="N13" s="110"/>
    </row>
    <row r="14" spans="1:14" ht="13.5" thickBot="1" x14ac:dyDescent="0.25">
      <c r="A14" s="112"/>
      <c r="B14" s="113"/>
      <c r="C14" s="113"/>
      <c r="D14" s="113"/>
      <c r="E14" s="114"/>
      <c r="F14" s="114"/>
      <c r="G14" s="114"/>
      <c r="H14" s="114"/>
      <c r="I14" s="114"/>
      <c r="J14" s="114"/>
      <c r="K14" s="114"/>
      <c r="L14" s="114"/>
      <c r="M14" s="114"/>
      <c r="N14" s="115"/>
    </row>
    <row r="15" spans="1:14" ht="15.75" thickBot="1" x14ac:dyDescent="0.25">
      <c r="A15" s="116"/>
      <c r="B15" s="484" t="s">
        <v>545</v>
      </c>
      <c r="C15" s="485"/>
      <c r="D15" s="485"/>
      <c r="E15" s="485"/>
      <c r="F15" s="485"/>
      <c r="G15" s="485"/>
      <c r="H15" s="485"/>
      <c r="I15" s="485"/>
      <c r="J15" s="485"/>
      <c r="K15" s="485"/>
      <c r="L15" s="485"/>
      <c r="M15" s="486"/>
      <c r="N15" s="117" t="s">
        <v>96</v>
      </c>
    </row>
    <row r="16" spans="1:14" x14ac:dyDescent="0.2">
      <c r="A16" s="116"/>
      <c r="B16" s="118" t="s">
        <v>428</v>
      </c>
      <c r="C16" s="119" t="s">
        <v>548</v>
      </c>
      <c r="D16" s="119"/>
      <c r="E16" s="120"/>
      <c r="F16" s="120"/>
      <c r="G16" s="120"/>
      <c r="H16" s="120"/>
      <c r="I16" s="120"/>
      <c r="J16" s="120"/>
      <c r="K16" s="120"/>
      <c r="L16" s="120"/>
      <c r="M16" s="120"/>
      <c r="N16" s="101"/>
    </row>
    <row r="17" spans="1:14" x14ac:dyDescent="0.2">
      <c r="A17" s="116"/>
      <c r="B17" s="118" t="s">
        <v>429</v>
      </c>
      <c r="C17" s="119" t="s">
        <v>243</v>
      </c>
      <c r="D17" s="119"/>
      <c r="E17" s="120"/>
      <c r="F17" s="120"/>
      <c r="G17" s="120"/>
      <c r="H17" s="120"/>
      <c r="I17" s="120"/>
      <c r="J17" s="120"/>
      <c r="K17" s="120"/>
      <c r="L17" s="120"/>
      <c r="M17" s="120"/>
      <c r="N17" s="101"/>
    </row>
    <row r="18" spans="1:14" x14ac:dyDescent="0.2">
      <c r="A18" s="116"/>
      <c r="B18" s="118" t="s">
        <v>427</v>
      </c>
      <c r="C18" s="465" t="s">
        <v>549</v>
      </c>
      <c r="D18" s="465"/>
      <c r="E18" s="465"/>
      <c r="F18" s="465"/>
      <c r="G18" s="465"/>
      <c r="H18" s="465"/>
      <c r="I18" s="465"/>
      <c r="J18" s="465"/>
      <c r="K18" s="465"/>
      <c r="L18" s="465"/>
      <c r="M18" s="465"/>
      <c r="N18" s="466"/>
    </row>
    <row r="19" spans="1:14" x14ac:dyDescent="0.2">
      <c r="A19" s="116"/>
      <c r="B19" s="118"/>
      <c r="C19" s="465"/>
      <c r="D19" s="465"/>
      <c r="E19" s="465"/>
      <c r="F19" s="465"/>
      <c r="G19" s="465"/>
      <c r="H19" s="465"/>
      <c r="I19" s="465"/>
      <c r="J19" s="465"/>
      <c r="K19" s="465"/>
      <c r="L19" s="465"/>
      <c r="M19" s="465"/>
      <c r="N19" s="466"/>
    </row>
    <row r="20" spans="1:14" x14ac:dyDescent="0.2">
      <c r="A20" s="116"/>
      <c r="B20" s="109"/>
      <c r="C20" s="465"/>
      <c r="D20" s="465"/>
      <c r="E20" s="465"/>
      <c r="F20" s="465"/>
      <c r="G20" s="465"/>
      <c r="H20" s="465"/>
      <c r="I20" s="465"/>
      <c r="J20" s="465"/>
      <c r="K20" s="465"/>
      <c r="L20" s="465"/>
      <c r="M20" s="465"/>
      <c r="N20" s="466"/>
    </row>
    <row r="21" spans="1:14" x14ac:dyDescent="0.2">
      <c r="A21" s="116"/>
      <c r="B21" s="118" t="s">
        <v>426</v>
      </c>
      <c r="C21" s="119"/>
      <c r="D21" s="119"/>
      <c r="E21" s="120"/>
      <c r="F21" s="120"/>
      <c r="G21" s="120"/>
      <c r="H21" s="120"/>
      <c r="I21" s="120"/>
      <c r="J21" s="120"/>
      <c r="K21" s="120"/>
      <c r="L21" s="120"/>
      <c r="M21" s="120"/>
      <c r="N21" s="101"/>
    </row>
    <row r="22" spans="1:14" ht="13.5" thickBot="1" x14ac:dyDescent="0.25">
      <c r="A22" s="121"/>
      <c r="B22" s="118" t="s">
        <v>430</v>
      </c>
      <c r="C22" s="122"/>
      <c r="D22" s="122"/>
      <c r="E22" s="123"/>
      <c r="F22" s="123"/>
      <c r="G22" s="123"/>
      <c r="H22" s="123"/>
      <c r="I22" s="123"/>
      <c r="J22" s="123"/>
      <c r="K22" s="123"/>
      <c r="L22" s="123"/>
      <c r="M22" s="123"/>
      <c r="N22" s="104"/>
    </row>
    <row r="23" spans="1:14" ht="13.5" thickBot="1" x14ac:dyDescent="0.25">
      <c r="A23" s="121"/>
      <c r="B23" s="118" t="s">
        <v>263</v>
      </c>
      <c r="C23" s="122"/>
      <c r="D23" s="122"/>
      <c r="E23" s="123"/>
      <c r="F23" s="123"/>
      <c r="G23" s="123"/>
      <c r="H23" s="123"/>
      <c r="I23" s="123"/>
      <c r="J23" s="123" t="s">
        <v>1443</v>
      </c>
      <c r="K23" s="123"/>
      <c r="L23" s="123"/>
      <c r="M23" s="123"/>
      <c r="N23" s="104"/>
    </row>
    <row r="24" spans="1:14" ht="13.5" thickBot="1" x14ac:dyDescent="0.25">
      <c r="A24" s="121"/>
      <c r="B24" s="135" t="s">
        <v>263</v>
      </c>
      <c r="C24" s="122"/>
      <c r="D24" s="122"/>
      <c r="E24" s="123"/>
      <c r="F24" s="123"/>
      <c r="G24" s="123"/>
      <c r="H24" s="123"/>
      <c r="I24" s="123"/>
      <c r="J24" s="125" t="s">
        <v>494</v>
      </c>
      <c r="K24" s="105" t="s">
        <v>514</v>
      </c>
      <c r="L24" s="105"/>
      <c r="M24" s="105"/>
      <c r="N24" s="105"/>
    </row>
    <row r="25" spans="1:14" x14ac:dyDescent="0.2">
      <c r="A25" s="112"/>
      <c r="B25" s="467" t="s">
        <v>67</v>
      </c>
      <c r="C25" s="467"/>
      <c r="D25" s="467"/>
      <c r="E25" s="114"/>
      <c r="F25" s="114" t="s">
        <v>1180</v>
      </c>
      <c r="G25" s="114" t="s">
        <v>68</v>
      </c>
      <c r="H25" s="114" t="s">
        <v>702</v>
      </c>
      <c r="I25" s="114"/>
      <c r="J25" s="100">
        <f>70/ATHENS!O1*ATHENS!O2</f>
        <v>127.27272727272727</v>
      </c>
      <c r="K25" s="100">
        <f>86/ATHENS!O1*ATHENS!O2</f>
        <v>156.36363636363635</v>
      </c>
      <c r="L25" s="100"/>
      <c r="M25" s="126"/>
      <c r="N25" s="126"/>
    </row>
    <row r="26" spans="1:14" x14ac:dyDescent="0.2">
      <c r="A26" s="116"/>
      <c r="B26" s="461" t="s">
        <v>67</v>
      </c>
      <c r="C26" s="461"/>
      <c r="D26" s="461"/>
      <c r="E26" s="120"/>
      <c r="F26" s="120" t="s">
        <v>1181</v>
      </c>
      <c r="G26" s="120" t="s">
        <v>68</v>
      </c>
      <c r="H26" s="120" t="s">
        <v>702</v>
      </c>
      <c r="I26" s="120"/>
      <c r="J26" s="100">
        <f>43.5/ATHENS!O1*ATHENS!O2</f>
        <v>79.090909090909079</v>
      </c>
      <c r="K26" s="100">
        <f>60/ATHENS!O1*ATHENS!O2</f>
        <v>109.09090909090908</v>
      </c>
      <c r="L26" s="100"/>
      <c r="M26" s="100"/>
      <c r="N26" s="100"/>
    </row>
    <row r="27" spans="1:14" ht="13.5" thickBot="1" x14ac:dyDescent="0.25">
      <c r="A27" s="121"/>
      <c r="B27" s="460" t="s">
        <v>67</v>
      </c>
      <c r="C27" s="460"/>
      <c r="D27" s="460"/>
      <c r="E27" s="123"/>
      <c r="F27" s="123" t="s">
        <v>1182</v>
      </c>
      <c r="G27" s="123" t="s">
        <v>68</v>
      </c>
      <c r="H27" s="123" t="s">
        <v>702</v>
      </c>
      <c r="I27" s="123"/>
      <c r="J27" s="105">
        <f>40.5/ATHENS!O1*ATHENS!O2</f>
        <v>73.636363636363626</v>
      </c>
      <c r="K27" s="105">
        <f>51/ATHENS!O1*ATHENS!O2</f>
        <v>92.72727272727272</v>
      </c>
      <c r="L27" s="105"/>
      <c r="M27" s="105"/>
      <c r="N27" s="105"/>
    </row>
    <row r="28" spans="1:14" ht="13.5" thickBot="1" x14ac:dyDescent="0.25">
      <c r="A28" s="108"/>
      <c r="B28" s="138"/>
      <c r="C28" s="138"/>
      <c r="D28" s="138"/>
      <c r="E28" s="139"/>
      <c r="F28" s="139"/>
      <c r="G28" s="139"/>
      <c r="H28" s="139"/>
      <c r="I28" s="139"/>
      <c r="J28" s="139"/>
      <c r="K28" s="139"/>
      <c r="L28" s="139"/>
      <c r="M28" s="139"/>
      <c r="N28" s="139"/>
    </row>
    <row r="29" spans="1:14" ht="13.5" thickBot="1" x14ac:dyDescent="0.25">
      <c r="A29" s="112"/>
      <c r="B29" s="113"/>
      <c r="C29" s="113"/>
      <c r="D29" s="113"/>
      <c r="E29" s="114"/>
      <c r="F29" s="114"/>
      <c r="G29" s="114"/>
      <c r="H29" s="114"/>
      <c r="I29" s="114"/>
      <c r="J29" s="114"/>
      <c r="K29" s="114"/>
      <c r="L29" s="114"/>
      <c r="M29" s="114"/>
      <c r="N29" s="115"/>
    </row>
    <row r="30" spans="1:14" ht="15.75" thickBot="1" x14ac:dyDescent="0.25">
      <c r="A30" s="116"/>
      <c r="B30" s="484" t="s">
        <v>686</v>
      </c>
      <c r="C30" s="485"/>
      <c r="D30" s="485"/>
      <c r="E30" s="485"/>
      <c r="F30" s="485"/>
      <c r="G30" s="485"/>
      <c r="H30" s="485"/>
      <c r="I30" s="485"/>
      <c r="J30" s="485"/>
      <c r="K30" s="485"/>
      <c r="L30" s="485"/>
      <c r="M30" s="486"/>
      <c r="N30" s="117" t="s">
        <v>684</v>
      </c>
    </row>
    <row r="31" spans="1:14" x14ac:dyDescent="0.2">
      <c r="A31" s="116"/>
      <c r="B31" s="118" t="s">
        <v>428</v>
      </c>
      <c r="C31" s="119" t="s">
        <v>550</v>
      </c>
      <c r="D31" s="119"/>
      <c r="E31" s="120"/>
      <c r="F31" s="120"/>
      <c r="G31" s="120"/>
      <c r="H31" s="120"/>
      <c r="I31" s="120"/>
      <c r="J31" s="120"/>
      <c r="K31" s="120"/>
      <c r="L31" s="120"/>
      <c r="M31" s="120"/>
      <c r="N31" s="101"/>
    </row>
    <row r="32" spans="1:14" x14ac:dyDescent="0.2">
      <c r="A32" s="116"/>
      <c r="B32" s="118" t="s">
        <v>429</v>
      </c>
      <c r="C32" s="119" t="s">
        <v>302</v>
      </c>
      <c r="D32" s="119"/>
      <c r="E32" s="120"/>
      <c r="F32" s="120"/>
      <c r="G32" s="120"/>
      <c r="H32" s="120"/>
      <c r="I32" s="120"/>
      <c r="J32" s="120"/>
      <c r="K32" s="120"/>
      <c r="L32" s="120"/>
      <c r="M32" s="120"/>
      <c r="N32" s="101"/>
    </row>
    <row r="33" spans="1:14" x14ac:dyDescent="0.2">
      <c r="A33" s="116"/>
      <c r="B33" s="118" t="s">
        <v>427</v>
      </c>
      <c r="C33" s="465" t="s">
        <v>551</v>
      </c>
      <c r="D33" s="465"/>
      <c r="E33" s="465"/>
      <c r="F33" s="465"/>
      <c r="G33" s="465"/>
      <c r="H33" s="465"/>
      <c r="I33" s="465"/>
      <c r="J33" s="465"/>
      <c r="K33" s="465"/>
      <c r="L33" s="465"/>
      <c r="M33" s="465"/>
      <c r="N33" s="466"/>
    </row>
    <row r="34" spans="1:14" x14ac:dyDescent="0.2">
      <c r="A34" s="116"/>
      <c r="B34" s="109"/>
      <c r="C34" s="465"/>
      <c r="D34" s="465"/>
      <c r="E34" s="465"/>
      <c r="F34" s="465"/>
      <c r="G34" s="465"/>
      <c r="H34" s="465"/>
      <c r="I34" s="465"/>
      <c r="J34" s="465"/>
      <c r="K34" s="465"/>
      <c r="L34" s="465"/>
      <c r="M34" s="465"/>
      <c r="N34" s="466"/>
    </row>
    <row r="35" spans="1:14" x14ac:dyDescent="0.2">
      <c r="A35" s="116"/>
      <c r="B35" s="118" t="s">
        <v>426</v>
      </c>
      <c r="C35" s="119"/>
      <c r="D35" s="119"/>
      <c r="E35" s="120"/>
      <c r="F35" s="120"/>
      <c r="G35" s="120"/>
      <c r="H35" s="120"/>
      <c r="I35" s="120"/>
      <c r="J35" s="120"/>
      <c r="K35" s="120"/>
      <c r="L35" s="120"/>
      <c r="M35" s="120"/>
      <c r="N35" s="101"/>
    </row>
    <row r="36" spans="1:14" ht="13.5" thickBot="1" x14ac:dyDescent="0.25">
      <c r="A36" s="121"/>
      <c r="B36" s="118" t="s">
        <v>430</v>
      </c>
      <c r="C36" s="122"/>
      <c r="D36" s="122"/>
      <c r="E36" s="123"/>
      <c r="F36" s="123"/>
      <c r="G36" s="123"/>
      <c r="H36" s="123"/>
      <c r="I36" s="123"/>
      <c r="J36" s="123"/>
      <c r="K36" s="123"/>
      <c r="L36" s="123"/>
      <c r="M36" s="123"/>
      <c r="N36" s="104"/>
    </row>
    <row r="37" spans="1:14" ht="13.5" thickBot="1" x14ac:dyDescent="0.25">
      <c r="A37" s="121"/>
      <c r="B37" s="118"/>
      <c r="C37" s="122"/>
      <c r="D37" s="122"/>
      <c r="E37" s="123"/>
      <c r="F37" s="123"/>
      <c r="G37" s="123"/>
      <c r="H37" s="123"/>
      <c r="I37" s="123"/>
      <c r="J37" s="123"/>
      <c r="K37" s="123"/>
      <c r="L37" s="123"/>
      <c r="M37" s="123"/>
      <c r="N37" s="104"/>
    </row>
    <row r="38" spans="1:14" ht="13.5" thickBot="1" x14ac:dyDescent="0.25">
      <c r="A38" s="121"/>
      <c r="B38" s="135" t="s">
        <v>263</v>
      </c>
      <c r="C38" s="122"/>
      <c r="D38" s="122"/>
      <c r="E38" s="123"/>
      <c r="F38" s="123"/>
      <c r="G38" s="123"/>
      <c r="H38" s="123"/>
      <c r="I38" s="123"/>
      <c r="J38" s="125" t="s">
        <v>229</v>
      </c>
      <c r="K38" s="105"/>
      <c r="L38" s="105"/>
      <c r="M38" s="105"/>
      <c r="N38" s="105"/>
    </row>
    <row r="39" spans="1:14" x14ac:dyDescent="0.2">
      <c r="A39" s="112"/>
      <c r="B39" s="467" t="s">
        <v>67</v>
      </c>
      <c r="C39" s="467"/>
      <c r="D39" s="467"/>
      <c r="E39" s="114"/>
      <c r="F39" s="114" t="s">
        <v>1180</v>
      </c>
      <c r="G39" s="114" t="s">
        <v>68</v>
      </c>
      <c r="H39" s="114" t="s">
        <v>702</v>
      </c>
      <c r="I39" s="114"/>
      <c r="J39" s="100">
        <f>30/ATHENS!O1*ATHENS!O2</f>
        <v>54.54545454545454</v>
      </c>
      <c r="K39" s="100"/>
      <c r="L39" s="100"/>
      <c r="M39" s="126"/>
      <c r="N39" s="126"/>
    </row>
    <row r="40" spans="1:14" ht="13.5" thickBot="1" x14ac:dyDescent="0.25">
      <c r="A40" s="121"/>
      <c r="B40" s="460" t="s">
        <v>67</v>
      </c>
      <c r="C40" s="460"/>
      <c r="D40" s="460"/>
      <c r="E40" s="123"/>
      <c r="F40" s="123" t="s">
        <v>1181</v>
      </c>
      <c r="G40" s="123" t="s">
        <v>68</v>
      </c>
      <c r="H40" s="123" t="s">
        <v>702</v>
      </c>
      <c r="I40" s="123"/>
      <c r="J40" s="105">
        <f>20/ATHENS!O1*ATHENS!O2</f>
        <v>36.36363636363636</v>
      </c>
      <c r="K40" s="105"/>
      <c r="L40" s="105"/>
      <c r="M40" s="105"/>
      <c r="N40" s="105"/>
    </row>
    <row r="41" spans="1:14" x14ac:dyDescent="0.2">
      <c r="A41" s="108"/>
      <c r="B41" s="109"/>
      <c r="C41" s="109"/>
      <c r="D41" s="109"/>
      <c r="E41" s="110"/>
      <c r="F41" s="110"/>
      <c r="G41" s="110"/>
      <c r="H41" s="110"/>
      <c r="I41" s="110"/>
      <c r="J41" s="110"/>
      <c r="K41" s="110"/>
      <c r="L41" s="110"/>
      <c r="M41" s="110"/>
      <c r="N41" s="110"/>
    </row>
  </sheetData>
  <customSheetViews>
    <customSheetView guid="{3C76061C-A85D-4390-B9DB-73E13038638C}" showPageBreaks="1" showGridLines="0" view="pageLayout" topLeftCell="A4">
      <selection activeCell="M51" sqref="M51"/>
      <pageMargins left="0.28125" right="0.25" top="0.6692913385826772" bottom="0.70866141732283472" header="0.23622047244094491" footer="0.47244094488188981"/>
      <printOptions horizontalCentered="1"/>
      <pageSetup paperSize="9" firstPageNumber="77"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14">
    <mergeCell ref="B4:M4"/>
    <mergeCell ref="B12:D12"/>
    <mergeCell ref="B27:D27"/>
    <mergeCell ref="C7:N8"/>
    <mergeCell ref="B10:D10"/>
    <mergeCell ref="B11:D11"/>
    <mergeCell ref="B15:M15"/>
    <mergeCell ref="C18:N20"/>
    <mergeCell ref="B25:D25"/>
    <mergeCell ref="B40:D40"/>
    <mergeCell ref="B30:M30"/>
    <mergeCell ref="C33:N34"/>
    <mergeCell ref="B39:D39"/>
    <mergeCell ref="B26:D26"/>
  </mergeCells>
  <phoneticPr fontId="17" type="noConversion"/>
  <hyperlinks>
    <hyperlink ref="B4:M4" r:id="rId2" display="Patras Palace" xr:uid="{00000000-0004-0000-1C00-000000000000}"/>
    <hyperlink ref="B15:M15" r:id="rId3" display="Porto Rio Casino" xr:uid="{00000000-0004-0000-1C00-000001000000}"/>
    <hyperlink ref="B30:M30" r:id="rId4" display="Mediterranee" xr:uid="{00000000-0004-0000-1C00-000002000000}"/>
  </hyperlinks>
  <printOptions horizontalCentered="1"/>
  <pageMargins left="0.28125" right="0.25" top="0.6692913385826772" bottom="0.70866141732283472" header="0.23622047244094491" footer="0.47244094488188981"/>
  <pageSetup paperSize="9" firstPageNumber="77" orientation="portrait" useFirstPageNumber="1" horizontalDpi="300" verticalDpi="300" r:id="rId5"/>
  <headerFooter scaleWithDoc="0" alignWithMargins="0">
    <oddHeader xml:space="preserve">&amp;C TARIFF 2021
 (EURO)
</oddHeader>
    <oddFooter>&amp;LAll rates are in EURO&amp;C
TARIFF 2021
&amp;RPage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Φύλλο2"/>
  <dimension ref="A1:L45"/>
  <sheetViews>
    <sheetView showGridLines="0" view="pageLayout" workbookViewId="0">
      <selection activeCell="K9" sqref="K9"/>
    </sheetView>
  </sheetViews>
  <sheetFormatPr defaultRowHeight="12.75" x14ac:dyDescent="0.2"/>
  <cols>
    <col min="1" max="1" width="4" customWidth="1"/>
    <col min="2" max="2" width="1.5703125" customWidth="1"/>
  </cols>
  <sheetData>
    <row r="1" spans="1:12" ht="15" customHeight="1" x14ac:dyDescent="0.2">
      <c r="A1" s="379" t="s">
        <v>1084</v>
      </c>
      <c r="B1" s="379"/>
      <c r="C1" s="379"/>
      <c r="D1" s="379"/>
      <c r="E1" s="379"/>
      <c r="F1" s="379"/>
      <c r="G1" s="379"/>
      <c r="H1" s="379"/>
      <c r="I1" s="379"/>
      <c r="J1" s="379"/>
      <c r="K1" s="379"/>
    </row>
    <row r="2" spans="1:12" ht="15" customHeight="1" x14ac:dyDescent="0.2"/>
    <row r="3" spans="1:12" ht="15" customHeight="1" x14ac:dyDescent="0.2">
      <c r="A3" s="3" t="s">
        <v>671</v>
      </c>
      <c r="B3" s="3"/>
    </row>
    <row r="4" spans="1:12" x14ac:dyDescent="0.2">
      <c r="A4" s="9" t="s">
        <v>111</v>
      </c>
      <c r="B4" s="9"/>
      <c r="C4" s="383" t="s">
        <v>2236</v>
      </c>
      <c r="D4" s="383"/>
      <c r="E4" s="383"/>
      <c r="F4" s="383"/>
      <c r="G4" s="383"/>
      <c r="H4" s="383"/>
      <c r="I4" s="383"/>
      <c r="J4" s="383"/>
      <c r="K4" s="384"/>
      <c r="L4" s="384"/>
    </row>
    <row r="5" spans="1:12" x14ac:dyDescent="0.2">
      <c r="C5" s="383"/>
      <c r="D5" s="383"/>
      <c r="E5" s="383"/>
      <c r="F5" s="383"/>
      <c r="G5" s="383"/>
      <c r="H5" s="383"/>
      <c r="I5" s="383"/>
      <c r="J5" s="383"/>
      <c r="K5" s="384"/>
      <c r="L5" s="384"/>
    </row>
    <row r="6" spans="1:12" x14ac:dyDescent="0.2">
      <c r="C6" s="383"/>
      <c r="D6" s="383"/>
      <c r="E6" s="383"/>
      <c r="F6" s="383"/>
      <c r="G6" s="383"/>
      <c r="H6" s="383"/>
      <c r="I6" s="383"/>
      <c r="J6" s="383"/>
      <c r="K6" s="384"/>
      <c r="L6" s="384"/>
    </row>
    <row r="7" spans="1:12" ht="24.75" customHeight="1" x14ac:dyDescent="0.2">
      <c r="C7" s="383"/>
      <c r="D7" s="383"/>
      <c r="E7" s="383"/>
      <c r="F7" s="383"/>
      <c r="G7" s="383"/>
      <c r="H7" s="383"/>
      <c r="I7" s="383"/>
      <c r="J7" s="383"/>
      <c r="K7" s="384"/>
      <c r="L7" s="384"/>
    </row>
    <row r="8" spans="1:12" ht="6" customHeight="1" x14ac:dyDescent="0.2">
      <c r="C8" s="215"/>
      <c r="D8" s="215"/>
      <c r="E8" s="215"/>
      <c r="F8" s="215"/>
      <c r="G8" s="215"/>
      <c r="H8" s="215"/>
      <c r="I8" s="215"/>
      <c r="J8" s="215"/>
      <c r="K8" s="218"/>
      <c r="L8" s="218"/>
    </row>
    <row r="9" spans="1:12" ht="15" customHeight="1" x14ac:dyDescent="0.2">
      <c r="A9" s="3" t="s">
        <v>672</v>
      </c>
      <c r="B9" s="3"/>
    </row>
    <row r="10" spans="1:12" ht="15" customHeight="1" x14ac:dyDescent="0.2">
      <c r="A10" s="9" t="s">
        <v>111</v>
      </c>
      <c r="B10" s="9"/>
      <c r="C10" s="383" t="s">
        <v>2237</v>
      </c>
      <c r="D10" s="383"/>
      <c r="E10" s="383"/>
      <c r="F10" s="383"/>
      <c r="G10" s="383"/>
      <c r="H10" s="383"/>
      <c r="I10" s="383"/>
      <c r="J10" s="383"/>
      <c r="K10" s="383"/>
      <c r="L10" s="383"/>
    </row>
    <row r="11" spans="1:12" ht="15" customHeight="1" x14ac:dyDescent="0.2">
      <c r="C11" s="383"/>
      <c r="D11" s="383"/>
      <c r="E11" s="383"/>
      <c r="F11" s="383"/>
      <c r="G11" s="383"/>
      <c r="H11" s="383"/>
      <c r="I11" s="383"/>
      <c r="J11" s="383"/>
      <c r="K11" s="383"/>
      <c r="L11" s="383"/>
    </row>
    <row r="12" spans="1:12" ht="15" customHeight="1" x14ac:dyDescent="0.2">
      <c r="A12" s="9" t="s">
        <v>111</v>
      </c>
      <c r="B12" s="9"/>
      <c r="C12" s="383" t="s">
        <v>1110</v>
      </c>
      <c r="D12" s="383"/>
      <c r="E12" s="383"/>
      <c r="F12" s="383"/>
      <c r="G12" s="383"/>
      <c r="H12" s="383"/>
      <c r="I12" s="383"/>
      <c r="J12" s="383"/>
      <c r="K12" s="383"/>
      <c r="L12" s="383"/>
    </row>
    <row r="13" spans="1:12" ht="15" customHeight="1" x14ac:dyDescent="0.2">
      <c r="C13" s="383"/>
      <c r="D13" s="383"/>
      <c r="E13" s="383"/>
      <c r="F13" s="383"/>
      <c r="G13" s="383"/>
      <c r="H13" s="383"/>
      <c r="I13" s="383"/>
      <c r="J13" s="383"/>
      <c r="K13" s="383"/>
      <c r="L13" s="383"/>
    </row>
    <row r="14" spans="1:12" ht="13.5" customHeight="1" x14ac:dyDescent="0.2">
      <c r="C14" s="383"/>
      <c r="D14" s="383"/>
      <c r="E14" s="383"/>
      <c r="F14" s="383"/>
      <c r="G14" s="383"/>
      <c r="H14" s="383"/>
      <c r="I14" s="383"/>
      <c r="J14" s="383"/>
      <c r="K14" s="383"/>
      <c r="L14" s="383"/>
    </row>
    <row r="15" spans="1:12" ht="18" customHeight="1" x14ac:dyDescent="0.2">
      <c r="A15" s="9" t="s">
        <v>111</v>
      </c>
      <c r="B15" s="9"/>
      <c r="C15" s="221" t="s">
        <v>1547</v>
      </c>
    </row>
    <row r="16" spans="1:12" ht="24" customHeight="1" x14ac:dyDescent="0.2">
      <c r="A16" s="9" t="s">
        <v>111</v>
      </c>
      <c r="B16" s="9"/>
      <c r="C16" s="383" t="s">
        <v>1546</v>
      </c>
      <c r="D16" s="383"/>
      <c r="E16" s="383"/>
      <c r="F16" s="383"/>
      <c r="G16" s="383"/>
      <c r="H16" s="383"/>
      <c r="I16" s="383"/>
      <c r="J16" s="384"/>
      <c r="K16" s="384"/>
      <c r="L16" s="384"/>
    </row>
    <row r="17" spans="1:12" x14ac:dyDescent="0.2">
      <c r="C17" s="383"/>
      <c r="D17" s="383"/>
      <c r="E17" s="383"/>
      <c r="F17" s="383"/>
      <c r="G17" s="383"/>
      <c r="H17" s="383"/>
      <c r="I17" s="383"/>
      <c r="J17" s="384"/>
      <c r="K17" s="384"/>
      <c r="L17" s="384"/>
    </row>
    <row r="18" spans="1:12" x14ac:dyDescent="0.2">
      <c r="A18" s="9" t="s">
        <v>111</v>
      </c>
      <c r="B18" s="9"/>
      <c r="C18" s="380" t="s">
        <v>1545</v>
      </c>
      <c r="D18" s="381"/>
      <c r="E18" s="381"/>
      <c r="F18" s="381"/>
      <c r="G18" s="381"/>
      <c r="H18" s="381"/>
      <c r="I18" s="381"/>
      <c r="J18" s="381"/>
      <c r="K18" s="381"/>
      <c r="L18" s="382"/>
    </row>
    <row r="19" spans="1:12" ht="15" customHeight="1" x14ac:dyDescent="0.2">
      <c r="A19" s="9"/>
      <c r="B19" s="9"/>
      <c r="C19" s="380"/>
      <c r="D19" s="381"/>
      <c r="E19" s="381"/>
      <c r="F19" s="381"/>
      <c r="G19" s="381"/>
      <c r="H19" s="381"/>
      <c r="I19" s="381"/>
      <c r="J19" s="381"/>
      <c r="K19" s="381"/>
      <c r="L19" s="382"/>
    </row>
    <row r="20" spans="1:12" ht="8.25" customHeight="1" x14ac:dyDescent="0.2">
      <c r="A20" s="9"/>
      <c r="B20" s="9"/>
      <c r="C20" s="217"/>
      <c r="D20" s="215"/>
      <c r="E20" s="215"/>
      <c r="F20" s="215"/>
      <c r="G20" s="215"/>
      <c r="H20" s="215"/>
      <c r="I20" s="215"/>
      <c r="J20" s="215"/>
      <c r="K20" s="215"/>
      <c r="L20" s="218"/>
    </row>
    <row r="21" spans="1:12" ht="15" customHeight="1" x14ac:dyDescent="0.2">
      <c r="A21" s="216" t="s">
        <v>1313</v>
      </c>
    </row>
    <row r="22" spans="1:12" ht="15" customHeight="1" x14ac:dyDescent="0.2">
      <c r="A22" s="9"/>
      <c r="B22" s="9"/>
      <c r="C22" s="383" t="s">
        <v>1113</v>
      </c>
      <c r="D22" s="383"/>
      <c r="E22" s="383"/>
      <c r="F22" s="383"/>
      <c r="G22" s="383"/>
      <c r="H22" s="383"/>
      <c r="I22" s="383"/>
      <c r="J22" s="383"/>
      <c r="K22" s="383"/>
      <c r="L22" s="384"/>
    </row>
    <row r="23" spans="1:12" ht="144" customHeight="1" x14ac:dyDescent="0.2">
      <c r="C23" s="383"/>
      <c r="D23" s="383"/>
      <c r="E23" s="383"/>
      <c r="F23" s="383"/>
      <c r="G23" s="383"/>
      <c r="H23" s="383"/>
      <c r="I23" s="383"/>
      <c r="J23" s="383"/>
      <c r="K23" s="383"/>
      <c r="L23" s="384"/>
    </row>
    <row r="24" spans="1:12" ht="6" customHeight="1" x14ac:dyDescent="0.2">
      <c r="C24" s="219"/>
      <c r="D24" s="219"/>
      <c r="E24" s="219"/>
      <c r="F24" s="219"/>
      <c r="G24" s="219"/>
      <c r="H24" s="219"/>
      <c r="I24" s="219"/>
      <c r="J24" s="219"/>
      <c r="K24" s="219"/>
      <c r="L24" s="218"/>
    </row>
    <row r="25" spans="1:12" ht="15" customHeight="1" x14ac:dyDescent="0.2">
      <c r="A25" s="216" t="s">
        <v>1314</v>
      </c>
    </row>
    <row r="26" spans="1:12" ht="26.25" customHeight="1" x14ac:dyDescent="0.2">
      <c r="A26" s="9"/>
      <c r="B26" s="9"/>
      <c r="C26" s="383" t="s">
        <v>1315</v>
      </c>
      <c r="D26" s="383"/>
      <c r="E26" s="383"/>
      <c r="F26" s="383"/>
      <c r="G26" s="383"/>
      <c r="H26" s="383"/>
      <c r="I26" s="383"/>
      <c r="J26" s="383"/>
      <c r="K26" s="383"/>
      <c r="L26" s="383"/>
    </row>
    <row r="27" spans="1:12" ht="7.5" customHeight="1" x14ac:dyDescent="0.2"/>
    <row r="28" spans="1:12" ht="15" customHeight="1" x14ac:dyDescent="0.2">
      <c r="A28" s="216" t="s">
        <v>1316</v>
      </c>
    </row>
    <row r="29" spans="1:12" ht="15" customHeight="1" x14ac:dyDescent="0.2">
      <c r="C29" s="220" t="s">
        <v>1317</v>
      </c>
    </row>
    <row r="30" spans="1:12" ht="8.25" customHeight="1" x14ac:dyDescent="0.2"/>
    <row r="31" spans="1:12" ht="15" x14ac:dyDescent="0.2">
      <c r="A31" s="216" t="s">
        <v>1318</v>
      </c>
    </row>
    <row r="32" spans="1:12" x14ac:dyDescent="0.2">
      <c r="C32" s="385" t="s">
        <v>1544</v>
      </c>
      <c r="D32" s="383"/>
      <c r="E32" s="383"/>
      <c r="F32" s="383"/>
      <c r="G32" s="383"/>
      <c r="H32" s="383"/>
      <c r="I32" s="383"/>
      <c r="J32" s="383"/>
      <c r="K32" s="383"/>
      <c r="L32" s="383"/>
    </row>
    <row r="33" spans="3:12" x14ac:dyDescent="0.2">
      <c r="C33" s="383"/>
      <c r="D33" s="383"/>
      <c r="E33" s="383"/>
      <c r="F33" s="383"/>
      <c r="G33" s="383"/>
      <c r="H33" s="383"/>
      <c r="I33" s="383"/>
      <c r="J33" s="383"/>
      <c r="K33" s="383"/>
      <c r="L33" s="383"/>
    </row>
    <row r="34" spans="3:12" x14ac:dyDescent="0.2">
      <c r="C34" s="383"/>
      <c r="D34" s="383"/>
      <c r="E34" s="383"/>
      <c r="F34" s="383"/>
      <c r="G34" s="383"/>
      <c r="H34" s="383"/>
      <c r="I34" s="383"/>
      <c r="J34" s="383"/>
      <c r="K34" s="383"/>
      <c r="L34" s="383"/>
    </row>
    <row r="35" spans="3:12" x14ac:dyDescent="0.2">
      <c r="C35" s="383"/>
      <c r="D35" s="383"/>
      <c r="E35" s="383"/>
      <c r="F35" s="383"/>
      <c r="G35" s="383"/>
      <c r="H35" s="383"/>
      <c r="I35" s="383"/>
      <c r="J35" s="383"/>
      <c r="K35" s="383"/>
      <c r="L35" s="383"/>
    </row>
    <row r="36" spans="3:12" x14ac:dyDescent="0.2">
      <c r="C36" s="383"/>
      <c r="D36" s="383"/>
      <c r="E36" s="383"/>
      <c r="F36" s="383"/>
      <c r="G36" s="383"/>
      <c r="H36" s="383"/>
      <c r="I36" s="383"/>
      <c r="J36" s="383"/>
      <c r="K36" s="383"/>
      <c r="L36" s="383"/>
    </row>
    <row r="37" spans="3:12" x14ac:dyDescent="0.2">
      <c r="C37" s="383"/>
      <c r="D37" s="383"/>
      <c r="E37" s="383"/>
      <c r="F37" s="383"/>
      <c r="G37" s="383"/>
      <c r="H37" s="383"/>
      <c r="I37" s="383"/>
      <c r="J37" s="383"/>
      <c r="K37" s="383"/>
      <c r="L37" s="383"/>
    </row>
    <row r="38" spans="3:12" x14ac:dyDescent="0.2">
      <c r="C38" s="383"/>
      <c r="D38" s="383"/>
      <c r="E38" s="383"/>
      <c r="F38" s="383"/>
      <c r="G38" s="383"/>
      <c r="H38" s="383"/>
      <c r="I38" s="383"/>
      <c r="J38" s="383"/>
      <c r="K38" s="383"/>
      <c r="L38" s="383"/>
    </row>
    <row r="39" spans="3:12" x14ac:dyDescent="0.2">
      <c r="C39" s="383"/>
      <c r="D39" s="383"/>
      <c r="E39" s="383"/>
      <c r="F39" s="383"/>
      <c r="G39" s="383"/>
      <c r="H39" s="383"/>
      <c r="I39" s="383"/>
      <c r="J39" s="383"/>
      <c r="K39" s="383"/>
      <c r="L39" s="383"/>
    </row>
    <row r="40" spans="3:12" x14ac:dyDescent="0.2">
      <c r="C40" s="383"/>
      <c r="D40" s="383"/>
      <c r="E40" s="383"/>
      <c r="F40" s="383"/>
      <c r="G40" s="383"/>
      <c r="H40" s="383"/>
      <c r="I40" s="383"/>
      <c r="J40" s="383"/>
      <c r="K40" s="383"/>
      <c r="L40" s="383"/>
    </row>
    <row r="41" spans="3:12" x14ac:dyDescent="0.2">
      <c r="C41" s="383"/>
      <c r="D41" s="383"/>
      <c r="E41" s="383"/>
      <c r="F41" s="383"/>
      <c r="G41" s="383"/>
      <c r="H41" s="383"/>
      <c r="I41" s="383"/>
      <c r="J41" s="383"/>
      <c r="K41" s="383"/>
      <c r="L41" s="383"/>
    </row>
    <row r="42" spans="3:12" x14ac:dyDescent="0.2">
      <c r="C42" s="383"/>
      <c r="D42" s="383"/>
      <c r="E42" s="383"/>
      <c r="F42" s="383"/>
      <c r="G42" s="383"/>
      <c r="H42" s="383"/>
      <c r="I42" s="383"/>
      <c r="J42" s="383"/>
      <c r="K42" s="383"/>
      <c r="L42" s="383"/>
    </row>
    <row r="43" spans="3:12" x14ac:dyDescent="0.2">
      <c r="C43" s="383"/>
      <c r="D43" s="383"/>
      <c r="E43" s="383"/>
      <c r="F43" s="383"/>
      <c r="G43" s="383"/>
      <c r="H43" s="383"/>
      <c r="I43" s="383"/>
      <c r="J43" s="383"/>
      <c r="K43" s="383"/>
      <c r="L43" s="383"/>
    </row>
    <row r="45" spans="3:12" x14ac:dyDescent="0.2">
      <c r="L45" s="11" t="s">
        <v>670</v>
      </c>
    </row>
  </sheetData>
  <customSheetViews>
    <customSheetView guid="{3C76061C-A85D-4390-B9DB-73E13038638C}" showPageBreaks="1" showGridLines="0" view="pageLayout">
      <selection activeCell="G8" sqref="G8"/>
      <pageMargins left="0.28125" right="0.25" top="0.6692913385826772" bottom="0.70866141732283472" header="0.23622047244094491" footer="0.47244094488188981"/>
      <printOptions horizontalCentered="1"/>
      <pageSetup paperSize="9" orientation="portrait" horizontalDpi="300" verticalDpi="300" r:id="rId1"/>
      <headerFooter scaleWithDoc="0" alignWithMargins="0">
        <oddHeader xml:space="preserve">&amp;C TARIFF 2019
 (EURO)
</oddHeader>
        <oddFooter>&amp;LAll rates are in EURO&amp;C
TARIFF 2019
&amp;RPage &amp;P</oddFooter>
      </headerFooter>
    </customSheetView>
    <customSheetView guid="{777CFE61-6F99-11D9-974B-0050BFD074B6}" showRuler="0">
      <selection activeCell="L11" sqref="L11"/>
      <pageMargins left="0.74803149606299213" right="0.74803149606299213" top="0" bottom="0" header="0.51181102362204722" footer="0.51181102362204722"/>
      <pageSetup paperSize="9" orientation="portrait" horizontalDpi="4294967293" verticalDpi="300" r:id="rId2"/>
      <headerFooter alignWithMargins="0"/>
    </customSheetView>
    <customSheetView guid="{95D45CB7-1E39-11D6-AFD7-008048E20DDD}" showRuler="0">
      <pageMargins left="0.75" right="0.75" top="1" bottom="1" header="0.5" footer="0.5"/>
      <pageSetup paperSize="9" orientation="portrait" horizontalDpi="4294967293" verticalDpi="0" r:id="rId3"/>
      <headerFooter alignWithMargins="0"/>
    </customSheetView>
  </customSheetViews>
  <mergeCells count="9">
    <mergeCell ref="A1:K1"/>
    <mergeCell ref="C18:L19"/>
    <mergeCell ref="C22:L23"/>
    <mergeCell ref="C26:L26"/>
    <mergeCell ref="C32:L43"/>
    <mergeCell ref="C10:L11"/>
    <mergeCell ref="C12:L14"/>
    <mergeCell ref="C4:L7"/>
    <mergeCell ref="C16:L17"/>
  </mergeCells>
  <phoneticPr fontId="0" type="noConversion"/>
  <printOptions horizontalCentered="1"/>
  <pageMargins left="0.28125" right="0.25" top="0.6692913385826772" bottom="0.70866141732283472" header="0.23622047244094491" footer="0.47244094488188981"/>
  <pageSetup paperSize="9" orientation="portrait" horizontalDpi="300" verticalDpi="300" r:id="rId4"/>
  <headerFooter scaleWithDoc="0" alignWithMargins="0">
    <oddHeader xml:space="preserve">&amp;C TARIFF 2021
 (EURO)
</oddHeader>
    <oddFooter>&amp;LAll rates are in EURO&amp;C
TARIFF 2021
&amp;RPage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9"/>
  <dimension ref="A1:N219"/>
  <sheetViews>
    <sheetView showGridLines="0" view="pageLayout" topLeftCell="A256" zoomScaleNormal="100" workbookViewId="0">
      <selection activeCell="M53" sqref="M53"/>
    </sheetView>
  </sheetViews>
  <sheetFormatPr defaultRowHeight="12.75" x14ac:dyDescent="0.2"/>
  <cols>
    <col min="1" max="1" width="1.85546875" style="140" customWidth="1"/>
    <col min="2" max="3" width="10.7109375" style="140" customWidth="1"/>
    <col min="4" max="9" width="3.7109375" style="140" customWidth="1"/>
    <col min="10" max="14" width="10.7109375" style="140" customWidth="1"/>
    <col min="15" max="15" width="9.28515625" style="140" customWidth="1"/>
    <col min="16" max="25" width="2.7109375" style="140" customWidth="1"/>
    <col min="26" max="16384" width="9.140625" style="140"/>
  </cols>
  <sheetData>
    <row r="1" spans="1:14" s="111" customFormat="1" ht="13.5" thickBot="1" x14ac:dyDescent="0.25">
      <c r="A1" s="112"/>
      <c r="B1" s="113"/>
      <c r="C1" s="113"/>
      <c r="D1" s="113"/>
      <c r="E1" s="114"/>
      <c r="F1" s="114"/>
      <c r="G1" s="114"/>
      <c r="H1" s="114"/>
      <c r="I1" s="114"/>
      <c r="J1" s="114"/>
      <c r="K1" s="114"/>
      <c r="L1" s="114"/>
      <c r="M1" s="114"/>
      <c r="N1" s="115"/>
    </row>
    <row r="2" spans="1:14" s="111" customFormat="1" ht="15.75" thickBot="1" x14ac:dyDescent="0.25">
      <c r="A2" s="116"/>
      <c r="B2" s="484" t="s">
        <v>260</v>
      </c>
      <c r="C2" s="485"/>
      <c r="D2" s="485"/>
      <c r="E2" s="485"/>
      <c r="F2" s="485"/>
      <c r="G2" s="485"/>
      <c r="H2" s="485"/>
      <c r="I2" s="485"/>
      <c r="J2" s="485"/>
      <c r="K2" s="485"/>
      <c r="L2" s="485"/>
      <c r="M2" s="486"/>
      <c r="N2" s="117" t="s">
        <v>91</v>
      </c>
    </row>
    <row r="3" spans="1:14" s="111" customFormat="1" x14ac:dyDescent="0.2">
      <c r="A3" s="116"/>
      <c r="B3" s="118" t="s">
        <v>428</v>
      </c>
      <c r="C3" s="119" t="s">
        <v>261</v>
      </c>
      <c r="D3" s="119"/>
      <c r="E3" s="120"/>
      <c r="F3" s="120"/>
      <c r="G3" s="120"/>
      <c r="H3" s="120"/>
      <c r="I3" s="120"/>
      <c r="J3" s="120"/>
      <c r="K3" s="120"/>
      <c r="L3" s="120"/>
      <c r="M3" s="120"/>
      <c r="N3" s="101"/>
    </row>
    <row r="4" spans="1:14" s="111" customFormat="1" x14ac:dyDescent="0.2">
      <c r="A4" s="116"/>
      <c r="B4" s="118" t="s">
        <v>429</v>
      </c>
      <c r="C4" s="119" t="s">
        <v>608</v>
      </c>
      <c r="D4" s="119"/>
      <c r="E4" s="120"/>
      <c r="F4" s="120"/>
      <c r="G4" s="120"/>
      <c r="H4" s="120"/>
      <c r="I4" s="120"/>
      <c r="J4" s="120"/>
      <c r="K4" s="120"/>
      <c r="L4" s="120"/>
      <c r="M4" s="120"/>
      <c r="N4" s="101"/>
    </row>
    <row r="5" spans="1:14" s="111" customFormat="1" x14ac:dyDescent="0.2">
      <c r="A5" s="116"/>
      <c r="B5" s="118" t="s">
        <v>427</v>
      </c>
      <c r="C5" s="480" t="s">
        <v>839</v>
      </c>
      <c r="D5" s="480"/>
      <c r="E5" s="480"/>
      <c r="F5" s="480"/>
      <c r="G5" s="480"/>
      <c r="H5" s="480"/>
      <c r="I5" s="480"/>
      <c r="J5" s="480"/>
      <c r="K5" s="480"/>
      <c r="L5" s="480"/>
      <c r="M5" s="480"/>
      <c r="N5" s="481"/>
    </row>
    <row r="6" spans="1:14" s="111" customFormat="1" x14ac:dyDescent="0.2">
      <c r="A6" s="116"/>
      <c r="B6" s="118"/>
      <c r="C6" s="480"/>
      <c r="D6" s="480"/>
      <c r="E6" s="480"/>
      <c r="F6" s="480"/>
      <c r="G6" s="480"/>
      <c r="H6" s="480"/>
      <c r="I6" s="480"/>
      <c r="J6" s="480"/>
      <c r="K6" s="480"/>
      <c r="L6" s="480"/>
      <c r="M6" s="480"/>
      <c r="N6" s="481"/>
    </row>
    <row r="7" spans="1:14" s="111" customFormat="1" x14ac:dyDescent="0.2">
      <c r="A7" s="116"/>
      <c r="B7" s="118"/>
      <c r="C7" s="480"/>
      <c r="D7" s="480"/>
      <c r="E7" s="480"/>
      <c r="F7" s="480"/>
      <c r="G7" s="480"/>
      <c r="H7" s="480"/>
      <c r="I7" s="480"/>
      <c r="J7" s="480"/>
      <c r="K7" s="480"/>
      <c r="L7" s="480"/>
      <c r="M7" s="480"/>
      <c r="N7" s="481"/>
    </row>
    <row r="8" spans="1:14" s="111" customFormat="1" x14ac:dyDescent="0.2">
      <c r="A8" s="116"/>
      <c r="B8" s="118"/>
      <c r="C8" s="480"/>
      <c r="D8" s="480"/>
      <c r="E8" s="480"/>
      <c r="F8" s="480"/>
      <c r="G8" s="480"/>
      <c r="H8" s="480"/>
      <c r="I8" s="480"/>
      <c r="J8" s="480"/>
      <c r="K8" s="480"/>
      <c r="L8" s="480"/>
      <c r="M8" s="480"/>
      <c r="N8" s="481"/>
    </row>
    <row r="9" spans="1:14" s="111" customFormat="1" x14ac:dyDescent="0.2">
      <c r="A9" s="116"/>
      <c r="B9" s="109"/>
      <c r="C9" s="480"/>
      <c r="D9" s="480"/>
      <c r="E9" s="480"/>
      <c r="F9" s="480"/>
      <c r="G9" s="480"/>
      <c r="H9" s="480"/>
      <c r="I9" s="480"/>
      <c r="J9" s="480"/>
      <c r="K9" s="480"/>
      <c r="L9" s="480"/>
      <c r="M9" s="480"/>
      <c r="N9" s="481"/>
    </row>
    <row r="10" spans="1:14" s="111" customFormat="1" x14ac:dyDescent="0.2">
      <c r="A10" s="116"/>
      <c r="B10" s="109"/>
      <c r="C10" s="480"/>
      <c r="D10" s="480"/>
      <c r="E10" s="480"/>
      <c r="F10" s="480"/>
      <c r="G10" s="480"/>
      <c r="H10" s="480"/>
      <c r="I10" s="480"/>
      <c r="J10" s="480"/>
      <c r="K10" s="480"/>
      <c r="L10" s="480"/>
      <c r="M10" s="480"/>
      <c r="N10" s="481"/>
    </row>
    <row r="11" spans="1:14" s="111" customFormat="1" x14ac:dyDescent="0.2">
      <c r="A11" s="116"/>
      <c r="B11" s="118" t="s">
        <v>426</v>
      </c>
      <c r="C11" s="119" t="s">
        <v>181</v>
      </c>
      <c r="D11" s="119"/>
      <c r="E11" s="120"/>
      <c r="F11" s="120"/>
      <c r="G11" s="120"/>
      <c r="H11" s="120"/>
      <c r="I11" s="120"/>
      <c r="J11" s="120"/>
      <c r="K11" s="120"/>
      <c r="L11" s="120"/>
      <c r="M11" s="120"/>
      <c r="N11" s="101"/>
    </row>
    <row r="12" spans="1:14" s="111" customFormat="1" ht="13.5" thickBot="1" x14ac:dyDescent="0.25">
      <c r="A12" s="121"/>
      <c r="B12" s="133" t="s">
        <v>430</v>
      </c>
      <c r="C12" s="122"/>
      <c r="D12" s="122"/>
      <c r="E12" s="123"/>
      <c r="F12" s="123"/>
      <c r="G12" s="123"/>
      <c r="H12" s="123"/>
      <c r="I12" s="123"/>
      <c r="J12" s="123"/>
      <c r="K12" s="123"/>
      <c r="L12" s="123"/>
      <c r="M12" s="123"/>
      <c r="N12" s="104"/>
    </row>
    <row r="13" spans="1:14" s="111" customFormat="1" x14ac:dyDescent="0.2">
      <c r="A13" s="112"/>
      <c r="B13" s="113" t="s">
        <v>263</v>
      </c>
      <c r="C13" s="113"/>
      <c r="D13" s="113"/>
      <c r="E13" s="114"/>
      <c r="F13" s="114"/>
      <c r="G13" s="114"/>
      <c r="H13" s="114"/>
      <c r="I13" s="114"/>
      <c r="J13" s="127" t="s">
        <v>1938</v>
      </c>
      <c r="K13" s="126" t="s">
        <v>1940</v>
      </c>
      <c r="L13" s="126"/>
      <c r="M13" s="126"/>
      <c r="N13" s="126"/>
    </row>
    <row r="14" spans="1:14" s="111" customFormat="1" ht="13.5" thickBot="1" x14ac:dyDescent="0.25">
      <c r="A14" s="121"/>
      <c r="B14" s="122" t="s">
        <v>263</v>
      </c>
      <c r="C14" s="122"/>
      <c r="D14" s="122"/>
      <c r="E14" s="123"/>
      <c r="F14" s="123"/>
      <c r="G14" s="123"/>
      <c r="H14" s="123"/>
      <c r="I14" s="123"/>
      <c r="J14" s="125" t="s">
        <v>1939</v>
      </c>
      <c r="K14" s="105" t="s">
        <v>818</v>
      </c>
      <c r="L14" s="105" t="s">
        <v>1941</v>
      </c>
      <c r="M14" s="105"/>
      <c r="N14" s="105"/>
    </row>
    <row r="15" spans="1:14" s="111" customFormat="1" x14ac:dyDescent="0.2">
      <c r="A15" s="112"/>
      <c r="B15" s="467" t="s">
        <v>67</v>
      </c>
      <c r="C15" s="467"/>
      <c r="D15" s="467"/>
      <c r="E15" s="114"/>
      <c r="F15" s="114" t="s">
        <v>1180</v>
      </c>
      <c r="G15" s="114" t="s">
        <v>68</v>
      </c>
      <c r="H15" s="114" t="s">
        <v>702</v>
      </c>
      <c r="I15" s="114"/>
      <c r="J15" s="100">
        <f>170/ATHENS!O1*ATHENS!O2</f>
        <v>309.09090909090907</v>
      </c>
      <c r="K15" s="100">
        <f>205/ATHENS!O1*ATHENS!O2</f>
        <v>372.72727272727269</v>
      </c>
      <c r="L15" s="100">
        <f>235/ATHENS!O1*ATHENS!O2</f>
        <v>427.27272727272725</v>
      </c>
      <c r="M15" s="126"/>
      <c r="N15" s="126"/>
    </row>
    <row r="16" spans="1:14" s="111" customFormat="1" x14ac:dyDescent="0.2">
      <c r="A16" s="116"/>
      <c r="B16" s="461" t="s">
        <v>67</v>
      </c>
      <c r="C16" s="461"/>
      <c r="D16" s="461"/>
      <c r="E16" s="120"/>
      <c r="F16" s="120" t="s">
        <v>1181</v>
      </c>
      <c r="G16" s="120" t="s">
        <v>68</v>
      </c>
      <c r="H16" s="120" t="s">
        <v>702</v>
      </c>
      <c r="I16" s="120"/>
      <c r="J16" s="100">
        <f>85/ATHENS!O1*ATHENS!O2</f>
        <v>154.54545454545453</v>
      </c>
      <c r="K16" s="100">
        <f>102.5/ATHENS!O1*ATHENS!O2</f>
        <v>186.36363636363635</v>
      </c>
      <c r="L16" s="100">
        <f>117.5/ATHENS!O1*ATHENS!O2</f>
        <v>213.63636363636363</v>
      </c>
      <c r="M16" s="100"/>
      <c r="N16" s="100"/>
    </row>
    <row r="17" spans="1:14" s="111" customFormat="1" ht="13.5" thickBot="1" x14ac:dyDescent="0.25">
      <c r="A17" s="121"/>
      <c r="B17" s="460" t="s">
        <v>182</v>
      </c>
      <c r="C17" s="460"/>
      <c r="D17" s="460"/>
      <c r="E17" s="123"/>
      <c r="F17" s="123" t="s">
        <v>1182</v>
      </c>
      <c r="G17" s="123" t="s">
        <v>68</v>
      </c>
      <c r="H17" s="123" t="s">
        <v>702</v>
      </c>
      <c r="I17" s="123"/>
      <c r="J17" s="105">
        <f>76.6/ATHENS!O1*ATHENS!O2</f>
        <v>139.27272727272725</v>
      </c>
      <c r="K17" s="105">
        <f>91.6/ATHENS!O1*ATHENS!O2</f>
        <v>166.54545454545453</v>
      </c>
      <c r="L17" s="105">
        <f>105/ATHENS!O1*ATHENS!O2</f>
        <v>190.90909090909091</v>
      </c>
      <c r="M17" s="105"/>
      <c r="N17" s="105"/>
    </row>
    <row r="18" spans="1:14" s="111" customFormat="1" ht="13.5" thickBot="1" x14ac:dyDescent="0.25">
      <c r="A18" s="108"/>
      <c r="B18" s="109"/>
      <c r="C18" s="109"/>
      <c r="D18" s="109"/>
      <c r="E18" s="110"/>
      <c r="F18" s="110"/>
      <c r="G18" s="110"/>
      <c r="H18" s="110"/>
      <c r="I18" s="110"/>
      <c r="J18" s="110"/>
      <c r="K18" s="110"/>
      <c r="L18" s="110"/>
      <c r="M18" s="110"/>
      <c r="N18" s="110"/>
    </row>
    <row r="19" spans="1:14" s="111" customFormat="1" ht="13.5" thickBot="1" x14ac:dyDescent="0.25">
      <c r="A19" s="112"/>
      <c r="B19" s="113"/>
      <c r="C19" s="113"/>
      <c r="D19" s="113"/>
      <c r="E19" s="114"/>
      <c r="F19" s="114"/>
      <c r="G19" s="114"/>
      <c r="H19" s="114"/>
      <c r="I19" s="114"/>
      <c r="J19" s="114"/>
      <c r="K19" s="114"/>
      <c r="L19" s="114"/>
      <c r="M19" s="114"/>
      <c r="N19" s="115"/>
    </row>
    <row r="20" spans="1:14" s="111" customFormat="1" ht="15.75" thickBot="1" x14ac:dyDescent="0.25">
      <c r="A20" s="116"/>
      <c r="B20" s="484" t="s">
        <v>162</v>
      </c>
      <c r="C20" s="485"/>
      <c r="D20" s="485"/>
      <c r="E20" s="485"/>
      <c r="F20" s="485"/>
      <c r="G20" s="485"/>
      <c r="H20" s="485"/>
      <c r="I20" s="485"/>
      <c r="J20" s="485"/>
      <c r="K20" s="485"/>
      <c r="L20" s="485"/>
      <c r="M20" s="486"/>
      <c r="N20" s="117" t="s">
        <v>91</v>
      </c>
    </row>
    <row r="21" spans="1:14" s="111" customFormat="1" x14ac:dyDescent="0.2">
      <c r="A21" s="116"/>
      <c r="B21" s="118" t="s">
        <v>428</v>
      </c>
      <c r="C21" s="119" t="s">
        <v>163</v>
      </c>
      <c r="D21" s="119"/>
      <c r="E21" s="120"/>
      <c r="F21" s="120"/>
      <c r="G21" s="120"/>
      <c r="H21" s="120"/>
      <c r="I21" s="120"/>
      <c r="J21" s="120"/>
      <c r="K21" s="120"/>
      <c r="L21" s="120"/>
      <c r="M21" s="120"/>
      <c r="N21" s="101"/>
    </row>
    <row r="22" spans="1:14" s="111" customFormat="1" x14ac:dyDescent="0.2">
      <c r="A22" s="116"/>
      <c r="B22" s="118" t="s">
        <v>429</v>
      </c>
      <c r="C22" s="119" t="s">
        <v>1170</v>
      </c>
      <c r="D22" s="119"/>
      <c r="E22" s="120"/>
      <c r="F22" s="120"/>
      <c r="G22" s="120"/>
      <c r="H22" s="120"/>
      <c r="I22" s="120"/>
      <c r="J22" s="120"/>
      <c r="K22" s="120"/>
      <c r="L22" s="120"/>
      <c r="M22" s="120"/>
      <c r="N22" s="101"/>
    </row>
    <row r="23" spans="1:14" s="111" customFormat="1" x14ac:dyDescent="0.2">
      <c r="A23" s="116"/>
      <c r="B23" s="118" t="s">
        <v>427</v>
      </c>
      <c r="C23" s="480" t="s">
        <v>842</v>
      </c>
      <c r="D23" s="480"/>
      <c r="E23" s="480"/>
      <c r="F23" s="480"/>
      <c r="G23" s="480"/>
      <c r="H23" s="480"/>
      <c r="I23" s="480"/>
      <c r="J23" s="480"/>
      <c r="K23" s="480"/>
      <c r="L23" s="480"/>
      <c r="M23" s="480"/>
      <c r="N23" s="481"/>
    </row>
    <row r="24" spans="1:14" s="111" customFormat="1" x14ac:dyDescent="0.2">
      <c r="A24" s="116"/>
      <c r="B24" s="118"/>
      <c r="C24" s="480"/>
      <c r="D24" s="480"/>
      <c r="E24" s="480"/>
      <c r="F24" s="480"/>
      <c r="G24" s="480"/>
      <c r="H24" s="480"/>
      <c r="I24" s="480"/>
      <c r="J24" s="480"/>
      <c r="K24" s="480"/>
      <c r="L24" s="480"/>
      <c r="M24" s="480"/>
      <c r="N24" s="481"/>
    </row>
    <row r="25" spans="1:14" s="111" customFormat="1" x14ac:dyDescent="0.2">
      <c r="A25" s="116"/>
      <c r="B25" s="118"/>
      <c r="C25" s="480"/>
      <c r="D25" s="480"/>
      <c r="E25" s="480"/>
      <c r="F25" s="480"/>
      <c r="G25" s="480"/>
      <c r="H25" s="480"/>
      <c r="I25" s="480"/>
      <c r="J25" s="480"/>
      <c r="K25" s="480"/>
      <c r="L25" s="480"/>
      <c r="M25" s="480"/>
      <c r="N25" s="481"/>
    </row>
    <row r="26" spans="1:14" s="111" customFormat="1" x14ac:dyDescent="0.2">
      <c r="A26" s="116"/>
      <c r="B26" s="118"/>
      <c r="C26" s="480"/>
      <c r="D26" s="480"/>
      <c r="E26" s="480"/>
      <c r="F26" s="480"/>
      <c r="G26" s="480"/>
      <c r="H26" s="480"/>
      <c r="I26" s="480"/>
      <c r="J26" s="480"/>
      <c r="K26" s="480"/>
      <c r="L26" s="480"/>
      <c r="M26" s="480"/>
      <c r="N26" s="481"/>
    </row>
    <row r="27" spans="1:14" s="111" customFormat="1" x14ac:dyDescent="0.2">
      <c r="A27" s="116"/>
      <c r="B27" s="118" t="s">
        <v>426</v>
      </c>
      <c r="C27" s="119" t="s">
        <v>565</v>
      </c>
      <c r="D27" s="119"/>
      <c r="E27" s="120"/>
      <c r="F27" s="120"/>
      <c r="G27" s="120"/>
      <c r="H27" s="120"/>
      <c r="I27" s="120"/>
      <c r="J27" s="120"/>
      <c r="K27" s="120"/>
      <c r="L27" s="120"/>
      <c r="M27" s="120"/>
      <c r="N27" s="101"/>
    </row>
    <row r="28" spans="1:14" s="111" customFormat="1" ht="13.5" thickBot="1" x14ac:dyDescent="0.25">
      <c r="A28" s="121"/>
      <c r="B28" s="133" t="s">
        <v>430</v>
      </c>
      <c r="C28" s="122" t="s">
        <v>566</v>
      </c>
      <c r="D28" s="122"/>
      <c r="E28" s="123"/>
      <c r="F28" s="123"/>
      <c r="G28" s="123"/>
      <c r="H28" s="123"/>
      <c r="I28" s="123"/>
      <c r="J28" s="123"/>
      <c r="K28" s="123"/>
      <c r="L28" s="123"/>
      <c r="M28" s="123"/>
      <c r="N28" s="104"/>
    </row>
    <row r="29" spans="1:14" s="111" customFormat="1" x14ac:dyDescent="0.2">
      <c r="A29" s="112"/>
      <c r="B29" s="113" t="s">
        <v>263</v>
      </c>
      <c r="C29" s="113"/>
      <c r="D29" s="113"/>
      <c r="E29" s="114"/>
      <c r="F29" s="114"/>
      <c r="G29" s="114"/>
      <c r="H29" s="114"/>
      <c r="I29" s="114"/>
      <c r="J29" s="127" t="s">
        <v>85</v>
      </c>
      <c r="K29" s="126" t="s">
        <v>1495</v>
      </c>
      <c r="L29" s="126" t="s">
        <v>803</v>
      </c>
      <c r="M29" s="126"/>
      <c r="N29" s="126"/>
    </row>
    <row r="30" spans="1:14" s="111" customFormat="1" ht="13.5" thickBot="1" x14ac:dyDescent="0.25">
      <c r="A30" s="121"/>
      <c r="B30" s="122" t="s">
        <v>263</v>
      </c>
      <c r="C30" s="122"/>
      <c r="D30" s="122"/>
      <c r="E30" s="123"/>
      <c r="F30" s="123"/>
      <c r="G30" s="123"/>
      <c r="H30" s="123"/>
      <c r="I30" s="123"/>
      <c r="J30" s="125" t="s">
        <v>282</v>
      </c>
      <c r="K30" s="105" t="s">
        <v>1223</v>
      </c>
      <c r="L30" s="105" t="s">
        <v>2095</v>
      </c>
      <c r="M30" s="105" t="s">
        <v>1571</v>
      </c>
      <c r="N30" s="105"/>
    </row>
    <row r="31" spans="1:14" s="111" customFormat="1" x14ac:dyDescent="0.2">
      <c r="A31" s="112"/>
      <c r="B31" s="467" t="s">
        <v>67</v>
      </c>
      <c r="C31" s="467"/>
      <c r="D31" s="467"/>
      <c r="E31" s="114"/>
      <c r="F31" s="114" t="s">
        <v>1180</v>
      </c>
      <c r="G31" s="114" t="s">
        <v>68</v>
      </c>
      <c r="H31" s="114" t="s">
        <v>702</v>
      </c>
      <c r="I31" s="114"/>
      <c r="J31" s="100">
        <f>144.9/ATHENS!O1*ATHENS!O2</f>
        <v>263.45454545454544</v>
      </c>
      <c r="K31" s="100">
        <f>182.7/ATHENS!O1*ATHENS!O2</f>
        <v>332.18181818181813</v>
      </c>
      <c r="L31" s="100">
        <f>248.9/ATHENS!O1*ATHENS!O2</f>
        <v>452.5454545454545</v>
      </c>
      <c r="M31" s="100">
        <f>292.5/ATHENS!O1*ATHENS!O2</f>
        <v>531.81818181818176</v>
      </c>
      <c r="N31" s="126"/>
    </row>
    <row r="32" spans="1:14" s="111" customFormat="1" x14ac:dyDescent="0.2">
      <c r="A32" s="116"/>
      <c r="B32" s="461" t="s">
        <v>67</v>
      </c>
      <c r="C32" s="461"/>
      <c r="D32" s="461"/>
      <c r="E32" s="120"/>
      <c r="F32" s="120" t="s">
        <v>1181</v>
      </c>
      <c r="G32" s="120" t="s">
        <v>68</v>
      </c>
      <c r="H32" s="120" t="s">
        <v>702</v>
      </c>
      <c r="I32" s="120"/>
      <c r="J32" s="100">
        <f>80.5/ATHENS!O1*ATHENS!O2</f>
        <v>146.36363636363635</v>
      </c>
      <c r="K32" s="100">
        <f>101.5/ATHENS!O1*ATHENS!O2</f>
        <v>184.54545454545453</v>
      </c>
      <c r="L32" s="100">
        <f>138.5/ATHENS!O1*ATHENS!O2</f>
        <v>251.81818181818178</v>
      </c>
      <c r="M32" s="100">
        <f>162.5/ATHENS!O1*ATHENS!O2</f>
        <v>295.45454545454544</v>
      </c>
      <c r="N32" s="100"/>
    </row>
    <row r="33" spans="1:14" s="111" customFormat="1" x14ac:dyDescent="0.2">
      <c r="A33" s="116"/>
      <c r="B33" s="461" t="s">
        <v>67</v>
      </c>
      <c r="C33" s="461"/>
      <c r="D33" s="461"/>
      <c r="E33" s="120"/>
      <c r="F33" s="120" t="s">
        <v>1182</v>
      </c>
      <c r="G33" s="120" t="s">
        <v>68</v>
      </c>
      <c r="H33" s="120" t="s">
        <v>702</v>
      </c>
      <c r="I33" s="120"/>
      <c r="J33" s="100">
        <f>72.5/ATHENS!O1*ATHENS!O2</f>
        <v>131.81818181818181</v>
      </c>
      <c r="K33" s="100">
        <f>91.5/ATHENS!O1*ATHENS!O2</f>
        <v>166.36363636363635</v>
      </c>
      <c r="L33" s="100">
        <f>124.5/ATHENS!O1*ATHENS!O2</f>
        <v>226.36363636363635</v>
      </c>
      <c r="M33" s="100">
        <f>146.5/ATHENS!O1*ATHENS!O2</f>
        <v>266.36363636363632</v>
      </c>
      <c r="N33" s="100"/>
    </row>
    <row r="34" spans="1:14" s="111" customFormat="1" ht="13.5" thickBot="1" x14ac:dyDescent="0.25">
      <c r="A34" s="121"/>
      <c r="B34" s="460" t="s">
        <v>567</v>
      </c>
      <c r="C34" s="460"/>
      <c r="D34" s="460"/>
      <c r="E34" s="123"/>
      <c r="F34" s="123" t="s">
        <v>257</v>
      </c>
      <c r="G34" s="123" t="s">
        <v>68</v>
      </c>
      <c r="H34" s="123" t="s">
        <v>702</v>
      </c>
      <c r="I34" s="123"/>
      <c r="J34" s="105">
        <f>68.5/ATHENS!O1*ATHENS!O2</f>
        <v>124.54545454545453</v>
      </c>
      <c r="K34" s="105">
        <f>87.5/ATHENS!O1*ATHENS!O2</f>
        <v>159.09090909090907</v>
      </c>
      <c r="L34" s="105">
        <f>119.8/ATHENS!O1*ATHENS!O2</f>
        <v>217.81818181818178</v>
      </c>
      <c r="M34" s="105">
        <f>145.5/ATHENS!O1*ATHENS!O2</f>
        <v>264.5454545454545</v>
      </c>
      <c r="N34" s="105"/>
    </row>
    <row r="35" spans="1:14" s="111" customFormat="1" x14ac:dyDescent="0.2">
      <c r="A35" s="239"/>
      <c r="B35" s="119"/>
      <c r="C35" s="119"/>
      <c r="D35" s="119"/>
      <c r="E35" s="120"/>
      <c r="F35" s="120"/>
      <c r="G35" s="120"/>
      <c r="H35" s="120"/>
      <c r="I35" s="120"/>
      <c r="J35" s="120"/>
      <c r="K35" s="120"/>
      <c r="L35" s="120"/>
      <c r="M35" s="120"/>
      <c r="N35" s="120"/>
    </row>
    <row r="36" spans="1:14" s="111" customFormat="1" ht="13.5" thickBot="1" x14ac:dyDescent="0.25">
      <c r="A36" s="108"/>
      <c r="B36" s="109"/>
      <c r="C36" s="109"/>
      <c r="D36" s="109"/>
      <c r="E36" s="110"/>
      <c r="F36" s="110"/>
      <c r="G36" s="110"/>
      <c r="H36" s="110"/>
      <c r="I36" s="110"/>
      <c r="J36" s="110"/>
      <c r="K36" s="110"/>
      <c r="L36" s="110"/>
      <c r="M36" s="110"/>
      <c r="N36" s="110"/>
    </row>
    <row r="37" spans="1:14" s="111" customFormat="1" ht="13.5" thickBot="1" x14ac:dyDescent="0.25">
      <c r="A37" s="112"/>
      <c r="B37" s="113"/>
      <c r="C37" s="113"/>
      <c r="D37" s="113"/>
      <c r="E37" s="114"/>
      <c r="F37" s="114"/>
      <c r="G37" s="114"/>
      <c r="H37" s="114"/>
      <c r="I37" s="114"/>
      <c r="J37" s="114"/>
      <c r="K37" s="114"/>
      <c r="L37" s="114"/>
      <c r="M37" s="114"/>
      <c r="N37" s="115"/>
    </row>
    <row r="38" spans="1:14" s="111" customFormat="1" ht="15.75" thickBot="1" x14ac:dyDescent="0.25">
      <c r="A38" s="116"/>
      <c r="B38" s="484" t="s">
        <v>183</v>
      </c>
      <c r="C38" s="485"/>
      <c r="D38" s="485"/>
      <c r="E38" s="485"/>
      <c r="F38" s="485"/>
      <c r="G38" s="485"/>
      <c r="H38" s="485"/>
      <c r="I38" s="485"/>
      <c r="J38" s="485"/>
      <c r="K38" s="485"/>
      <c r="L38" s="485"/>
      <c r="M38" s="486"/>
      <c r="N38" s="117" t="s">
        <v>96</v>
      </c>
    </row>
    <row r="39" spans="1:14" s="111" customFormat="1" x14ac:dyDescent="0.2">
      <c r="A39" s="116"/>
      <c r="B39" s="118" t="s">
        <v>428</v>
      </c>
      <c r="C39" s="119" t="s">
        <v>184</v>
      </c>
      <c r="D39" s="119"/>
      <c r="E39" s="120"/>
      <c r="F39" s="120"/>
      <c r="G39" s="120"/>
      <c r="H39" s="120"/>
      <c r="I39" s="120"/>
      <c r="J39" s="120"/>
      <c r="K39" s="120"/>
      <c r="L39" s="120"/>
      <c r="M39" s="120"/>
      <c r="N39" s="101"/>
    </row>
    <row r="40" spans="1:14" s="111" customFormat="1" x14ac:dyDescent="0.2">
      <c r="A40" s="116"/>
      <c r="B40" s="118" t="s">
        <v>429</v>
      </c>
      <c r="C40" s="119" t="s">
        <v>609</v>
      </c>
      <c r="D40" s="119"/>
      <c r="E40" s="120"/>
      <c r="F40" s="120"/>
      <c r="G40" s="120"/>
      <c r="H40" s="120"/>
      <c r="I40" s="120"/>
      <c r="J40" s="120"/>
      <c r="K40" s="120"/>
      <c r="L40" s="120"/>
      <c r="M40" s="120"/>
      <c r="N40" s="101"/>
    </row>
    <row r="41" spans="1:14" s="111" customFormat="1" x14ac:dyDescent="0.2">
      <c r="A41" s="116"/>
      <c r="B41" s="118" t="s">
        <v>427</v>
      </c>
      <c r="C41" s="480" t="s">
        <v>840</v>
      </c>
      <c r="D41" s="480"/>
      <c r="E41" s="480"/>
      <c r="F41" s="480"/>
      <c r="G41" s="480"/>
      <c r="H41" s="480"/>
      <c r="I41" s="480"/>
      <c r="J41" s="480"/>
      <c r="K41" s="480"/>
      <c r="L41" s="480"/>
      <c r="M41" s="480"/>
      <c r="N41" s="481"/>
    </row>
    <row r="42" spans="1:14" s="111" customFormat="1" x14ac:dyDescent="0.2">
      <c r="A42" s="116"/>
      <c r="B42" s="118"/>
      <c r="C42" s="480"/>
      <c r="D42" s="480"/>
      <c r="E42" s="480"/>
      <c r="F42" s="480"/>
      <c r="G42" s="480"/>
      <c r="H42" s="480"/>
      <c r="I42" s="480"/>
      <c r="J42" s="480"/>
      <c r="K42" s="480"/>
      <c r="L42" s="480"/>
      <c r="M42" s="480"/>
      <c r="N42" s="481"/>
    </row>
    <row r="43" spans="1:14" s="111" customFormat="1" x14ac:dyDescent="0.2">
      <c r="A43" s="116"/>
      <c r="B43" s="118"/>
      <c r="C43" s="480"/>
      <c r="D43" s="480"/>
      <c r="E43" s="480"/>
      <c r="F43" s="480"/>
      <c r="G43" s="480"/>
      <c r="H43" s="480"/>
      <c r="I43" s="480"/>
      <c r="J43" s="480"/>
      <c r="K43" s="480"/>
      <c r="L43" s="480"/>
      <c r="M43" s="480"/>
      <c r="N43" s="481"/>
    </row>
    <row r="44" spans="1:14" s="111" customFormat="1" x14ac:dyDescent="0.2">
      <c r="A44" s="116"/>
      <c r="B44" s="109"/>
      <c r="C44" s="480"/>
      <c r="D44" s="480"/>
      <c r="E44" s="480"/>
      <c r="F44" s="480"/>
      <c r="G44" s="480"/>
      <c r="H44" s="480"/>
      <c r="I44" s="480"/>
      <c r="J44" s="480"/>
      <c r="K44" s="480"/>
      <c r="L44" s="480"/>
      <c r="M44" s="480"/>
      <c r="N44" s="481"/>
    </row>
    <row r="45" spans="1:14" s="111" customFormat="1" x14ac:dyDescent="0.2">
      <c r="A45" s="116"/>
      <c r="B45" s="118" t="s">
        <v>426</v>
      </c>
      <c r="C45" s="119" t="s">
        <v>1211</v>
      </c>
      <c r="D45" s="119"/>
      <c r="E45" s="120"/>
      <c r="F45" s="120"/>
      <c r="G45" s="120"/>
      <c r="H45" s="120"/>
      <c r="I45" s="120"/>
      <c r="J45" s="120"/>
      <c r="K45" s="120"/>
      <c r="L45" s="120"/>
      <c r="M45" s="120"/>
      <c r="N45" s="101"/>
    </row>
    <row r="46" spans="1:14" s="111" customFormat="1" ht="13.5" thickBot="1" x14ac:dyDescent="0.25">
      <c r="A46" s="121"/>
      <c r="B46" s="118" t="s">
        <v>430</v>
      </c>
      <c r="C46" s="122"/>
      <c r="D46" s="122"/>
      <c r="E46" s="123"/>
      <c r="F46" s="123"/>
      <c r="G46" s="123"/>
      <c r="H46" s="123"/>
      <c r="I46" s="123"/>
      <c r="J46" s="123"/>
      <c r="K46" s="123"/>
      <c r="L46" s="123"/>
      <c r="M46" s="123"/>
      <c r="N46" s="104"/>
    </row>
    <row r="47" spans="1:14" s="111" customFormat="1" x14ac:dyDescent="0.2">
      <c r="A47" s="112"/>
      <c r="B47" s="113" t="s">
        <v>263</v>
      </c>
      <c r="C47" s="113"/>
      <c r="D47" s="113"/>
      <c r="E47" s="114"/>
      <c r="F47" s="114"/>
      <c r="G47" s="114"/>
      <c r="H47" s="114"/>
      <c r="I47" s="114"/>
      <c r="J47" s="127" t="s">
        <v>339</v>
      </c>
      <c r="K47" s="127" t="s">
        <v>279</v>
      </c>
      <c r="L47" s="127"/>
      <c r="M47" s="126"/>
      <c r="N47" s="126"/>
    </row>
    <row r="48" spans="1:14" s="111" customFormat="1" ht="13.5" thickBot="1" x14ac:dyDescent="0.25">
      <c r="A48" s="121"/>
      <c r="B48" s="122" t="s">
        <v>263</v>
      </c>
      <c r="C48" s="122"/>
      <c r="D48" s="122"/>
      <c r="E48" s="123"/>
      <c r="F48" s="123"/>
      <c r="G48" s="123"/>
      <c r="H48" s="123"/>
      <c r="I48" s="123"/>
      <c r="J48" s="125" t="s">
        <v>1831</v>
      </c>
      <c r="K48" s="125" t="s">
        <v>1831</v>
      </c>
      <c r="L48" s="125" t="s">
        <v>514</v>
      </c>
      <c r="M48" s="105"/>
      <c r="N48" s="105"/>
    </row>
    <row r="49" spans="1:14" s="111" customFormat="1" x14ac:dyDescent="0.2">
      <c r="A49" s="112"/>
      <c r="B49" s="467" t="s">
        <v>67</v>
      </c>
      <c r="C49" s="467"/>
      <c r="D49" s="467"/>
      <c r="E49" s="114"/>
      <c r="F49" s="114" t="s">
        <v>1180</v>
      </c>
      <c r="G49" s="114" t="s">
        <v>68</v>
      </c>
      <c r="H49" s="114" t="s">
        <v>702</v>
      </c>
      <c r="I49" s="114"/>
      <c r="J49" s="100">
        <f>70/ATHENS!O1*ATHENS!O2</f>
        <v>127.27272727272727</v>
      </c>
      <c r="K49" s="100">
        <f>90/ATHENS!O1*ATHENS!O2</f>
        <v>163.63636363636363</v>
      </c>
      <c r="L49" s="100">
        <f>128/ATHENS!O1*ATHENS!O2</f>
        <v>232.72727272727272</v>
      </c>
      <c r="M49" s="126"/>
      <c r="N49" s="126"/>
    </row>
    <row r="50" spans="1:14" s="111" customFormat="1" x14ac:dyDescent="0.2">
      <c r="A50" s="116"/>
      <c r="B50" s="461" t="s">
        <v>67</v>
      </c>
      <c r="C50" s="461"/>
      <c r="D50" s="461"/>
      <c r="E50" s="120"/>
      <c r="F50" s="120" t="s">
        <v>1181</v>
      </c>
      <c r="G50" s="120" t="s">
        <v>68</v>
      </c>
      <c r="H50" s="120" t="s">
        <v>702</v>
      </c>
      <c r="I50" s="120"/>
      <c r="J50" s="100">
        <f>42/ATHENS!O1*ATHENS!O2</f>
        <v>76.36363636363636</v>
      </c>
      <c r="K50" s="100">
        <f>56.5/ATHENS!O1*ATHENS!O2</f>
        <v>102.72727272727272</v>
      </c>
      <c r="L50" s="100">
        <f>72/ATHENS!O1*ATHENS!O2</f>
        <v>130.90909090909091</v>
      </c>
      <c r="M50" s="100"/>
      <c r="N50" s="100"/>
    </row>
    <row r="51" spans="1:14" s="111" customFormat="1" ht="13.5" thickBot="1" x14ac:dyDescent="0.25">
      <c r="A51" s="121"/>
      <c r="B51" s="460" t="s">
        <v>67</v>
      </c>
      <c r="C51" s="460"/>
      <c r="D51" s="460"/>
      <c r="E51" s="123"/>
      <c r="F51" s="123" t="s">
        <v>1182</v>
      </c>
      <c r="G51" s="123" t="s">
        <v>68</v>
      </c>
      <c r="H51" s="123" t="s">
        <v>702</v>
      </c>
      <c r="I51" s="123"/>
      <c r="J51" s="105">
        <f>35/ATHENS!O1*ATHENS!O2</f>
        <v>63.636363636363633</v>
      </c>
      <c r="K51" s="105">
        <f>42.6/ATHENS!O1*ATHENS!O2</f>
        <v>77.454545454545453</v>
      </c>
      <c r="L51" s="105">
        <f>58.6/ATHENS!O1*ATHENS!O2</f>
        <v>106.54545454545453</v>
      </c>
      <c r="M51" s="105"/>
      <c r="N51" s="105"/>
    </row>
    <row r="52" spans="1:14" s="111" customFormat="1" x14ac:dyDescent="0.2">
      <c r="A52" s="239"/>
      <c r="B52" s="119"/>
      <c r="C52" s="119"/>
      <c r="D52" s="119"/>
      <c r="E52" s="120"/>
      <c r="F52" s="120"/>
      <c r="G52" s="120"/>
      <c r="H52" s="120"/>
      <c r="I52" s="120"/>
      <c r="J52" s="120"/>
      <c r="K52" s="120"/>
      <c r="L52" s="120"/>
      <c r="M52" s="120"/>
      <c r="N52" s="120"/>
    </row>
    <row r="53" spans="1:14" s="111" customFormat="1" ht="13.5" thickBot="1" x14ac:dyDescent="0.25">
      <c r="A53" s="108"/>
      <c r="B53" s="109"/>
      <c r="C53" s="109"/>
      <c r="D53" s="109"/>
      <c r="E53" s="110"/>
      <c r="F53" s="110"/>
      <c r="G53" s="110"/>
      <c r="H53" s="110"/>
      <c r="I53" s="110"/>
      <c r="J53" s="110"/>
      <c r="K53" s="110"/>
      <c r="L53" s="110"/>
      <c r="M53" s="110"/>
      <c r="N53" s="110"/>
    </row>
    <row r="54" spans="1:14" s="111" customFormat="1" ht="13.5" thickBot="1" x14ac:dyDescent="0.25">
      <c r="A54" s="112"/>
      <c r="B54" s="113"/>
      <c r="C54" s="113"/>
      <c r="D54" s="113"/>
      <c r="E54" s="114"/>
      <c r="F54" s="114"/>
      <c r="G54" s="114"/>
      <c r="H54" s="114"/>
      <c r="I54" s="114"/>
      <c r="J54" s="114"/>
      <c r="K54" s="114"/>
      <c r="L54" s="114"/>
      <c r="M54" s="114"/>
      <c r="N54" s="115"/>
    </row>
    <row r="55" spans="1:14" s="111" customFormat="1" ht="15.75" thickBot="1" x14ac:dyDescent="0.25">
      <c r="A55" s="116"/>
      <c r="B55" s="484" t="s">
        <v>1212</v>
      </c>
      <c r="C55" s="485"/>
      <c r="D55" s="485"/>
      <c r="E55" s="485"/>
      <c r="F55" s="485"/>
      <c r="G55" s="485"/>
      <c r="H55" s="485"/>
      <c r="I55" s="485"/>
      <c r="J55" s="485"/>
      <c r="K55" s="485"/>
      <c r="L55" s="485"/>
      <c r="M55" s="486"/>
      <c r="N55" s="117" t="s">
        <v>96</v>
      </c>
    </row>
    <row r="56" spans="1:14" s="111" customFormat="1" x14ac:dyDescent="0.2">
      <c r="A56" s="116"/>
      <c r="B56" s="118" t="s">
        <v>428</v>
      </c>
      <c r="C56" s="119" t="s">
        <v>1213</v>
      </c>
      <c r="D56" s="119"/>
      <c r="E56" s="120"/>
      <c r="F56" s="120"/>
      <c r="G56" s="120"/>
      <c r="H56" s="120"/>
      <c r="I56" s="120"/>
      <c r="J56" s="120"/>
      <c r="K56" s="120"/>
      <c r="L56" s="120"/>
      <c r="M56" s="120"/>
      <c r="N56" s="101"/>
    </row>
    <row r="57" spans="1:14" s="111" customFormat="1" x14ac:dyDescent="0.2">
      <c r="A57" s="116"/>
      <c r="B57" s="118" t="s">
        <v>429</v>
      </c>
      <c r="C57" s="119" t="s">
        <v>1382</v>
      </c>
      <c r="D57" s="119"/>
      <c r="E57" s="120"/>
      <c r="F57" s="120"/>
      <c r="G57" s="120"/>
      <c r="H57" s="120"/>
      <c r="I57" s="120"/>
      <c r="J57" s="120"/>
      <c r="K57" s="120"/>
      <c r="L57" s="120"/>
      <c r="M57" s="120"/>
      <c r="N57" s="101"/>
    </row>
    <row r="58" spans="1:14" s="111" customFormat="1" x14ac:dyDescent="0.2">
      <c r="A58" s="116"/>
      <c r="B58" s="118" t="s">
        <v>427</v>
      </c>
      <c r="C58" s="480" t="s">
        <v>841</v>
      </c>
      <c r="D58" s="480"/>
      <c r="E58" s="480"/>
      <c r="F58" s="480"/>
      <c r="G58" s="480"/>
      <c r="H58" s="480"/>
      <c r="I58" s="480"/>
      <c r="J58" s="480"/>
      <c r="K58" s="480"/>
      <c r="L58" s="480"/>
      <c r="M58" s="480"/>
      <c r="N58" s="481"/>
    </row>
    <row r="59" spans="1:14" s="111" customFormat="1" x14ac:dyDescent="0.2">
      <c r="A59" s="116"/>
      <c r="B59" s="118"/>
      <c r="C59" s="480"/>
      <c r="D59" s="480"/>
      <c r="E59" s="480"/>
      <c r="F59" s="480"/>
      <c r="G59" s="480"/>
      <c r="H59" s="480"/>
      <c r="I59" s="480"/>
      <c r="J59" s="480"/>
      <c r="K59" s="480"/>
      <c r="L59" s="480"/>
      <c r="M59" s="480"/>
      <c r="N59" s="481"/>
    </row>
    <row r="60" spans="1:14" s="111" customFormat="1" x14ac:dyDescent="0.2">
      <c r="A60" s="116"/>
      <c r="B60" s="119"/>
      <c r="C60" s="480"/>
      <c r="D60" s="480"/>
      <c r="E60" s="480"/>
      <c r="F60" s="480"/>
      <c r="G60" s="480"/>
      <c r="H60" s="480"/>
      <c r="I60" s="480"/>
      <c r="J60" s="480"/>
      <c r="K60" s="480"/>
      <c r="L60" s="480"/>
      <c r="M60" s="480"/>
      <c r="N60" s="481"/>
    </row>
    <row r="61" spans="1:14" s="111" customFormat="1" x14ac:dyDescent="0.2">
      <c r="A61" s="116"/>
      <c r="B61" s="118" t="s">
        <v>426</v>
      </c>
      <c r="C61" s="119" t="s">
        <v>1454</v>
      </c>
      <c r="D61" s="119"/>
      <c r="E61" s="120"/>
      <c r="F61" s="120"/>
      <c r="G61" s="120"/>
      <c r="H61" s="120"/>
      <c r="I61" s="120"/>
      <c r="J61" s="120"/>
      <c r="K61" s="120"/>
      <c r="L61" s="120"/>
      <c r="M61" s="120"/>
      <c r="N61" s="101"/>
    </row>
    <row r="62" spans="1:14" s="111" customFormat="1" ht="13.5" thickBot="1" x14ac:dyDescent="0.25">
      <c r="A62" s="121"/>
      <c r="B62" s="118" t="s">
        <v>430</v>
      </c>
      <c r="C62" s="122"/>
      <c r="D62" s="122"/>
      <c r="E62" s="123"/>
      <c r="F62" s="123"/>
      <c r="G62" s="123"/>
      <c r="H62" s="123"/>
      <c r="I62" s="123"/>
      <c r="J62" s="123"/>
      <c r="K62" s="123"/>
      <c r="L62" s="123"/>
      <c r="M62" s="123"/>
      <c r="N62" s="104"/>
    </row>
    <row r="63" spans="1:14" s="111" customFormat="1" x14ac:dyDescent="0.2">
      <c r="A63" s="112"/>
      <c r="B63" s="113" t="s">
        <v>263</v>
      </c>
      <c r="C63" s="113"/>
      <c r="D63" s="113"/>
      <c r="E63" s="114"/>
      <c r="F63" s="114"/>
      <c r="G63" s="114"/>
      <c r="H63" s="114"/>
      <c r="I63" s="114"/>
      <c r="J63" s="127" t="s">
        <v>2098</v>
      </c>
      <c r="K63" s="126" t="s">
        <v>214</v>
      </c>
      <c r="L63" s="126"/>
      <c r="M63" s="126"/>
      <c r="N63" s="126"/>
    </row>
    <row r="64" spans="1:14" s="111" customFormat="1" ht="13.5" thickBot="1" x14ac:dyDescent="0.25">
      <c r="A64" s="121"/>
      <c r="B64" s="122" t="s">
        <v>263</v>
      </c>
      <c r="C64" s="122"/>
      <c r="D64" s="122"/>
      <c r="E64" s="123"/>
      <c r="F64" s="123"/>
      <c r="G64" s="123"/>
      <c r="H64" s="123"/>
      <c r="I64" s="123"/>
      <c r="J64" s="125" t="s">
        <v>2099</v>
      </c>
      <c r="K64" s="105" t="s">
        <v>215</v>
      </c>
      <c r="L64" s="105" t="s">
        <v>742</v>
      </c>
      <c r="M64" s="105"/>
      <c r="N64" s="105"/>
    </row>
    <row r="65" spans="1:14" s="111" customFormat="1" x14ac:dyDescent="0.2">
      <c r="A65" s="112"/>
      <c r="B65" s="467" t="s">
        <v>67</v>
      </c>
      <c r="C65" s="467"/>
      <c r="D65" s="467"/>
      <c r="E65" s="114"/>
      <c r="F65" s="114" t="s">
        <v>1180</v>
      </c>
      <c r="G65" s="114" t="s">
        <v>68</v>
      </c>
      <c r="H65" s="114" t="s">
        <v>702</v>
      </c>
      <c r="I65" s="114"/>
      <c r="J65" s="100">
        <f>49.5/ATHENS!O1*ATHENS!O2</f>
        <v>89.999999999999986</v>
      </c>
      <c r="K65" s="100">
        <f>70.75/ATHENS!O1*ATHENS!O2</f>
        <v>128.63636363636363</v>
      </c>
      <c r="L65" s="100">
        <f>100.5/ATHENS!O1*ATHENS!O2</f>
        <v>182.72727272727272</v>
      </c>
      <c r="M65" s="126"/>
      <c r="N65" s="126"/>
    </row>
    <row r="66" spans="1:14" s="111" customFormat="1" x14ac:dyDescent="0.2">
      <c r="A66" s="116"/>
      <c r="B66" s="461" t="s">
        <v>67</v>
      </c>
      <c r="C66" s="461"/>
      <c r="D66" s="461"/>
      <c r="E66" s="120"/>
      <c r="F66" s="120" t="s">
        <v>1181</v>
      </c>
      <c r="G66" s="120" t="s">
        <v>68</v>
      </c>
      <c r="H66" s="120" t="s">
        <v>702</v>
      </c>
      <c r="I66" s="120"/>
      <c r="J66" s="100">
        <f>31.5/ATHENS!O1*ATHENS!O2</f>
        <v>57.272727272727266</v>
      </c>
      <c r="K66" s="100">
        <f>43.5/ATHENS!O1*ATHENS!O2</f>
        <v>79.090909090909079</v>
      </c>
      <c r="L66" s="100">
        <f>66.9/ATHENS!O1*ATHENS!O2</f>
        <v>121.63636363636364</v>
      </c>
      <c r="M66" s="100"/>
      <c r="N66" s="100"/>
    </row>
    <row r="67" spans="1:14" s="111" customFormat="1" x14ac:dyDescent="0.2">
      <c r="A67" s="116"/>
      <c r="B67" s="461" t="s">
        <v>67</v>
      </c>
      <c r="C67" s="461"/>
      <c r="D67" s="461"/>
      <c r="E67" s="120"/>
      <c r="F67" s="120" t="s">
        <v>1182</v>
      </c>
      <c r="G67" s="120" t="s">
        <v>68</v>
      </c>
      <c r="H67" s="120" t="s">
        <v>702</v>
      </c>
      <c r="I67" s="120"/>
      <c r="J67" s="100">
        <f>25.7/ATHENS!O1*ATHENS!O2</f>
        <v>46.72727272727272</v>
      </c>
      <c r="K67" s="100">
        <f>37.5/ATHENS!O1*ATHENS!O2</f>
        <v>68.181818181818173</v>
      </c>
      <c r="L67" s="100">
        <f>53.5/ATHENS!O1*ATHENS!O2</f>
        <v>97.272727272727266</v>
      </c>
      <c r="M67" s="100"/>
      <c r="N67" s="100"/>
    </row>
    <row r="68" spans="1:14" s="111" customFormat="1" ht="13.5" thickBot="1" x14ac:dyDescent="0.25">
      <c r="A68" s="121"/>
      <c r="B68" s="460" t="s">
        <v>67</v>
      </c>
      <c r="C68" s="460"/>
      <c r="D68" s="460"/>
      <c r="E68" s="123"/>
      <c r="F68" s="123" t="s">
        <v>257</v>
      </c>
      <c r="G68" s="123" t="s">
        <v>68</v>
      </c>
      <c r="H68" s="123" t="s">
        <v>702</v>
      </c>
      <c r="I68" s="123"/>
      <c r="J68" s="105">
        <f>33.5/ATHENS!O1*ATHENS!O2</f>
        <v>60.909090909090907</v>
      </c>
      <c r="K68" s="105">
        <f>44.6/ATHENS!O1*ATHENS!O2</f>
        <v>81.090909090909093</v>
      </c>
      <c r="L68" s="105">
        <f>48.5/ATHENS!O1*ATHENS!O2</f>
        <v>88.181818181818173</v>
      </c>
      <c r="M68" s="105"/>
      <c r="N68" s="105"/>
    </row>
    <row r="69" spans="1:14" s="111" customFormat="1" x14ac:dyDescent="0.2">
      <c r="A69" s="108"/>
      <c r="B69" s="109"/>
      <c r="C69" s="109"/>
      <c r="D69" s="109"/>
      <c r="E69" s="110"/>
      <c r="F69" s="110"/>
      <c r="G69" s="110"/>
      <c r="H69" s="110"/>
      <c r="I69" s="110"/>
      <c r="J69" s="110"/>
      <c r="K69" s="110"/>
      <c r="L69" s="110"/>
      <c r="M69" s="110"/>
      <c r="N69" s="110"/>
    </row>
    <row r="70" spans="1:14" s="111" customFormat="1" ht="13.5" thickBot="1" x14ac:dyDescent="0.25"/>
    <row r="71" spans="1:14" s="111" customFormat="1" x14ac:dyDescent="0.2">
      <c r="A71" s="20"/>
      <c r="B71" s="21"/>
      <c r="C71" s="21"/>
      <c r="D71" s="21"/>
      <c r="E71" s="22"/>
      <c r="F71" s="22"/>
      <c r="G71" s="22"/>
      <c r="H71" s="22"/>
      <c r="I71" s="22"/>
      <c r="J71" s="22"/>
      <c r="K71" s="22"/>
      <c r="L71" s="22"/>
      <c r="M71" s="22"/>
      <c r="N71" s="23"/>
    </row>
    <row r="72" spans="1:14" s="111" customFormat="1" ht="15" x14ac:dyDescent="0.2">
      <c r="A72" s="24"/>
      <c r="B72" s="440" t="s">
        <v>1710</v>
      </c>
      <c r="C72" s="441"/>
      <c r="D72" s="441"/>
      <c r="E72" s="441"/>
      <c r="F72" s="441"/>
      <c r="G72" s="441"/>
      <c r="H72" s="441"/>
      <c r="I72" s="441"/>
      <c r="J72" s="441"/>
      <c r="K72" s="441"/>
      <c r="L72" s="441"/>
      <c r="M72" s="442"/>
      <c r="N72" s="25" t="s">
        <v>96</v>
      </c>
    </row>
    <row r="73" spans="1:14" s="111" customFormat="1" x14ac:dyDescent="0.2">
      <c r="A73" s="24"/>
      <c r="B73" s="26" t="s">
        <v>428</v>
      </c>
      <c r="C73" s="27" t="s">
        <v>1719</v>
      </c>
      <c r="D73" s="27"/>
      <c r="E73" s="28"/>
      <c r="F73" s="28"/>
      <c r="G73" s="28"/>
      <c r="H73" s="28"/>
      <c r="I73" s="28"/>
      <c r="J73" s="28"/>
      <c r="K73" s="28"/>
      <c r="L73" s="28"/>
      <c r="M73" s="28"/>
      <c r="N73" s="29"/>
    </row>
    <row r="74" spans="1:14" s="111" customFormat="1" x14ac:dyDescent="0.2">
      <c r="A74" s="24"/>
      <c r="B74" s="26" t="s">
        <v>429</v>
      </c>
      <c r="C74" s="27" t="s">
        <v>1673</v>
      </c>
      <c r="D74" s="27"/>
      <c r="E74" s="28"/>
      <c r="F74" s="28"/>
      <c r="G74" s="28"/>
      <c r="H74" s="28"/>
      <c r="I74" s="28"/>
      <c r="J74" s="28"/>
      <c r="K74" s="28"/>
      <c r="L74" s="28"/>
      <c r="M74" s="28"/>
      <c r="N74" s="29"/>
    </row>
    <row r="75" spans="1:14" s="111" customFormat="1" x14ac:dyDescent="0.2">
      <c r="A75" s="24"/>
      <c r="B75" s="26" t="s">
        <v>427</v>
      </c>
      <c r="C75" s="436" t="s">
        <v>1720</v>
      </c>
      <c r="D75" s="436"/>
      <c r="E75" s="436"/>
      <c r="F75" s="436"/>
      <c r="G75" s="436"/>
      <c r="H75" s="436"/>
      <c r="I75" s="436"/>
      <c r="J75" s="436"/>
      <c r="K75" s="436"/>
      <c r="L75" s="436"/>
      <c r="M75" s="436"/>
      <c r="N75" s="437"/>
    </row>
    <row r="76" spans="1:14" s="111" customFormat="1" x14ac:dyDescent="0.2">
      <c r="A76" s="24"/>
      <c r="B76" s="27"/>
      <c r="C76" s="436"/>
      <c r="D76" s="436"/>
      <c r="E76" s="436"/>
      <c r="F76" s="436"/>
      <c r="G76" s="436"/>
      <c r="H76" s="436"/>
      <c r="I76" s="436"/>
      <c r="J76" s="436"/>
      <c r="K76" s="436"/>
      <c r="L76" s="436"/>
      <c r="M76" s="436"/>
      <c r="N76" s="437"/>
    </row>
    <row r="77" spans="1:14" s="111" customFormat="1" x14ac:dyDescent="0.2">
      <c r="A77" s="24"/>
      <c r="B77" s="26" t="s">
        <v>426</v>
      </c>
      <c r="C77" s="27"/>
      <c r="D77" s="27"/>
      <c r="E77" s="28"/>
      <c r="F77" s="28"/>
      <c r="G77" s="28"/>
      <c r="H77" s="28"/>
      <c r="I77" s="28"/>
      <c r="J77" s="28"/>
      <c r="K77" s="28"/>
      <c r="L77" s="28"/>
      <c r="M77" s="28"/>
      <c r="N77" s="29"/>
    </row>
    <row r="78" spans="1:14" s="111" customFormat="1" ht="13.5" thickBot="1" x14ac:dyDescent="0.25">
      <c r="A78" s="30"/>
      <c r="B78" s="26" t="s">
        <v>430</v>
      </c>
      <c r="C78" s="31"/>
      <c r="D78" s="31"/>
      <c r="E78" s="32"/>
      <c r="F78" s="32"/>
      <c r="G78" s="32"/>
      <c r="H78" s="32"/>
      <c r="I78" s="32"/>
      <c r="J78" s="32"/>
      <c r="K78" s="32"/>
      <c r="L78" s="32"/>
      <c r="M78" s="32"/>
      <c r="N78" s="33"/>
    </row>
    <row r="79" spans="1:14" s="111" customFormat="1" x14ac:dyDescent="0.2">
      <c r="A79" s="24"/>
      <c r="B79" s="21" t="s">
        <v>263</v>
      </c>
      <c r="C79" s="27"/>
      <c r="D79" s="27"/>
      <c r="E79" s="28"/>
      <c r="F79" s="28"/>
      <c r="G79" s="28"/>
      <c r="H79" s="28"/>
      <c r="I79" s="28"/>
      <c r="J79" s="67" t="s">
        <v>1944</v>
      </c>
      <c r="K79" s="63" t="s">
        <v>1946</v>
      </c>
      <c r="L79" s="63"/>
      <c r="M79" s="63"/>
      <c r="N79" s="63"/>
    </row>
    <row r="80" spans="1:14" s="111" customFormat="1" ht="13.5" thickBot="1" x14ac:dyDescent="0.25">
      <c r="A80" s="30"/>
      <c r="B80" s="31"/>
      <c r="C80" s="31"/>
      <c r="D80" s="31"/>
      <c r="E80" s="32"/>
      <c r="F80" s="32"/>
      <c r="G80" s="32"/>
      <c r="H80" s="32"/>
      <c r="I80" s="32"/>
      <c r="J80" s="49" t="s">
        <v>1945</v>
      </c>
      <c r="K80" s="40" t="s">
        <v>1947</v>
      </c>
      <c r="L80" s="40" t="s">
        <v>1948</v>
      </c>
      <c r="M80" s="40"/>
      <c r="N80" s="40"/>
    </row>
    <row r="81" spans="1:14" s="111" customFormat="1" x14ac:dyDescent="0.2">
      <c r="A81" s="20"/>
      <c r="B81" s="434" t="s">
        <v>522</v>
      </c>
      <c r="C81" s="434"/>
      <c r="D81" s="434"/>
      <c r="E81" s="22"/>
      <c r="F81" s="22" t="s">
        <v>518</v>
      </c>
      <c r="G81" s="22" t="s">
        <v>68</v>
      </c>
      <c r="H81" s="22" t="s">
        <v>702</v>
      </c>
      <c r="I81" s="28"/>
      <c r="J81" s="75">
        <f>51/ATHENS!O1*ATHENS!O2</f>
        <v>92.72727272727272</v>
      </c>
      <c r="K81" s="75">
        <f>85/ATHENS!O1*ATHENS!O2</f>
        <v>154.54545454545453</v>
      </c>
      <c r="L81" s="44">
        <f>115/ATHENS!O1*ATHENS!O2</f>
        <v>209.09090909090907</v>
      </c>
      <c r="M81" s="42"/>
      <c r="N81" s="42"/>
    </row>
    <row r="82" spans="1:14" s="111" customFormat="1" x14ac:dyDescent="0.2">
      <c r="A82" s="24"/>
      <c r="B82" s="435" t="s">
        <v>522</v>
      </c>
      <c r="C82" s="435"/>
      <c r="D82" s="435"/>
      <c r="E82" s="28"/>
      <c r="F82" s="28" t="s">
        <v>705</v>
      </c>
      <c r="G82" s="28" t="s">
        <v>68</v>
      </c>
      <c r="H82" s="28" t="s">
        <v>702</v>
      </c>
      <c r="I82" s="28"/>
      <c r="J82" s="75">
        <f>42.5/ATHENS!O1*ATHENS!O2</f>
        <v>77.272727272727266</v>
      </c>
      <c r="K82" s="75">
        <f>68/ATHENS!O1*ATHENS!O2</f>
        <v>123.63636363636363</v>
      </c>
      <c r="L82" s="44">
        <f>85/ATHENS!O1*ATHENS!O2</f>
        <v>154.54545454545453</v>
      </c>
      <c r="M82" s="44"/>
      <c r="N82" s="44"/>
    </row>
    <row r="83" spans="1:14" s="111" customFormat="1" x14ac:dyDescent="0.2">
      <c r="A83" s="24"/>
      <c r="B83" s="68" t="s">
        <v>522</v>
      </c>
      <c r="C83" s="27"/>
      <c r="D83" s="27"/>
      <c r="E83" s="28"/>
      <c r="F83" s="28" t="s">
        <v>706</v>
      </c>
      <c r="G83" s="28" t="s">
        <v>68</v>
      </c>
      <c r="H83" s="28" t="s">
        <v>702</v>
      </c>
      <c r="I83" s="28"/>
      <c r="J83" s="75">
        <f>46.7/ATHENS!O1*ATHENS!O2</f>
        <v>84.909090909090907</v>
      </c>
      <c r="K83" s="75">
        <f>74.5/ATHENS!O1*ATHENS!O2</f>
        <v>135.45454545454544</v>
      </c>
      <c r="L83" s="44">
        <f>96/ATHENS!O1*ATHENS!O2</f>
        <v>174.54545454545453</v>
      </c>
      <c r="M83" s="44"/>
      <c r="N83" s="44"/>
    </row>
    <row r="84" spans="1:14" s="111" customFormat="1" ht="13.5" thickBot="1" x14ac:dyDescent="0.25">
      <c r="A84" s="30"/>
      <c r="B84" s="443"/>
      <c r="C84" s="443"/>
      <c r="D84" s="443"/>
      <c r="E84" s="32"/>
      <c r="F84" s="89"/>
      <c r="G84" s="89"/>
      <c r="H84" s="32"/>
      <c r="I84" s="32"/>
      <c r="J84" s="76"/>
      <c r="K84" s="76"/>
      <c r="L84" s="46"/>
      <c r="M84" s="46"/>
      <c r="N84" s="46"/>
    </row>
    <row r="85" spans="1:14" s="111" customFormat="1" x14ac:dyDescent="0.2"/>
    <row r="86" spans="1:14" s="111" customFormat="1" x14ac:dyDescent="0.2"/>
    <row r="87" spans="1:14" s="111" customFormat="1" x14ac:dyDescent="0.2"/>
    <row r="88" spans="1:14" s="111" customFormat="1" x14ac:dyDescent="0.2"/>
    <row r="89" spans="1:14" s="111" customFormat="1" x14ac:dyDescent="0.2"/>
    <row r="90" spans="1:14" s="111" customFormat="1" x14ac:dyDescent="0.2"/>
    <row r="91" spans="1:14" s="111" customFormat="1" ht="13.5" thickBot="1" x14ac:dyDescent="0.25">
      <c r="A91" s="108"/>
      <c r="B91" s="109"/>
      <c r="C91" s="109"/>
      <c r="D91" s="109"/>
      <c r="E91" s="110"/>
      <c r="F91" s="110"/>
      <c r="G91" s="110"/>
      <c r="H91" s="110"/>
      <c r="I91" s="110"/>
      <c r="J91" s="110"/>
      <c r="K91" s="110"/>
      <c r="L91" s="110"/>
      <c r="M91" s="110"/>
      <c r="N91" s="110"/>
    </row>
    <row r="92" spans="1:14" s="111" customFormat="1" ht="13.5" thickBot="1" x14ac:dyDescent="0.25">
      <c r="A92" s="112"/>
      <c r="B92" s="113"/>
      <c r="C92" s="113"/>
      <c r="D92" s="113"/>
      <c r="E92" s="114"/>
      <c r="F92" s="114"/>
      <c r="G92" s="114"/>
      <c r="H92" s="114"/>
      <c r="I92" s="114"/>
      <c r="J92" s="114"/>
      <c r="K92" s="114"/>
      <c r="L92" s="114"/>
      <c r="M92" s="114"/>
      <c r="N92" s="115"/>
    </row>
    <row r="93" spans="1:14" s="111" customFormat="1" ht="15.75" thickBot="1" x14ac:dyDescent="0.25">
      <c r="A93" s="116"/>
      <c r="B93" s="484" t="s">
        <v>568</v>
      </c>
      <c r="C93" s="485"/>
      <c r="D93" s="485"/>
      <c r="E93" s="485"/>
      <c r="F93" s="485"/>
      <c r="G93" s="485"/>
      <c r="H93" s="485"/>
      <c r="I93" s="485"/>
      <c r="J93" s="485"/>
      <c r="K93" s="485"/>
      <c r="L93" s="485"/>
      <c r="M93" s="486"/>
      <c r="N93" s="117" t="s">
        <v>664</v>
      </c>
    </row>
    <row r="94" spans="1:14" s="111" customFormat="1" x14ac:dyDescent="0.2">
      <c r="A94" s="116"/>
      <c r="B94" s="118" t="s">
        <v>428</v>
      </c>
      <c r="C94" s="119" t="s">
        <v>569</v>
      </c>
      <c r="D94" s="119"/>
      <c r="E94" s="120"/>
      <c r="F94" s="120"/>
      <c r="G94" s="120"/>
      <c r="H94" s="120"/>
      <c r="I94" s="120"/>
      <c r="J94" s="120"/>
      <c r="K94" s="120"/>
      <c r="L94" s="120"/>
      <c r="M94" s="120"/>
      <c r="N94" s="101"/>
    </row>
    <row r="95" spans="1:14" s="111" customFormat="1" x14ac:dyDescent="0.2">
      <c r="A95" s="116"/>
      <c r="B95" s="118" t="s">
        <v>429</v>
      </c>
      <c r="C95" s="119" t="s">
        <v>1157</v>
      </c>
      <c r="D95" s="119"/>
      <c r="E95" s="120"/>
      <c r="F95" s="120"/>
      <c r="G95" s="120"/>
      <c r="H95" s="120"/>
      <c r="I95" s="120"/>
      <c r="J95" s="120"/>
      <c r="K95" s="120"/>
      <c r="L95" s="120"/>
      <c r="M95" s="120"/>
      <c r="N95" s="101"/>
    </row>
    <row r="96" spans="1:14" s="111" customFormat="1" x14ac:dyDescent="0.2">
      <c r="A96" s="116"/>
      <c r="B96" s="118" t="s">
        <v>427</v>
      </c>
      <c r="C96" s="480" t="s">
        <v>843</v>
      </c>
      <c r="D96" s="480"/>
      <c r="E96" s="480"/>
      <c r="F96" s="480"/>
      <c r="G96" s="480"/>
      <c r="H96" s="480"/>
      <c r="I96" s="480"/>
      <c r="J96" s="480"/>
      <c r="K96" s="480"/>
      <c r="L96" s="480"/>
      <c r="M96" s="480"/>
      <c r="N96" s="481"/>
    </row>
    <row r="97" spans="1:14" s="111" customFormat="1" x14ac:dyDescent="0.2">
      <c r="A97" s="116"/>
      <c r="B97" s="109"/>
      <c r="C97" s="480"/>
      <c r="D97" s="480"/>
      <c r="E97" s="480"/>
      <c r="F97" s="480"/>
      <c r="G97" s="480"/>
      <c r="H97" s="480"/>
      <c r="I97" s="480"/>
      <c r="J97" s="480"/>
      <c r="K97" s="480"/>
      <c r="L97" s="480"/>
      <c r="M97" s="480"/>
      <c r="N97" s="481"/>
    </row>
    <row r="98" spans="1:14" s="111" customFormat="1" ht="13.5" thickBot="1" x14ac:dyDescent="0.25">
      <c r="A98" s="116"/>
      <c r="B98" s="118" t="s">
        <v>426</v>
      </c>
      <c r="C98" s="119" t="s">
        <v>1216</v>
      </c>
      <c r="D98" s="119"/>
      <c r="E98" s="120"/>
      <c r="F98" s="120"/>
      <c r="G98" s="120"/>
      <c r="H98" s="120"/>
      <c r="I98" s="120"/>
      <c r="J98" s="120"/>
      <c r="K98" s="120"/>
      <c r="L98" s="120"/>
      <c r="M98" s="120"/>
      <c r="N98" s="101"/>
    </row>
    <row r="99" spans="1:14" s="111" customFormat="1" x14ac:dyDescent="0.2">
      <c r="A99" s="112"/>
      <c r="B99" s="113" t="s">
        <v>263</v>
      </c>
      <c r="C99" s="113"/>
      <c r="D99" s="113"/>
      <c r="E99" s="114"/>
      <c r="F99" s="114"/>
      <c r="G99" s="114"/>
      <c r="H99" s="114"/>
      <c r="I99" s="114"/>
      <c r="J99" s="127" t="s">
        <v>216</v>
      </c>
      <c r="K99" s="126" t="s">
        <v>2100</v>
      </c>
      <c r="L99" s="126"/>
      <c r="M99" s="126"/>
      <c r="N99" s="126"/>
    </row>
    <row r="100" spans="1:14" s="111" customFormat="1" ht="13.5" thickBot="1" x14ac:dyDescent="0.25">
      <c r="A100" s="121"/>
      <c r="B100" s="122"/>
      <c r="C100" s="122"/>
      <c r="D100" s="122"/>
      <c r="E100" s="123"/>
      <c r="F100" s="123"/>
      <c r="G100" s="123"/>
      <c r="H100" s="123"/>
      <c r="I100" s="123"/>
      <c r="J100" s="125" t="s">
        <v>217</v>
      </c>
      <c r="K100" s="105" t="s">
        <v>218</v>
      </c>
      <c r="L100" s="105" t="s">
        <v>1956</v>
      </c>
      <c r="M100" s="105"/>
      <c r="N100" s="105"/>
    </row>
    <row r="101" spans="1:14" s="111" customFormat="1" x14ac:dyDescent="0.2">
      <c r="A101" s="112"/>
      <c r="B101" s="467" t="s">
        <v>67</v>
      </c>
      <c r="C101" s="467"/>
      <c r="D101" s="467"/>
      <c r="E101" s="114"/>
      <c r="F101" s="114" t="s">
        <v>1180</v>
      </c>
      <c r="G101" s="114" t="s">
        <v>68</v>
      </c>
      <c r="H101" s="114" t="s">
        <v>702</v>
      </c>
      <c r="I101" s="114"/>
      <c r="J101" s="100">
        <f>37.8/ATHENS!O1*ATHENS!O2</f>
        <v>68.72727272727272</v>
      </c>
      <c r="K101" s="100">
        <f>43.9/ATHENS!O1*ATHENS!O2</f>
        <v>79.818181818181813</v>
      </c>
      <c r="L101" s="100">
        <f>69.5/ATHENS!O1*ATHENS!O2</f>
        <v>126.36363636363636</v>
      </c>
      <c r="M101" s="126"/>
      <c r="N101" s="126"/>
    </row>
    <row r="102" spans="1:14" s="111" customFormat="1" x14ac:dyDescent="0.2">
      <c r="A102" s="116"/>
      <c r="B102" s="461" t="s">
        <v>67</v>
      </c>
      <c r="C102" s="461"/>
      <c r="D102" s="461"/>
      <c r="E102" s="120"/>
      <c r="F102" s="120" t="s">
        <v>1181</v>
      </c>
      <c r="G102" s="120" t="s">
        <v>68</v>
      </c>
      <c r="H102" s="120" t="s">
        <v>702</v>
      </c>
      <c r="I102" s="120"/>
      <c r="J102" s="100">
        <f>23.5/ATHENS!O1*ATHENS!O2</f>
        <v>42.727272727272727</v>
      </c>
      <c r="K102" s="100">
        <f>27.5/ATHENS!O1*ATHENS!O2</f>
        <v>49.999999999999993</v>
      </c>
      <c r="L102" s="100">
        <f>45.5/ATHENS!O1*ATHENS!O2</f>
        <v>82.72727272727272</v>
      </c>
      <c r="M102" s="100"/>
      <c r="N102" s="100"/>
    </row>
    <row r="103" spans="1:14" s="111" customFormat="1" x14ac:dyDescent="0.2">
      <c r="A103" s="116"/>
      <c r="B103" s="119" t="s">
        <v>67</v>
      </c>
      <c r="C103" s="119"/>
      <c r="D103" s="119"/>
      <c r="E103" s="120"/>
      <c r="F103" s="120" t="s">
        <v>1182</v>
      </c>
      <c r="G103" s="120" t="s">
        <v>68</v>
      </c>
      <c r="H103" s="120" t="s">
        <v>702</v>
      </c>
      <c r="I103" s="120"/>
      <c r="J103" s="100">
        <f>19.8/ATHENS!O1*ATHENS!O2</f>
        <v>36</v>
      </c>
      <c r="K103" s="100">
        <f>24.5/ATHENS!O1*ATHENS!O2</f>
        <v>44.54545454545454</v>
      </c>
      <c r="L103" s="100">
        <f>38.9/ATHENS!O1*ATHENS!O2</f>
        <v>70.72727272727272</v>
      </c>
      <c r="M103" s="100"/>
      <c r="N103" s="100"/>
    </row>
    <row r="104" spans="1:14" s="111" customFormat="1" ht="13.5" thickBot="1" x14ac:dyDescent="0.25">
      <c r="A104" s="121"/>
      <c r="B104" s="460" t="s">
        <v>67</v>
      </c>
      <c r="C104" s="460"/>
      <c r="D104" s="460"/>
      <c r="E104" s="123"/>
      <c r="F104" s="123" t="s">
        <v>257</v>
      </c>
      <c r="G104" s="123" t="s">
        <v>68</v>
      </c>
      <c r="H104" s="123" t="s">
        <v>702</v>
      </c>
      <c r="I104" s="123"/>
      <c r="J104" s="105">
        <f>17.5/ATHENS!O1*ATHENS!O2</f>
        <v>31.818181818181817</v>
      </c>
      <c r="K104" s="105">
        <f>21.9/ATHENS!O1*ATHENS!O2</f>
        <v>39.818181818181813</v>
      </c>
      <c r="L104" s="105">
        <f>35.5/ATHENS!O1*ATHENS!O2</f>
        <v>64.545454545454547</v>
      </c>
      <c r="M104" s="105"/>
      <c r="N104" s="105"/>
    </row>
    <row r="105" spans="1:14" s="111" customFormat="1" ht="13.5" thickBot="1" x14ac:dyDescent="0.25">
      <c r="A105" s="108"/>
      <c r="B105" s="109"/>
      <c r="C105" s="109"/>
      <c r="D105" s="109"/>
      <c r="E105" s="110"/>
      <c r="F105" s="110"/>
      <c r="G105" s="110"/>
      <c r="H105" s="110"/>
      <c r="I105" s="110"/>
      <c r="J105" s="110"/>
      <c r="K105" s="110"/>
      <c r="L105" s="110"/>
      <c r="M105" s="110"/>
      <c r="N105" s="110"/>
    </row>
    <row r="106" spans="1:14" s="111" customFormat="1" ht="13.5" thickBot="1" x14ac:dyDescent="0.25">
      <c r="A106" s="112"/>
      <c r="B106" s="113"/>
      <c r="C106" s="113"/>
      <c r="D106" s="113"/>
      <c r="E106" s="114"/>
      <c r="F106" s="114"/>
      <c r="G106" s="114"/>
      <c r="H106" s="114"/>
      <c r="I106" s="114"/>
      <c r="J106" s="114"/>
      <c r="K106" s="114"/>
      <c r="L106" s="114"/>
      <c r="M106" s="114"/>
      <c r="N106" s="115"/>
    </row>
    <row r="107" spans="1:14" s="111" customFormat="1" ht="15.75" thickBot="1" x14ac:dyDescent="0.25">
      <c r="A107" s="116"/>
      <c r="B107" s="484" t="s">
        <v>1249</v>
      </c>
      <c r="C107" s="485"/>
      <c r="D107" s="485"/>
      <c r="E107" s="485"/>
      <c r="F107" s="485"/>
      <c r="G107" s="485"/>
      <c r="H107" s="485"/>
      <c r="I107" s="485"/>
      <c r="J107" s="485"/>
      <c r="K107" s="485"/>
      <c r="L107" s="485"/>
      <c r="M107" s="486"/>
      <c r="N107" s="117" t="s">
        <v>664</v>
      </c>
    </row>
    <row r="108" spans="1:14" s="111" customFormat="1" x14ac:dyDescent="0.2">
      <c r="A108" s="116"/>
      <c r="B108" s="118" t="s">
        <v>428</v>
      </c>
      <c r="C108" s="119" t="s">
        <v>1217</v>
      </c>
      <c r="D108" s="119"/>
      <c r="E108" s="120"/>
      <c r="F108" s="120"/>
      <c r="G108" s="120"/>
      <c r="H108" s="120"/>
      <c r="I108" s="120"/>
      <c r="J108" s="120"/>
      <c r="K108" s="120"/>
      <c r="L108" s="120"/>
      <c r="M108" s="120"/>
      <c r="N108" s="101"/>
    </row>
    <row r="109" spans="1:14" s="111" customFormat="1" x14ac:dyDescent="0.2">
      <c r="A109" s="116"/>
      <c r="B109" s="118" t="s">
        <v>429</v>
      </c>
      <c r="C109" s="119" t="s">
        <v>286</v>
      </c>
      <c r="D109" s="119"/>
      <c r="E109" s="120"/>
      <c r="F109" s="120"/>
      <c r="G109" s="120"/>
      <c r="H109" s="120"/>
      <c r="I109" s="120"/>
      <c r="J109" s="120"/>
      <c r="K109" s="120"/>
      <c r="L109" s="120"/>
      <c r="M109" s="120"/>
      <c r="N109" s="101"/>
    </row>
    <row r="110" spans="1:14" s="111" customFormat="1" x14ac:dyDescent="0.2">
      <c r="A110" s="116"/>
      <c r="B110" s="118" t="s">
        <v>427</v>
      </c>
      <c r="C110" s="480" t="s">
        <v>844</v>
      </c>
      <c r="D110" s="480"/>
      <c r="E110" s="480"/>
      <c r="F110" s="480"/>
      <c r="G110" s="480"/>
      <c r="H110" s="480"/>
      <c r="I110" s="480"/>
      <c r="J110" s="480"/>
      <c r="K110" s="480"/>
      <c r="L110" s="480"/>
      <c r="M110" s="480"/>
      <c r="N110" s="481"/>
    </row>
    <row r="111" spans="1:14" s="111" customFormat="1" x14ac:dyDescent="0.2">
      <c r="A111" s="116"/>
      <c r="B111" s="118"/>
      <c r="C111" s="480"/>
      <c r="D111" s="480"/>
      <c r="E111" s="480"/>
      <c r="F111" s="480"/>
      <c r="G111" s="480"/>
      <c r="H111" s="480"/>
      <c r="I111" s="480"/>
      <c r="J111" s="480"/>
      <c r="K111" s="480"/>
      <c r="L111" s="480"/>
      <c r="M111" s="480"/>
      <c r="N111" s="481"/>
    </row>
    <row r="112" spans="1:14" s="111" customFormat="1" x14ac:dyDescent="0.2">
      <c r="A112" s="116"/>
      <c r="B112" s="109"/>
      <c r="C112" s="480"/>
      <c r="D112" s="480"/>
      <c r="E112" s="480"/>
      <c r="F112" s="480"/>
      <c r="G112" s="480"/>
      <c r="H112" s="480"/>
      <c r="I112" s="480"/>
      <c r="J112" s="480"/>
      <c r="K112" s="480"/>
      <c r="L112" s="480"/>
      <c r="M112" s="480"/>
      <c r="N112" s="481"/>
    </row>
    <row r="113" spans="1:14" s="111" customFormat="1" ht="13.5" thickBot="1" x14ac:dyDescent="0.25">
      <c r="A113" s="116"/>
      <c r="B113" s="118" t="s">
        <v>426</v>
      </c>
      <c r="C113" s="119" t="s">
        <v>1245</v>
      </c>
      <c r="D113" s="119"/>
      <c r="E113" s="120"/>
      <c r="F113" s="120"/>
      <c r="G113" s="120"/>
      <c r="H113" s="120"/>
      <c r="I113" s="120"/>
      <c r="J113" s="120"/>
      <c r="K113" s="120"/>
      <c r="L113" s="120"/>
      <c r="M113" s="120"/>
      <c r="N113" s="101"/>
    </row>
    <row r="114" spans="1:14" s="111" customFormat="1" x14ac:dyDescent="0.2">
      <c r="A114" s="112"/>
      <c r="B114" s="113" t="s">
        <v>263</v>
      </c>
      <c r="C114" s="113"/>
      <c r="D114" s="113"/>
      <c r="E114" s="114"/>
      <c r="F114" s="114"/>
      <c r="G114" s="114"/>
      <c r="H114" s="114"/>
      <c r="I114" s="114"/>
      <c r="J114" s="126"/>
      <c r="K114" s="126" t="s">
        <v>2096</v>
      </c>
      <c r="L114" s="126"/>
      <c r="M114" s="126"/>
      <c r="N114" s="126"/>
    </row>
    <row r="115" spans="1:14" s="111" customFormat="1" ht="13.5" thickBot="1" x14ac:dyDescent="0.25">
      <c r="A115" s="121"/>
      <c r="B115" s="122" t="s">
        <v>263</v>
      </c>
      <c r="C115" s="122"/>
      <c r="D115" s="122"/>
      <c r="E115" s="123"/>
      <c r="F115" s="123"/>
      <c r="G115" s="123"/>
      <c r="H115" s="123"/>
      <c r="I115" s="123"/>
      <c r="J115" s="105" t="s">
        <v>1424</v>
      </c>
      <c r="K115" s="105" t="s">
        <v>2097</v>
      </c>
      <c r="L115" s="105" t="s">
        <v>434</v>
      </c>
      <c r="M115" s="105"/>
      <c r="N115" s="105"/>
    </row>
    <row r="116" spans="1:14" s="111" customFormat="1" x14ac:dyDescent="0.2">
      <c r="A116" s="112"/>
      <c r="B116" s="467" t="s">
        <v>67</v>
      </c>
      <c r="C116" s="467"/>
      <c r="D116" s="467"/>
      <c r="E116" s="114"/>
      <c r="F116" s="114" t="s">
        <v>1180</v>
      </c>
      <c r="G116" s="114" t="s">
        <v>68</v>
      </c>
      <c r="H116" s="114" t="s">
        <v>702</v>
      </c>
      <c r="I116" s="114"/>
      <c r="J116" s="100">
        <f>53.5/ATHENS!O1*ATHENS!O2</f>
        <v>97.272727272727266</v>
      </c>
      <c r="K116" s="100">
        <f>85.5/ATHENS!O1*ATHENS!O2</f>
        <v>155.45454545454544</v>
      </c>
      <c r="L116" s="100">
        <f>155.6/ATHENS!O1*ATHENS!O2</f>
        <v>282.90909090909088</v>
      </c>
      <c r="M116" s="126"/>
      <c r="N116" s="126"/>
    </row>
    <row r="117" spans="1:14" s="111" customFormat="1" x14ac:dyDescent="0.2">
      <c r="A117" s="116"/>
      <c r="B117" s="461" t="s">
        <v>67</v>
      </c>
      <c r="C117" s="461"/>
      <c r="D117" s="461"/>
      <c r="E117" s="120"/>
      <c r="F117" s="120" t="s">
        <v>1181</v>
      </c>
      <c r="G117" s="120" t="s">
        <v>68</v>
      </c>
      <c r="H117" s="120" t="s">
        <v>702</v>
      </c>
      <c r="I117" s="120"/>
      <c r="J117" s="100">
        <f>29.8/ATHENS!O1*ATHENS!O2</f>
        <v>54.18181818181818</v>
      </c>
      <c r="K117" s="100">
        <f>45.5/ATHENS!O1*ATHENS!O2</f>
        <v>82.72727272727272</v>
      </c>
      <c r="L117" s="100">
        <f>80.6/ATHENS!O1*ATHENS!O2</f>
        <v>146.54545454545453</v>
      </c>
      <c r="M117" s="100"/>
      <c r="N117" s="100"/>
    </row>
    <row r="118" spans="1:14" s="111" customFormat="1" x14ac:dyDescent="0.2">
      <c r="A118" s="116"/>
      <c r="B118" s="461" t="s">
        <v>67</v>
      </c>
      <c r="C118" s="461"/>
      <c r="D118" s="461"/>
      <c r="E118" s="120"/>
      <c r="F118" s="120" t="s">
        <v>1182</v>
      </c>
      <c r="G118" s="120" t="s">
        <v>68</v>
      </c>
      <c r="H118" s="120" t="s">
        <v>702</v>
      </c>
      <c r="I118" s="120"/>
      <c r="J118" s="100">
        <f>26.5/ATHENS!O1*ATHENS!O2</f>
        <v>48.18181818181818</v>
      </c>
      <c r="K118" s="100">
        <f>40.5/ATHENS!O1*ATHENS!O2</f>
        <v>73.636363636363626</v>
      </c>
      <c r="L118" s="100">
        <f>71.8/ATHENS!O1*ATHENS!O2</f>
        <v>130.54545454545453</v>
      </c>
      <c r="M118" s="100"/>
      <c r="N118" s="100"/>
    </row>
    <row r="119" spans="1:14" s="111" customFormat="1" ht="13.5" thickBot="1" x14ac:dyDescent="0.25">
      <c r="A119" s="116"/>
      <c r="B119" s="461" t="s">
        <v>67</v>
      </c>
      <c r="C119" s="461"/>
      <c r="D119" s="461"/>
      <c r="E119" s="120"/>
      <c r="F119" s="120" t="s">
        <v>257</v>
      </c>
      <c r="G119" s="120" t="s">
        <v>68</v>
      </c>
      <c r="H119" s="120" t="s">
        <v>702</v>
      </c>
      <c r="I119" s="120"/>
      <c r="J119" s="100">
        <f>26.5/ATHENS!O1*ATHENS!O2</f>
        <v>48.18181818181818</v>
      </c>
      <c r="K119" s="100">
        <f>37.5/ATHENS!O1*ATHENS!O2</f>
        <v>68.181818181818173</v>
      </c>
      <c r="L119" s="100">
        <f>59.7/ATHENS!O1*ATHENS!O2</f>
        <v>108.54545454545455</v>
      </c>
      <c r="M119" s="100"/>
      <c r="N119" s="100"/>
    </row>
    <row r="120" spans="1:14" s="111" customFormat="1" ht="13.5" thickBot="1" x14ac:dyDescent="0.25">
      <c r="A120" s="134"/>
      <c r="B120" s="135" t="s">
        <v>1117</v>
      </c>
      <c r="C120" s="135"/>
      <c r="D120" s="135"/>
      <c r="E120" s="136"/>
      <c r="F120" s="136"/>
      <c r="G120" s="136"/>
      <c r="H120" s="136"/>
      <c r="I120" s="136"/>
      <c r="J120" s="136"/>
      <c r="K120" s="136"/>
      <c r="L120" s="136"/>
      <c r="M120" s="136"/>
      <c r="N120" s="137"/>
    </row>
    <row r="121" spans="1:14" s="111" customFormat="1" ht="13.5" thickBot="1" x14ac:dyDescent="0.25">
      <c r="A121" s="108"/>
      <c r="B121" s="109"/>
      <c r="C121" s="109"/>
      <c r="D121" s="109"/>
      <c r="E121" s="110"/>
      <c r="F121" s="110"/>
      <c r="G121" s="110"/>
      <c r="H121" s="110"/>
      <c r="I121" s="110"/>
      <c r="J121" s="110"/>
      <c r="K121" s="110"/>
      <c r="L121" s="110"/>
      <c r="M121" s="110"/>
      <c r="N121" s="110"/>
    </row>
    <row r="122" spans="1:14" s="111" customFormat="1" ht="13.5" thickBot="1" x14ac:dyDescent="0.25">
      <c r="A122" s="112"/>
      <c r="B122" s="113"/>
      <c r="C122" s="113"/>
      <c r="D122" s="113"/>
      <c r="E122" s="114"/>
      <c r="F122" s="114"/>
      <c r="G122" s="114"/>
      <c r="H122" s="114"/>
      <c r="I122" s="114"/>
      <c r="J122" s="114"/>
      <c r="K122" s="114"/>
      <c r="L122" s="114"/>
      <c r="M122" s="114"/>
      <c r="N122" s="115"/>
    </row>
    <row r="123" spans="1:14" s="111" customFormat="1" ht="15.75" thickBot="1" x14ac:dyDescent="0.25">
      <c r="A123" s="116"/>
      <c r="B123" s="484" t="s">
        <v>478</v>
      </c>
      <c r="C123" s="485"/>
      <c r="D123" s="485"/>
      <c r="E123" s="485"/>
      <c r="F123" s="485"/>
      <c r="G123" s="485"/>
      <c r="H123" s="485"/>
      <c r="I123" s="485"/>
      <c r="J123" s="485"/>
      <c r="K123" s="485"/>
      <c r="L123" s="485"/>
      <c r="M123" s="486"/>
      <c r="N123" s="117" t="s">
        <v>664</v>
      </c>
    </row>
    <row r="124" spans="1:14" s="111" customFormat="1" x14ac:dyDescent="0.2">
      <c r="A124" s="116"/>
      <c r="B124" s="118" t="s">
        <v>428</v>
      </c>
      <c r="C124" s="119" t="s">
        <v>569</v>
      </c>
      <c r="D124" s="119"/>
      <c r="E124" s="120"/>
      <c r="F124" s="120"/>
      <c r="G124" s="120"/>
      <c r="H124" s="120"/>
      <c r="I124" s="120"/>
      <c r="J124" s="120"/>
      <c r="K124" s="120"/>
      <c r="L124" s="120"/>
      <c r="M124" s="120"/>
      <c r="N124" s="101"/>
    </row>
    <row r="125" spans="1:14" s="111" customFormat="1" x14ac:dyDescent="0.2">
      <c r="A125" s="116"/>
      <c r="B125" s="118" t="s">
        <v>429</v>
      </c>
      <c r="C125" s="119" t="s">
        <v>1218</v>
      </c>
      <c r="D125" s="119"/>
      <c r="E125" s="120"/>
      <c r="F125" s="120"/>
      <c r="G125" s="120"/>
      <c r="H125" s="120"/>
      <c r="I125" s="120"/>
      <c r="J125" s="120"/>
      <c r="K125" s="120"/>
      <c r="L125" s="120"/>
      <c r="M125" s="120"/>
      <c r="N125" s="101"/>
    </row>
    <row r="126" spans="1:14" s="111" customFormat="1" x14ac:dyDescent="0.2">
      <c r="A126" s="116"/>
      <c r="B126" s="118" t="s">
        <v>427</v>
      </c>
      <c r="C126" s="480" t="s">
        <v>845</v>
      </c>
      <c r="D126" s="480"/>
      <c r="E126" s="480"/>
      <c r="F126" s="480"/>
      <c r="G126" s="480"/>
      <c r="H126" s="480"/>
      <c r="I126" s="480"/>
      <c r="J126" s="480"/>
      <c r="K126" s="480"/>
      <c r="L126" s="480"/>
      <c r="M126" s="480"/>
      <c r="N126" s="481"/>
    </row>
    <row r="127" spans="1:14" s="111" customFormat="1" x14ac:dyDescent="0.2">
      <c r="A127" s="116"/>
      <c r="B127" s="118"/>
      <c r="C127" s="480"/>
      <c r="D127" s="480"/>
      <c r="E127" s="480"/>
      <c r="F127" s="480"/>
      <c r="G127" s="480"/>
      <c r="H127" s="480"/>
      <c r="I127" s="480"/>
      <c r="J127" s="480"/>
      <c r="K127" s="480"/>
      <c r="L127" s="480"/>
      <c r="M127" s="480"/>
      <c r="N127" s="481"/>
    </row>
    <row r="128" spans="1:14" s="111" customFormat="1" x14ac:dyDescent="0.2">
      <c r="A128" s="116"/>
      <c r="B128" s="118"/>
      <c r="C128" s="480"/>
      <c r="D128" s="480"/>
      <c r="E128" s="480"/>
      <c r="F128" s="480"/>
      <c r="G128" s="480"/>
      <c r="H128" s="480"/>
      <c r="I128" s="480"/>
      <c r="J128" s="480"/>
      <c r="K128" s="480"/>
      <c r="L128" s="480"/>
      <c r="M128" s="480"/>
      <c r="N128" s="481"/>
    </row>
    <row r="129" spans="1:14" s="111" customFormat="1" ht="13.5" thickBot="1" x14ac:dyDescent="0.25">
      <c r="A129" s="116"/>
      <c r="B129" s="118" t="s">
        <v>426</v>
      </c>
      <c r="C129" s="119" t="s">
        <v>479</v>
      </c>
      <c r="D129" s="119"/>
      <c r="E129" s="120"/>
      <c r="F129" s="120"/>
      <c r="G129" s="120"/>
      <c r="H129" s="120"/>
      <c r="I129" s="120"/>
      <c r="J129" s="120"/>
      <c r="K129" s="120"/>
      <c r="L129" s="120"/>
      <c r="M129" s="120"/>
      <c r="N129" s="101"/>
    </row>
    <row r="130" spans="1:14" s="111" customFormat="1" x14ac:dyDescent="0.2">
      <c r="A130" s="112"/>
      <c r="B130" s="113" t="s">
        <v>263</v>
      </c>
      <c r="C130" s="113"/>
      <c r="D130" s="113"/>
      <c r="E130" s="114"/>
      <c r="F130" s="114"/>
      <c r="G130" s="114"/>
      <c r="H130" s="114"/>
      <c r="I130" s="114"/>
      <c r="J130" s="127" t="s">
        <v>219</v>
      </c>
      <c r="K130" s="126" t="s">
        <v>279</v>
      </c>
      <c r="L130" s="126" t="s">
        <v>74</v>
      </c>
      <c r="M130" s="126"/>
      <c r="N130" s="126"/>
    </row>
    <row r="131" spans="1:14" s="111" customFormat="1" ht="13.5" thickBot="1" x14ac:dyDescent="0.25">
      <c r="A131" s="121"/>
      <c r="B131" s="122"/>
      <c r="C131" s="122"/>
      <c r="D131" s="122"/>
      <c r="E131" s="123"/>
      <c r="F131" s="123"/>
      <c r="G131" s="123"/>
      <c r="H131" s="123"/>
      <c r="I131" s="123"/>
      <c r="J131" s="125" t="s">
        <v>72</v>
      </c>
      <c r="K131" s="105" t="s">
        <v>73</v>
      </c>
      <c r="L131" s="105" t="s">
        <v>398</v>
      </c>
      <c r="M131" s="105" t="s">
        <v>437</v>
      </c>
      <c r="N131" s="105"/>
    </row>
    <row r="132" spans="1:14" s="111" customFormat="1" x14ac:dyDescent="0.2">
      <c r="A132" s="112"/>
      <c r="B132" s="467" t="s">
        <v>67</v>
      </c>
      <c r="C132" s="467"/>
      <c r="D132" s="467"/>
      <c r="E132" s="114"/>
      <c r="F132" s="114" t="s">
        <v>1180</v>
      </c>
      <c r="G132" s="114" t="s">
        <v>68</v>
      </c>
      <c r="H132" s="114" t="s">
        <v>702</v>
      </c>
      <c r="I132" s="114"/>
      <c r="J132" s="100">
        <f>35.5/ATHENS!O1*ATHENS!O2</f>
        <v>64.545454545454547</v>
      </c>
      <c r="K132" s="100">
        <f>46.5/ATHENS!O1*ATHENS!O2</f>
        <v>84.545454545454533</v>
      </c>
      <c r="L132" s="100">
        <f>63.7/ATHENS!O1*ATHENS!O2</f>
        <v>115.81818181818181</v>
      </c>
      <c r="M132" s="100">
        <f>95.5/ATHENS!O1*ATHENS!O2</f>
        <v>173.63636363636363</v>
      </c>
      <c r="N132" s="126"/>
    </row>
    <row r="133" spans="1:14" s="111" customFormat="1" x14ac:dyDescent="0.2">
      <c r="A133" s="116"/>
      <c r="B133" s="461" t="s">
        <v>67</v>
      </c>
      <c r="C133" s="461"/>
      <c r="D133" s="461"/>
      <c r="E133" s="120"/>
      <c r="F133" s="120" t="s">
        <v>1181</v>
      </c>
      <c r="G133" s="120" t="s">
        <v>68</v>
      </c>
      <c r="H133" s="120" t="s">
        <v>702</v>
      </c>
      <c r="I133" s="120"/>
      <c r="J133" s="100">
        <f>21.7/ATHENS!O1*ATHENS!O2</f>
        <v>39.454545454545453</v>
      </c>
      <c r="K133" s="100">
        <f>30.6/ATHENS!O1*ATHENS!O2</f>
        <v>55.636363636363633</v>
      </c>
      <c r="L133" s="100">
        <f>37.5/ATHENS!O1*ATHENS!O2</f>
        <v>68.181818181818173</v>
      </c>
      <c r="M133" s="100">
        <f>53.5/ATHENS!O1*ATHENS!O2</f>
        <v>97.272727272727266</v>
      </c>
      <c r="N133" s="100"/>
    </row>
    <row r="134" spans="1:14" s="111" customFormat="1" ht="13.5" thickBot="1" x14ac:dyDescent="0.25">
      <c r="A134" s="121"/>
      <c r="B134" s="460" t="s">
        <v>67</v>
      </c>
      <c r="C134" s="460"/>
      <c r="D134" s="460"/>
      <c r="E134" s="123"/>
      <c r="F134" s="123" t="s">
        <v>1182</v>
      </c>
      <c r="G134" s="123" t="s">
        <v>68</v>
      </c>
      <c r="H134" s="123" t="s">
        <v>702</v>
      </c>
      <c r="I134" s="123"/>
      <c r="J134" s="105">
        <f>19.5/ATHENS!O1*ATHENS!O2</f>
        <v>35.454545454545453</v>
      </c>
      <c r="K134" s="105">
        <f>25.93/ATHENS!O1*ATHENS!O2</f>
        <v>47.145454545454541</v>
      </c>
      <c r="L134" s="105">
        <f>31.5/ATHENS!O1*ATHENS!O2</f>
        <v>57.272727272727266</v>
      </c>
      <c r="M134" s="105">
        <f>45/ATHENS!O1*ATHENS!O2</f>
        <v>81.818181818181813</v>
      </c>
      <c r="N134" s="105"/>
    </row>
    <row r="135" spans="1:14" s="111" customFormat="1" x14ac:dyDescent="0.2">
      <c r="A135" s="239"/>
      <c r="B135" s="119"/>
      <c r="C135" s="119"/>
      <c r="D135" s="119"/>
      <c r="E135" s="120"/>
      <c r="F135" s="120"/>
      <c r="G135" s="120"/>
      <c r="H135" s="120"/>
      <c r="I135" s="120"/>
      <c r="J135" s="120"/>
      <c r="K135" s="120"/>
      <c r="L135" s="120"/>
      <c r="M135" s="120"/>
      <c r="N135" s="120"/>
    </row>
    <row r="136" spans="1:14" s="111" customFormat="1" x14ac:dyDescent="0.2">
      <c r="A136" s="239"/>
      <c r="B136" s="119"/>
      <c r="C136" s="119"/>
      <c r="D136" s="119"/>
      <c r="E136" s="120"/>
      <c r="F136" s="120"/>
      <c r="G136" s="120"/>
      <c r="H136" s="120"/>
      <c r="I136" s="120"/>
      <c r="J136" s="120"/>
      <c r="K136" s="120"/>
      <c r="L136" s="120"/>
      <c r="M136" s="120"/>
      <c r="N136" s="120"/>
    </row>
    <row r="137" spans="1:14" s="111" customFormat="1" x14ac:dyDescent="0.2">
      <c r="A137" s="239"/>
      <c r="B137" s="119"/>
      <c r="C137" s="119"/>
      <c r="D137" s="119"/>
      <c r="E137" s="120"/>
      <c r="F137" s="120"/>
      <c r="G137" s="120"/>
      <c r="H137" s="120"/>
      <c r="I137" s="120"/>
      <c r="J137" s="120"/>
      <c r="K137" s="120"/>
      <c r="L137" s="120"/>
      <c r="M137" s="120"/>
      <c r="N137" s="120"/>
    </row>
    <row r="138" spans="1:14" s="111" customFormat="1" x14ac:dyDescent="0.2">
      <c r="A138" s="239"/>
      <c r="B138" s="119"/>
      <c r="C138" s="119"/>
      <c r="D138" s="119"/>
      <c r="E138" s="120"/>
      <c r="F138" s="120"/>
      <c r="G138" s="120"/>
      <c r="H138" s="120"/>
      <c r="I138" s="120"/>
      <c r="J138" s="120"/>
      <c r="K138" s="120"/>
      <c r="L138" s="120"/>
      <c r="M138" s="120"/>
      <c r="N138" s="120"/>
    </row>
    <row r="139" spans="1:14" s="111" customFormat="1" x14ac:dyDescent="0.2">
      <c r="A139" s="239"/>
      <c r="B139" s="119"/>
      <c r="C139" s="119"/>
      <c r="D139" s="119"/>
      <c r="E139" s="120"/>
      <c r="F139" s="120"/>
      <c r="G139" s="120"/>
      <c r="H139" s="120"/>
      <c r="I139" s="120"/>
      <c r="J139" s="120"/>
      <c r="K139" s="120"/>
      <c r="L139" s="120"/>
      <c r="M139" s="120"/>
      <c r="N139" s="120"/>
    </row>
    <row r="140" spans="1:14" s="111" customFormat="1" x14ac:dyDescent="0.2">
      <c r="A140" s="239"/>
      <c r="B140" s="119"/>
      <c r="C140" s="119"/>
      <c r="D140" s="119"/>
      <c r="E140" s="120"/>
      <c r="F140" s="120"/>
      <c r="G140" s="120"/>
      <c r="H140" s="120"/>
      <c r="I140" s="120"/>
      <c r="J140" s="120"/>
      <c r="K140" s="120"/>
      <c r="L140" s="120"/>
      <c r="M140" s="120"/>
      <c r="N140" s="120"/>
    </row>
    <row r="141" spans="1:14" s="111" customFormat="1" x14ac:dyDescent="0.2">
      <c r="A141" s="239"/>
      <c r="B141" s="119"/>
      <c r="C141" s="119"/>
      <c r="D141" s="119"/>
      <c r="E141" s="120"/>
      <c r="F141" s="120"/>
      <c r="G141" s="120"/>
      <c r="H141" s="120"/>
      <c r="I141" s="120"/>
      <c r="J141" s="120"/>
      <c r="K141" s="120"/>
      <c r="L141" s="120"/>
      <c r="M141" s="120"/>
      <c r="N141" s="120"/>
    </row>
    <row r="142" spans="1:14" s="111" customFormat="1" x14ac:dyDescent="0.2">
      <c r="A142" s="239"/>
      <c r="B142" s="119"/>
      <c r="C142" s="119"/>
      <c r="D142" s="119"/>
      <c r="E142" s="120"/>
      <c r="F142" s="120"/>
      <c r="G142" s="120"/>
      <c r="H142" s="120"/>
      <c r="I142" s="120"/>
      <c r="J142" s="120"/>
      <c r="K142" s="120"/>
      <c r="L142" s="120"/>
      <c r="M142" s="120"/>
      <c r="N142" s="120"/>
    </row>
    <row r="143" spans="1:14" s="111" customFormat="1" x14ac:dyDescent="0.2">
      <c r="A143" s="239"/>
      <c r="B143" s="119"/>
      <c r="C143" s="119"/>
      <c r="D143" s="119"/>
      <c r="E143" s="120"/>
      <c r="F143" s="120"/>
      <c r="G143" s="120"/>
      <c r="H143" s="120"/>
      <c r="I143" s="120"/>
      <c r="J143" s="120"/>
      <c r="K143" s="120"/>
      <c r="L143" s="120"/>
      <c r="M143" s="120"/>
      <c r="N143" s="120"/>
    </row>
    <row r="144" spans="1:14" s="111" customFormat="1" x14ac:dyDescent="0.2">
      <c r="A144" s="239"/>
      <c r="B144" s="119"/>
      <c r="C144" s="119"/>
      <c r="D144" s="119"/>
      <c r="E144" s="120"/>
      <c r="F144" s="120"/>
      <c r="G144" s="120"/>
      <c r="H144" s="120"/>
      <c r="I144" s="120"/>
      <c r="J144" s="120"/>
      <c r="K144" s="120"/>
      <c r="L144" s="120"/>
      <c r="M144" s="120"/>
      <c r="N144" s="120"/>
    </row>
    <row r="145" spans="1:14" s="111" customFormat="1" x14ac:dyDescent="0.2">
      <c r="A145" s="239"/>
      <c r="B145" s="119"/>
      <c r="C145" s="119"/>
      <c r="D145" s="119"/>
      <c r="E145" s="120"/>
      <c r="F145" s="120"/>
      <c r="G145" s="120"/>
      <c r="H145" s="120"/>
      <c r="I145" s="120"/>
      <c r="J145" s="120"/>
      <c r="K145" s="120"/>
      <c r="L145" s="120"/>
      <c r="M145" s="120"/>
      <c r="N145" s="120"/>
    </row>
    <row r="146" spans="1:14" s="111" customFormat="1" x14ac:dyDescent="0.2">
      <c r="A146" s="239"/>
      <c r="B146" s="119"/>
      <c r="C146" s="119"/>
      <c r="D146" s="119"/>
      <c r="E146" s="120"/>
      <c r="F146" s="120"/>
      <c r="G146" s="120"/>
      <c r="H146" s="120"/>
      <c r="I146" s="120"/>
      <c r="J146" s="120"/>
      <c r="K146" s="120"/>
      <c r="L146" s="120"/>
      <c r="M146" s="120"/>
      <c r="N146" s="120"/>
    </row>
    <row r="147" spans="1:14" s="111" customFormat="1" x14ac:dyDescent="0.2">
      <c r="A147" s="239"/>
      <c r="B147" s="119"/>
      <c r="C147" s="119"/>
      <c r="D147" s="119"/>
      <c r="E147" s="120"/>
      <c r="F147" s="120"/>
      <c r="G147" s="120"/>
      <c r="H147" s="120"/>
      <c r="I147" s="120"/>
      <c r="J147" s="120"/>
      <c r="K147" s="120"/>
      <c r="L147" s="120"/>
      <c r="M147" s="120"/>
      <c r="N147" s="120"/>
    </row>
    <row r="148" spans="1:14" s="111" customFormat="1" x14ac:dyDescent="0.2">
      <c r="A148" s="239"/>
      <c r="B148" s="119"/>
      <c r="C148" s="119"/>
      <c r="D148" s="119"/>
      <c r="E148" s="120"/>
      <c r="F148" s="120"/>
      <c r="G148" s="120"/>
      <c r="H148" s="120"/>
      <c r="I148" s="120"/>
      <c r="J148" s="120"/>
      <c r="K148" s="120"/>
      <c r="L148" s="120"/>
      <c r="M148" s="120"/>
      <c r="N148" s="120"/>
    </row>
    <row r="149" spans="1:14" s="111" customFormat="1" x14ac:dyDescent="0.2">
      <c r="A149" s="239"/>
      <c r="B149" s="119"/>
      <c r="C149" s="119"/>
      <c r="D149" s="119"/>
      <c r="E149" s="120"/>
      <c r="F149" s="120"/>
      <c r="G149" s="120"/>
      <c r="H149" s="120"/>
      <c r="I149" s="120"/>
      <c r="J149" s="120"/>
      <c r="K149" s="120"/>
      <c r="L149" s="120"/>
      <c r="M149" s="120"/>
      <c r="N149" s="120"/>
    </row>
    <row r="150" spans="1:14" s="111" customFormat="1" ht="13.5" thickBot="1" x14ac:dyDescent="0.25">
      <c r="A150" s="239"/>
      <c r="B150" s="119"/>
      <c r="C150" s="119"/>
      <c r="D150" s="119"/>
      <c r="E150" s="120"/>
      <c r="F150" s="120"/>
      <c r="G150" s="120"/>
      <c r="H150" s="120"/>
      <c r="I150" s="120"/>
      <c r="J150" s="120"/>
      <c r="K150" s="120"/>
      <c r="L150" s="120"/>
      <c r="M150" s="120"/>
      <c r="N150" s="120"/>
    </row>
    <row r="151" spans="1:14" s="111" customFormat="1" x14ac:dyDescent="0.2">
      <c r="A151" s="20"/>
      <c r="B151" s="21"/>
      <c r="C151" s="21"/>
      <c r="D151" s="21"/>
      <c r="E151" s="22"/>
      <c r="F151" s="22"/>
      <c r="G151" s="22"/>
      <c r="H151" s="22"/>
      <c r="I151" s="22"/>
      <c r="J151" s="22"/>
      <c r="K151" s="22"/>
      <c r="L151" s="22"/>
      <c r="M151" s="22"/>
      <c r="N151" s="23"/>
    </row>
    <row r="152" spans="1:14" s="111" customFormat="1" ht="15" x14ac:dyDescent="0.2">
      <c r="A152" s="24"/>
      <c r="B152" s="440" t="s">
        <v>1707</v>
      </c>
      <c r="C152" s="441"/>
      <c r="D152" s="441"/>
      <c r="E152" s="441"/>
      <c r="F152" s="441"/>
      <c r="G152" s="441"/>
      <c r="H152" s="441"/>
      <c r="I152" s="441"/>
      <c r="J152" s="441"/>
      <c r="K152" s="441"/>
      <c r="L152" s="441"/>
      <c r="M152" s="442"/>
      <c r="N152" s="25" t="s">
        <v>664</v>
      </c>
    </row>
    <row r="153" spans="1:14" s="111" customFormat="1" x14ac:dyDescent="0.2">
      <c r="A153" s="24"/>
      <c r="B153" s="26" t="s">
        <v>428</v>
      </c>
      <c r="C153" s="27"/>
      <c r="D153" s="27"/>
      <c r="E153" s="28"/>
      <c r="F153" s="28"/>
      <c r="G153" s="28"/>
      <c r="H153" s="28"/>
      <c r="I153" s="28"/>
      <c r="J153" s="28"/>
      <c r="K153" s="28"/>
      <c r="L153" s="28"/>
      <c r="M153" s="28"/>
      <c r="N153" s="29"/>
    </row>
    <row r="154" spans="1:14" s="111" customFormat="1" x14ac:dyDescent="0.2">
      <c r="A154" s="24"/>
      <c r="B154" s="26" t="s">
        <v>429</v>
      </c>
      <c r="C154" s="27" t="s">
        <v>1673</v>
      </c>
      <c r="D154" s="27"/>
      <c r="E154" s="28"/>
      <c r="F154" s="28"/>
      <c r="G154" s="28"/>
      <c r="H154" s="28"/>
      <c r="I154" s="28"/>
      <c r="J154" s="28"/>
      <c r="K154" s="28"/>
      <c r="L154" s="28"/>
      <c r="M154" s="28"/>
      <c r="N154" s="29"/>
    </row>
    <row r="155" spans="1:14" s="111" customFormat="1" x14ac:dyDescent="0.2">
      <c r="A155" s="24"/>
      <c r="B155" s="26" t="s">
        <v>427</v>
      </c>
      <c r="C155" s="436" t="s">
        <v>1721</v>
      </c>
      <c r="D155" s="436"/>
      <c r="E155" s="436"/>
      <c r="F155" s="436"/>
      <c r="G155" s="436"/>
      <c r="H155" s="436"/>
      <c r="I155" s="436"/>
      <c r="J155" s="436"/>
      <c r="K155" s="436"/>
      <c r="L155" s="436"/>
      <c r="M155" s="436"/>
      <c r="N155" s="437"/>
    </row>
    <row r="156" spans="1:14" s="111" customFormat="1" x14ac:dyDescent="0.2">
      <c r="A156" s="24"/>
      <c r="B156" s="27"/>
      <c r="C156" s="436"/>
      <c r="D156" s="436"/>
      <c r="E156" s="436"/>
      <c r="F156" s="436"/>
      <c r="G156" s="436"/>
      <c r="H156" s="436"/>
      <c r="I156" s="436"/>
      <c r="J156" s="436"/>
      <c r="K156" s="436"/>
      <c r="L156" s="436"/>
      <c r="M156" s="436"/>
      <c r="N156" s="437"/>
    </row>
    <row r="157" spans="1:14" s="111" customFormat="1" x14ac:dyDescent="0.2">
      <c r="A157" s="24"/>
      <c r="B157" s="26" t="s">
        <v>426</v>
      </c>
      <c r="C157" s="27"/>
      <c r="D157" s="27"/>
      <c r="E157" s="28"/>
      <c r="F157" s="28"/>
      <c r="G157" s="28"/>
      <c r="H157" s="28"/>
      <c r="I157" s="28"/>
      <c r="J157" s="28"/>
      <c r="K157" s="28"/>
      <c r="L157" s="28"/>
      <c r="M157" s="28"/>
      <c r="N157" s="29"/>
    </row>
    <row r="158" spans="1:14" s="111" customFormat="1" ht="13.5" thickBot="1" x14ac:dyDescent="0.25">
      <c r="A158" s="30"/>
      <c r="B158" s="26" t="s">
        <v>430</v>
      </c>
      <c r="C158" s="31"/>
      <c r="D158" s="31"/>
      <c r="E158" s="32"/>
      <c r="F158" s="32"/>
      <c r="G158" s="32"/>
      <c r="H158" s="32"/>
      <c r="I158" s="32"/>
      <c r="J158" s="32"/>
      <c r="K158" s="32"/>
      <c r="L158" s="32"/>
      <c r="M158" s="32"/>
      <c r="N158" s="33"/>
    </row>
    <row r="159" spans="1:14" s="111" customFormat="1" x14ac:dyDescent="0.2">
      <c r="A159" s="24"/>
      <c r="B159" s="21" t="s">
        <v>263</v>
      </c>
      <c r="C159" s="27"/>
      <c r="D159" s="27"/>
      <c r="E159" s="28"/>
      <c r="F159" s="28"/>
      <c r="G159" s="28"/>
      <c r="H159" s="28"/>
      <c r="I159" s="28"/>
      <c r="J159" s="67" t="s">
        <v>339</v>
      </c>
      <c r="K159" s="63" t="s">
        <v>279</v>
      </c>
      <c r="L159" s="63" t="s">
        <v>770</v>
      </c>
      <c r="M159" s="63"/>
      <c r="N159" s="63"/>
    </row>
    <row r="160" spans="1:14" s="111" customFormat="1" ht="13.5" thickBot="1" x14ac:dyDescent="0.25">
      <c r="A160" s="30"/>
      <c r="B160" s="31"/>
      <c r="C160" s="31"/>
      <c r="D160" s="31"/>
      <c r="E160" s="32"/>
      <c r="F160" s="32"/>
      <c r="G160" s="32"/>
      <c r="H160" s="32"/>
      <c r="I160" s="32"/>
      <c r="J160" s="49" t="s">
        <v>481</v>
      </c>
      <c r="K160" s="40" t="s">
        <v>832</v>
      </c>
      <c r="L160" s="40" t="s">
        <v>1386</v>
      </c>
      <c r="M160" s="40" t="s">
        <v>1829</v>
      </c>
      <c r="N160" s="40"/>
    </row>
    <row r="161" spans="1:14" s="111" customFormat="1" x14ac:dyDescent="0.2">
      <c r="A161" s="20"/>
      <c r="B161" s="434" t="s">
        <v>67</v>
      </c>
      <c r="C161" s="434"/>
      <c r="D161" s="434"/>
      <c r="E161" s="22"/>
      <c r="F161" s="22" t="s">
        <v>1180</v>
      </c>
      <c r="G161" s="22" t="s">
        <v>68</v>
      </c>
      <c r="H161" s="22" t="s">
        <v>702</v>
      </c>
      <c r="I161" s="28"/>
      <c r="J161" s="75">
        <f>27/ATHENS!O1*ATHENS!O2</f>
        <v>49.090909090909086</v>
      </c>
      <c r="K161" s="75">
        <f>33/ATHENS!O1*ATHENS!O2</f>
        <v>59.999999999999993</v>
      </c>
      <c r="L161" s="44">
        <f>45/ATHENS!O1*ATHENS!O2</f>
        <v>81.818181818181813</v>
      </c>
      <c r="M161" s="42">
        <f>62/ATHENS!O1*ATHENS!O2</f>
        <v>112.72727272727272</v>
      </c>
      <c r="N161" s="42"/>
    </row>
    <row r="162" spans="1:14" s="111" customFormat="1" x14ac:dyDescent="0.2">
      <c r="A162" s="24"/>
      <c r="B162" s="435" t="s">
        <v>67</v>
      </c>
      <c r="C162" s="435"/>
      <c r="D162" s="435"/>
      <c r="E162" s="28"/>
      <c r="F162" s="28" t="s">
        <v>1181</v>
      </c>
      <c r="G162" s="28" t="s">
        <v>68</v>
      </c>
      <c r="H162" s="28" t="s">
        <v>702</v>
      </c>
      <c r="I162" s="28"/>
      <c r="J162" s="75">
        <f>18/ATHENS!O1*ATHENS!O2</f>
        <v>32.727272727272727</v>
      </c>
      <c r="K162" s="75">
        <f>21/ATHENS!O1*ATHENS!O2</f>
        <v>38.18181818181818</v>
      </c>
      <c r="L162" s="44">
        <f>29/ATHENS!O1*ATHENS!O2</f>
        <v>52.72727272727272</v>
      </c>
      <c r="M162" s="44">
        <f>39/ATHENS!O1*ATHENS!O2</f>
        <v>70.909090909090907</v>
      </c>
      <c r="N162" s="44"/>
    </row>
    <row r="163" spans="1:14" s="111" customFormat="1" x14ac:dyDescent="0.2">
      <c r="A163" s="24"/>
      <c r="B163" s="68" t="s">
        <v>67</v>
      </c>
      <c r="C163" s="27"/>
      <c r="D163" s="27"/>
      <c r="E163" s="28"/>
      <c r="F163" s="28" t="s">
        <v>1182</v>
      </c>
      <c r="G163" s="28" t="s">
        <v>68</v>
      </c>
      <c r="H163" s="28" t="s">
        <v>702</v>
      </c>
      <c r="I163" s="28"/>
      <c r="J163" s="75">
        <f>16.5/ATHENS!O1*ATHENS!O2</f>
        <v>29.999999999999996</v>
      </c>
      <c r="K163" s="75">
        <f>21/ATHENS!O1*ATHENS!O2</f>
        <v>38.18181818181818</v>
      </c>
      <c r="L163" s="44">
        <f>25/ATHENS!O1*ATHENS!O2</f>
        <v>45.454545454545453</v>
      </c>
      <c r="M163" s="44">
        <f>35/ATHENS!O1*ATHENS!O2</f>
        <v>63.636363636363633</v>
      </c>
      <c r="N163" s="44"/>
    </row>
    <row r="164" spans="1:14" s="111" customFormat="1" ht="13.5" thickBot="1" x14ac:dyDescent="0.25">
      <c r="A164" s="30"/>
      <c r="B164" s="443" t="s">
        <v>902</v>
      </c>
      <c r="C164" s="443"/>
      <c r="D164" s="443"/>
      <c r="E164" s="32"/>
      <c r="F164" s="89"/>
      <c r="G164" s="89"/>
      <c r="H164" s="32" t="s">
        <v>702</v>
      </c>
      <c r="I164" s="32"/>
      <c r="J164" s="76">
        <f>12/ATHENS!O1*ATHENS!O2</f>
        <v>21.818181818181817</v>
      </c>
      <c r="K164" s="76">
        <f>12/ATHENS!O1*ATHENS!O2</f>
        <v>21.818181818181817</v>
      </c>
      <c r="L164" s="46">
        <f>12/ATHENS!O1*ATHENS!O2</f>
        <v>21.818181818181817</v>
      </c>
      <c r="M164" s="46">
        <f>12/ATHENS!O1*ATHENS!O2</f>
        <v>21.818181818181817</v>
      </c>
      <c r="N164" s="46"/>
    </row>
    <row r="165" spans="1:14" s="111" customFormat="1" x14ac:dyDescent="0.2">
      <c r="A165" s="239"/>
      <c r="B165" s="119"/>
      <c r="C165" s="119"/>
      <c r="D165" s="119"/>
      <c r="E165" s="120"/>
      <c r="F165" s="120"/>
      <c r="G165" s="120"/>
      <c r="H165" s="120"/>
      <c r="I165" s="120"/>
      <c r="J165" s="120"/>
      <c r="K165" s="120"/>
      <c r="L165" s="120"/>
      <c r="M165" s="120"/>
      <c r="N165" s="120"/>
    </row>
    <row r="166" spans="1:14" s="111" customFormat="1" ht="13.5" thickBot="1" x14ac:dyDescent="0.25">
      <c r="A166" s="239"/>
      <c r="B166" s="119"/>
      <c r="C166" s="119"/>
      <c r="D166" s="119"/>
      <c r="E166" s="120"/>
      <c r="F166" s="120"/>
      <c r="G166" s="120"/>
      <c r="H166" s="120"/>
      <c r="I166" s="120"/>
      <c r="J166" s="120"/>
      <c r="K166" s="120"/>
      <c r="L166" s="120"/>
      <c r="M166" s="120"/>
      <c r="N166" s="120"/>
    </row>
    <row r="167" spans="1:14" s="111" customFormat="1" x14ac:dyDescent="0.2">
      <c r="A167" s="20"/>
      <c r="B167" s="21"/>
      <c r="C167" s="21"/>
      <c r="D167" s="21"/>
      <c r="E167" s="22"/>
      <c r="F167" s="22"/>
      <c r="G167" s="22"/>
      <c r="H167" s="22"/>
      <c r="I167" s="22"/>
      <c r="J167" s="22"/>
      <c r="K167" s="22"/>
      <c r="L167" s="22"/>
      <c r="M167" s="22"/>
      <c r="N167" s="23"/>
    </row>
    <row r="168" spans="1:14" s="111" customFormat="1" ht="15" x14ac:dyDescent="0.2">
      <c r="A168" s="24"/>
      <c r="B168" s="440" t="s">
        <v>1708</v>
      </c>
      <c r="C168" s="441"/>
      <c r="D168" s="441"/>
      <c r="E168" s="441"/>
      <c r="F168" s="441"/>
      <c r="G168" s="441"/>
      <c r="H168" s="441"/>
      <c r="I168" s="441"/>
      <c r="J168" s="441"/>
      <c r="K168" s="441"/>
      <c r="L168" s="441"/>
      <c r="M168" s="442"/>
      <c r="N168" s="25" t="s">
        <v>664</v>
      </c>
    </row>
    <row r="169" spans="1:14" s="111" customFormat="1" x14ac:dyDescent="0.2">
      <c r="A169" s="24"/>
      <c r="B169" s="26" t="s">
        <v>428</v>
      </c>
      <c r="C169" s="27" t="s">
        <v>1722</v>
      </c>
      <c r="D169" s="27"/>
      <c r="E169" s="28"/>
      <c r="F169" s="28"/>
      <c r="G169" s="28"/>
      <c r="H169" s="28"/>
      <c r="I169" s="28"/>
      <c r="J169" s="28"/>
      <c r="K169" s="28"/>
      <c r="L169" s="28"/>
      <c r="M169" s="28"/>
      <c r="N169" s="29"/>
    </row>
    <row r="170" spans="1:14" s="111" customFormat="1" x14ac:dyDescent="0.2">
      <c r="A170" s="24"/>
      <c r="B170" s="26" t="s">
        <v>429</v>
      </c>
      <c r="C170" s="27" t="s">
        <v>1673</v>
      </c>
      <c r="D170" s="27"/>
      <c r="E170" s="28"/>
      <c r="F170" s="28"/>
      <c r="G170" s="28"/>
      <c r="H170" s="28"/>
      <c r="I170" s="28"/>
      <c r="J170" s="28"/>
      <c r="K170" s="28"/>
      <c r="L170" s="28"/>
      <c r="M170" s="28"/>
      <c r="N170" s="29"/>
    </row>
    <row r="171" spans="1:14" s="111" customFormat="1" x14ac:dyDescent="0.2">
      <c r="A171" s="24"/>
      <c r="B171" s="26" t="s">
        <v>427</v>
      </c>
      <c r="C171" s="436" t="s">
        <v>1723</v>
      </c>
      <c r="D171" s="436"/>
      <c r="E171" s="436"/>
      <c r="F171" s="436"/>
      <c r="G171" s="436"/>
      <c r="H171" s="436"/>
      <c r="I171" s="436"/>
      <c r="J171" s="436"/>
      <c r="K171" s="436"/>
      <c r="L171" s="436"/>
      <c r="M171" s="436"/>
      <c r="N171" s="437"/>
    </row>
    <row r="172" spans="1:14" s="111" customFormat="1" x14ac:dyDescent="0.2">
      <c r="A172" s="24"/>
      <c r="B172" s="27"/>
      <c r="C172" s="436"/>
      <c r="D172" s="436"/>
      <c r="E172" s="436"/>
      <c r="F172" s="436"/>
      <c r="G172" s="436"/>
      <c r="H172" s="436"/>
      <c r="I172" s="436"/>
      <c r="J172" s="436"/>
      <c r="K172" s="436"/>
      <c r="L172" s="436"/>
      <c r="M172" s="436"/>
      <c r="N172" s="437"/>
    </row>
    <row r="173" spans="1:14" s="111" customFormat="1" x14ac:dyDescent="0.2">
      <c r="A173" s="24"/>
      <c r="B173" s="26" t="s">
        <v>426</v>
      </c>
      <c r="C173" s="27" t="s">
        <v>1722</v>
      </c>
      <c r="D173" s="27"/>
      <c r="E173" s="28"/>
      <c r="F173" s="28"/>
      <c r="G173" s="28"/>
      <c r="H173" s="28"/>
      <c r="I173" s="28"/>
      <c r="J173" s="28"/>
      <c r="K173" s="28"/>
      <c r="L173" s="28"/>
      <c r="M173" s="28"/>
      <c r="N173" s="29"/>
    </row>
    <row r="174" spans="1:14" s="111" customFormat="1" ht="13.5" thickBot="1" x14ac:dyDescent="0.25">
      <c r="A174" s="30"/>
      <c r="B174" s="26" t="s">
        <v>430</v>
      </c>
      <c r="C174" s="31"/>
      <c r="D174" s="31"/>
      <c r="E174" s="32"/>
      <c r="F174" s="32"/>
      <c r="G174" s="32"/>
      <c r="H174" s="32"/>
      <c r="I174" s="32"/>
      <c r="J174" s="32"/>
      <c r="K174" s="32"/>
      <c r="L174" s="32"/>
      <c r="M174" s="32"/>
      <c r="N174" s="33"/>
    </row>
    <row r="175" spans="1:14" s="111" customFormat="1" x14ac:dyDescent="0.2">
      <c r="A175" s="24"/>
      <c r="B175" s="21" t="s">
        <v>263</v>
      </c>
      <c r="C175" s="27"/>
      <c r="D175" s="27"/>
      <c r="E175" s="28"/>
      <c r="F175" s="28"/>
      <c r="G175" s="28"/>
      <c r="H175" s="28"/>
      <c r="I175" s="28"/>
      <c r="J175" s="67"/>
      <c r="K175" s="63"/>
      <c r="L175" s="63"/>
      <c r="M175" s="63"/>
      <c r="N175" s="63"/>
    </row>
    <row r="176" spans="1:14" s="111" customFormat="1" ht="13.5" thickBot="1" x14ac:dyDescent="0.25">
      <c r="A176" s="30"/>
      <c r="B176" s="31"/>
      <c r="C176" s="31"/>
      <c r="D176" s="31"/>
      <c r="E176" s="32"/>
      <c r="F176" s="32"/>
      <c r="G176" s="32"/>
      <c r="H176" s="32"/>
      <c r="I176" s="32"/>
      <c r="J176" s="49" t="s">
        <v>229</v>
      </c>
      <c r="K176" s="40"/>
      <c r="L176" s="40"/>
      <c r="M176" s="40"/>
      <c r="N176" s="40"/>
    </row>
    <row r="177" spans="1:14" s="111" customFormat="1" x14ac:dyDescent="0.2">
      <c r="A177" s="20"/>
      <c r="B177" s="434" t="s">
        <v>67</v>
      </c>
      <c r="C177" s="434"/>
      <c r="D177" s="434"/>
      <c r="E177" s="22"/>
      <c r="F177" s="22" t="s">
        <v>1180</v>
      </c>
      <c r="G177" s="22" t="s">
        <v>68</v>
      </c>
      <c r="H177" s="22" t="s">
        <v>702</v>
      </c>
      <c r="I177" s="28"/>
      <c r="J177" s="75">
        <f>40/ATHENS!O1*ATHENS!O2</f>
        <v>72.72727272727272</v>
      </c>
      <c r="K177" s="75"/>
      <c r="L177" s="44"/>
      <c r="M177" s="42"/>
      <c r="N177" s="42"/>
    </row>
    <row r="178" spans="1:14" s="111" customFormat="1" x14ac:dyDescent="0.2">
      <c r="A178" s="24"/>
      <c r="B178" s="435" t="s">
        <v>67</v>
      </c>
      <c r="C178" s="435"/>
      <c r="D178" s="435"/>
      <c r="E178" s="28"/>
      <c r="F178" s="28" t="s">
        <v>1181</v>
      </c>
      <c r="G178" s="28" t="s">
        <v>68</v>
      </c>
      <c r="H178" s="28" t="s">
        <v>702</v>
      </c>
      <c r="I178" s="28"/>
      <c r="J178" s="75">
        <f>25/ATHENS!O1*ATHENS!O2</f>
        <v>45.454545454545453</v>
      </c>
      <c r="K178" s="75"/>
      <c r="L178" s="44"/>
      <c r="M178" s="44"/>
      <c r="N178" s="44"/>
    </row>
    <row r="179" spans="1:14" s="111" customFormat="1" x14ac:dyDescent="0.2">
      <c r="A179" s="24"/>
      <c r="B179" s="68" t="s">
        <v>67</v>
      </c>
      <c r="C179" s="27"/>
      <c r="D179" s="27"/>
      <c r="E179" s="28"/>
      <c r="F179" s="28" t="s">
        <v>1182</v>
      </c>
      <c r="G179" s="28" t="s">
        <v>68</v>
      </c>
      <c r="H179" s="28" t="s">
        <v>702</v>
      </c>
      <c r="I179" s="28"/>
      <c r="J179" s="75">
        <f>23.5/ATHENS!O1*ATHENS!O2</f>
        <v>42.727272727272727</v>
      </c>
      <c r="K179" s="75"/>
      <c r="L179" s="44"/>
      <c r="M179" s="44"/>
      <c r="N179" s="44"/>
    </row>
    <row r="180" spans="1:14" s="111" customFormat="1" ht="13.5" thickBot="1" x14ac:dyDescent="0.25">
      <c r="A180" s="30"/>
      <c r="B180" s="443"/>
      <c r="C180" s="443"/>
      <c r="D180" s="443"/>
      <c r="E180" s="32"/>
      <c r="F180" s="89"/>
      <c r="G180" s="89"/>
      <c r="H180" s="32"/>
      <c r="I180" s="32"/>
      <c r="J180" s="76"/>
      <c r="K180" s="76"/>
      <c r="L180" s="46"/>
      <c r="M180" s="46"/>
      <c r="N180" s="46"/>
    </row>
    <row r="181" spans="1:14" s="111" customFormat="1" ht="13.5" thickBot="1" x14ac:dyDescent="0.25">
      <c r="A181" s="239"/>
      <c r="B181" s="119"/>
      <c r="C181" s="119"/>
      <c r="D181" s="119"/>
      <c r="E181" s="120"/>
      <c r="F181" s="120"/>
      <c r="G181" s="120"/>
      <c r="H181" s="120"/>
      <c r="I181" s="120"/>
      <c r="J181" s="120"/>
      <c r="K181" s="120"/>
      <c r="L181" s="120"/>
      <c r="M181" s="120"/>
      <c r="N181" s="120"/>
    </row>
    <row r="182" spans="1:14" s="111" customFormat="1" x14ac:dyDescent="0.2">
      <c r="A182" s="20"/>
      <c r="B182" s="21"/>
      <c r="C182" s="21"/>
      <c r="D182" s="21"/>
      <c r="E182" s="22"/>
      <c r="F182" s="22"/>
      <c r="G182" s="22"/>
      <c r="H182" s="22"/>
      <c r="I182" s="22"/>
      <c r="J182" s="22"/>
      <c r="K182" s="22"/>
      <c r="L182" s="22"/>
      <c r="M182" s="22"/>
      <c r="N182" s="23"/>
    </row>
    <row r="183" spans="1:14" s="111" customFormat="1" ht="15" x14ac:dyDescent="0.2">
      <c r="A183" s="24"/>
      <c r="B183" s="440" t="s">
        <v>1709</v>
      </c>
      <c r="C183" s="441"/>
      <c r="D183" s="441"/>
      <c r="E183" s="441"/>
      <c r="F183" s="441"/>
      <c r="G183" s="441"/>
      <c r="H183" s="441"/>
      <c r="I183" s="441"/>
      <c r="J183" s="441"/>
      <c r="K183" s="441"/>
      <c r="L183" s="441"/>
      <c r="M183" s="442"/>
      <c r="N183" s="25" t="s">
        <v>664</v>
      </c>
    </row>
    <row r="184" spans="1:14" s="111" customFormat="1" x14ac:dyDescent="0.2">
      <c r="A184" s="24"/>
      <c r="B184" s="26" t="s">
        <v>428</v>
      </c>
      <c r="C184" s="27" t="s">
        <v>1724</v>
      </c>
      <c r="D184" s="27"/>
      <c r="E184" s="28"/>
      <c r="F184" s="28"/>
      <c r="G184" s="28"/>
      <c r="H184" s="28"/>
      <c r="I184" s="28"/>
      <c r="J184" s="28"/>
      <c r="K184" s="28"/>
      <c r="L184" s="28"/>
      <c r="M184" s="28"/>
      <c r="N184" s="29"/>
    </row>
    <row r="185" spans="1:14" s="111" customFormat="1" x14ac:dyDescent="0.2">
      <c r="A185" s="24"/>
      <c r="B185" s="26" t="s">
        <v>429</v>
      </c>
      <c r="C185" s="27" t="s">
        <v>1673</v>
      </c>
      <c r="D185" s="27"/>
      <c r="E185" s="28"/>
      <c r="F185" s="28"/>
      <c r="G185" s="28"/>
      <c r="H185" s="28"/>
      <c r="I185" s="28"/>
      <c r="J185" s="28"/>
      <c r="K185" s="28"/>
      <c r="L185" s="28"/>
      <c r="M185" s="28"/>
      <c r="N185" s="29"/>
    </row>
    <row r="186" spans="1:14" s="111" customFormat="1" x14ac:dyDescent="0.2">
      <c r="A186" s="24"/>
      <c r="B186" s="26" t="s">
        <v>427</v>
      </c>
      <c r="C186" s="436" t="s">
        <v>1725</v>
      </c>
      <c r="D186" s="436"/>
      <c r="E186" s="436"/>
      <c r="F186" s="436"/>
      <c r="G186" s="436"/>
      <c r="H186" s="436"/>
      <c r="I186" s="436"/>
      <c r="J186" s="436"/>
      <c r="K186" s="436"/>
      <c r="L186" s="436"/>
      <c r="M186" s="436"/>
      <c r="N186" s="437"/>
    </row>
    <row r="187" spans="1:14" s="111" customFormat="1" x14ac:dyDescent="0.2">
      <c r="A187" s="24"/>
      <c r="B187" s="27"/>
      <c r="C187" s="436"/>
      <c r="D187" s="436"/>
      <c r="E187" s="436"/>
      <c r="F187" s="436"/>
      <c r="G187" s="436"/>
      <c r="H187" s="436"/>
      <c r="I187" s="436"/>
      <c r="J187" s="436"/>
      <c r="K187" s="436"/>
      <c r="L187" s="436"/>
      <c r="M187" s="436"/>
      <c r="N187" s="437"/>
    </row>
    <row r="188" spans="1:14" s="111" customFormat="1" x14ac:dyDescent="0.2">
      <c r="A188" s="24"/>
      <c r="B188" s="26" t="s">
        <v>426</v>
      </c>
      <c r="C188" s="27"/>
      <c r="D188" s="27"/>
      <c r="E188" s="28"/>
      <c r="F188" s="28"/>
      <c r="G188" s="28"/>
      <c r="H188" s="28"/>
      <c r="I188" s="28"/>
      <c r="J188" s="28"/>
      <c r="K188" s="28"/>
      <c r="L188" s="28"/>
      <c r="M188" s="28"/>
      <c r="N188" s="29"/>
    </row>
    <row r="189" spans="1:14" s="111" customFormat="1" ht="13.5" thickBot="1" x14ac:dyDescent="0.25">
      <c r="A189" s="30"/>
      <c r="B189" s="26" t="s">
        <v>430</v>
      </c>
      <c r="C189" s="31"/>
      <c r="D189" s="31"/>
      <c r="E189" s="32"/>
      <c r="F189" s="32"/>
      <c r="G189" s="32"/>
      <c r="H189" s="32"/>
      <c r="I189" s="32"/>
      <c r="J189" s="32"/>
      <c r="K189" s="32"/>
      <c r="L189" s="32"/>
      <c r="M189" s="32"/>
      <c r="N189" s="33"/>
    </row>
    <row r="190" spans="1:14" s="111" customFormat="1" x14ac:dyDescent="0.2">
      <c r="A190" s="24"/>
      <c r="B190" s="21" t="s">
        <v>263</v>
      </c>
      <c r="C190" s="27"/>
      <c r="D190" s="27"/>
      <c r="E190" s="28"/>
      <c r="F190" s="28"/>
      <c r="G190" s="28"/>
      <c r="H190" s="28"/>
      <c r="I190" s="28"/>
      <c r="J190" s="67" t="s">
        <v>758</v>
      </c>
      <c r="K190" s="63" t="s">
        <v>279</v>
      </c>
      <c r="L190" s="63" t="s">
        <v>1942</v>
      </c>
      <c r="M190" s="63"/>
      <c r="N190" s="63"/>
    </row>
    <row r="191" spans="1:14" s="111" customFormat="1" ht="13.5" thickBot="1" x14ac:dyDescent="0.25">
      <c r="A191" s="30"/>
      <c r="B191" s="31"/>
      <c r="C191" s="31"/>
      <c r="D191" s="31"/>
      <c r="E191" s="32"/>
      <c r="F191" s="32"/>
      <c r="G191" s="32"/>
      <c r="H191" s="32"/>
      <c r="I191" s="32"/>
      <c r="J191" s="49" t="s">
        <v>481</v>
      </c>
      <c r="K191" s="40" t="s">
        <v>341</v>
      </c>
      <c r="L191" s="40" t="s">
        <v>520</v>
      </c>
      <c r="M191" s="40" t="s">
        <v>1943</v>
      </c>
      <c r="N191" s="40"/>
    </row>
    <row r="192" spans="1:14" s="111" customFormat="1" x14ac:dyDescent="0.2">
      <c r="A192" s="20"/>
      <c r="B192" s="434" t="s">
        <v>67</v>
      </c>
      <c r="C192" s="434"/>
      <c r="D192" s="434"/>
      <c r="E192" s="22"/>
      <c r="F192" s="22" t="s">
        <v>1180</v>
      </c>
      <c r="G192" s="22" t="s">
        <v>68</v>
      </c>
      <c r="H192" s="22" t="s">
        <v>702</v>
      </c>
      <c r="I192" s="28"/>
      <c r="J192" s="75">
        <f>50/ATHENS!O1*ATHENS!O2</f>
        <v>90.909090909090907</v>
      </c>
      <c r="K192" s="75">
        <f>60/ATHENS!O1*ATHENS!O2</f>
        <v>109.09090909090908</v>
      </c>
      <c r="L192" s="44">
        <f>95/ATHENS!O1*ATHENS!O2</f>
        <v>172.72727272727272</v>
      </c>
      <c r="M192" s="42">
        <f>115/ATHENS!O1*ATHENS!O2</f>
        <v>209.09090909090907</v>
      </c>
      <c r="N192" s="42"/>
    </row>
    <row r="193" spans="1:14" s="111" customFormat="1" x14ac:dyDescent="0.2">
      <c r="A193" s="24"/>
      <c r="B193" s="435" t="s">
        <v>67</v>
      </c>
      <c r="C193" s="435"/>
      <c r="D193" s="435"/>
      <c r="E193" s="28"/>
      <c r="F193" s="28" t="s">
        <v>1181</v>
      </c>
      <c r="G193" s="28" t="s">
        <v>68</v>
      </c>
      <c r="H193" s="28" t="s">
        <v>702</v>
      </c>
      <c r="I193" s="28"/>
      <c r="J193" s="75">
        <f>30/ATHENS!O1*ATHENS!O2</f>
        <v>54.54545454545454</v>
      </c>
      <c r="K193" s="75">
        <f>35/ATHENS!O1*ATHENS!O2</f>
        <v>63.636363636363633</v>
      </c>
      <c r="L193" s="44">
        <f>53/ATHENS!O1*ATHENS!O2</f>
        <v>96.36363636363636</v>
      </c>
      <c r="M193" s="44">
        <f>63/ATHENS!O1*ATHENS!O2</f>
        <v>114.54545454545453</v>
      </c>
      <c r="N193" s="44"/>
    </row>
    <row r="194" spans="1:14" s="111" customFormat="1" x14ac:dyDescent="0.2">
      <c r="A194" s="24"/>
      <c r="B194" s="68" t="s">
        <v>67</v>
      </c>
      <c r="C194" s="27"/>
      <c r="D194" s="27"/>
      <c r="E194" s="28"/>
      <c r="F194" s="28" t="s">
        <v>1182</v>
      </c>
      <c r="G194" s="28" t="s">
        <v>68</v>
      </c>
      <c r="H194" s="28" t="s">
        <v>702</v>
      </c>
      <c r="I194" s="28"/>
      <c r="J194" s="75">
        <f>23.5/ATHENS!O1*ATHENS!O2</f>
        <v>42.727272727272727</v>
      </c>
      <c r="K194" s="75">
        <f>26.6/ATHENS!O1*ATHENS!O2</f>
        <v>48.36363636363636</v>
      </c>
      <c r="L194" s="44">
        <f>42/ATHENS!O1*ATHENS!O2</f>
        <v>76.36363636363636</v>
      </c>
      <c r="M194" s="44">
        <f>49/ATHENS!O1*ATHENS!O2</f>
        <v>89.090909090909079</v>
      </c>
      <c r="N194" s="44"/>
    </row>
    <row r="195" spans="1:14" s="111" customFormat="1" ht="13.5" thickBot="1" x14ac:dyDescent="0.25">
      <c r="A195" s="30"/>
      <c r="B195" s="443"/>
      <c r="C195" s="443"/>
      <c r="D195" s="443"/>
      <c r="E195" s="32"/>
      <c r="F195" s="89"/>
      <c r="G195" s="89"/>
      <c r="H195" s="32"/>
      <c r="I195" s="32"/>
      <c r="J195" s="76"/>
      <c r="K195" s="76"/>
      <c r="L195" s="46"/>
      <c r="M195" s="46"/>
      <c r="N195" s="46"/>
    </row>
    <row r="196" spans="1:14" s="111" customFormat="1" x14ac:dyDescent="0.2">
      <c r="A196" s="52"/>
      <c r="B196" s="27"/>
      <c r="C196" s="27"/>
      <c r="D196" s="27"/>
      <c r="E196" s="28"/>
      <c r="F196" s="316"/>
      <c r="G196" s="316"/>
      <c r="H196" s="28"/>
      <c r="I196" s="28"/>
      <c r="J196" s="229"/>
      <c r="K196" s="229"/>
      <c r="L196" s="53"/>
      <c r="M196" s="53"/>
      <c r="N196" s="53"/>
    </row>
    <row r="197" spans="1:14" s="111" customFormat="1" x14ac:dyDescent="0.2">
      <c r="A197" s="52"/>
      <c r="B197" s="27"/>
      <c r="C197" s="27"/>
      <c r="D197" s="27"/>
      <c r="E197" s="28"/>
      <c r="F197" s="316"/>
      <c r="G197" s="316"/>
      <c r="H197" s="28"/>
      <c r="I197" s="28"/>
      <c r="J197" s="229"/>
      <c r="K197" s="229"/>
      <c r="L197" s="53"/>
      <c r="M197" s="53"/>
      <c r="N197" s="53"/>
    </row>
    <row r="198" spans="1:14" s="111" customFormat="1" x14ac:dyDescent="0.2">
      <c r="A198" s="52"/>
      <c r="B198" s="27"/>
      <c r="C198" s="27"/>
      <c r="D198" s="27"/>
      <c r="E198" s="28"/>
      <c r="F198" s="316"/>
      <c r="G198" s="316"/>
      <c r="H198" s="28"/>
      <c r="I198" s="28"/>
      <c r="J198" s="229"/>
      <c r="K198" s="229"/>
      <c r="L198" s="53"/>
      <c r="M198" s="53"/>
      <c r="N198" s="53"/>
    </row>
    <row r="199" spans="1:14" s="111" customFormat="1" x14ac:dyDescent="0.2">
      <c r="A199" s="52"/>
      <c r="B199" s="27"/>
      <c r="C199" s="27"/>
      <c r="D199" s="27"/>
      <c r="E199" s="28"/>
      <c r="F199" s="316"/>
      <c r="G199" s="316"/>
      <c r="H199" s="28"/>
      <c r="I199" s="28"/>
      <c r="J199" s="229"/>
      <c r="K199" s="229"/>
      <c r="L199" s="53"/>
      <c r="M199" s="53"/>
      <c r="N199" s="53"/>
    </row>
    <row r="200" spans="1:14" s="111" customFormat="1" x14ac:dyDescent="0.2">
      <c r="A200" s="52"/>
      <c r="B200" s="27"/>
      <c r="C200" s="27"/>
      <c r="D200" s="27"/>
      <c r="E200" s="28"/>
      <c r="F200" s="316"/>
      <c r="G200" s="316"/>
      <c r="H200" s="28"/>
      <c r="I200" s="28"/>
      <c r="J200" s="229"/>
      <c r="K200" s="229"/>
      <c r="L200" s="53"/>
      <c r="M200" s="53"/>
      <c r="N200" s="53"/>
    </row>
    <row r="201" spans="1:14" s="111" customFormat="1" x14ac:dyDescent="0.2">
      <c r="A201" s="52"/>
      <c r="B201" s="27"/>
      <c r="C201" s="27"/>
      <c r="D201" s="27"/>
      <c r="E201" s="28"/>
      <c r="F201" s="316"/>
      <c r="G201" s="316"/>
      <c r="H201" s="28"/>
      <c r="I201" s="28"/>
      <c r="J201" s="229"/>
      <c r="K201" s="229"/>
      <c r="L201" s="53"/>
      <c r="M201" s="53"/>
      <c r="N201" s="53"/>
    </row>
    <row r="202" spans="1:14" s="111" customFormat="1" x14ac:dyDescent="0.2">
      <c r="A202" s="52"/>
      <c r="B202" s="27"/>
      <c r="C202" s="27"/>
      <c r="D202" s="27"/>
      <c r="E202" s="28"/>
      <c r="F202" s="316"/>
      <c r="G202" s="316"/>
      <c r="H202" s="28"/>
      <c r="I202" s="28"/>
      <c r="J202" s="229"/>
      <c r="K202" s="229"/>
      <c r="L202" s="53"/>
      <c r="M202" s="53"/>
      <c r="N202" s="53"/>
    </row>
    <row r="203" spans="1:14" s="111" customFormat="1" x14ac:dyDescent="0.2">
      <c r="A203" s="52"/>
      <c r="B203" s="27"/>
      <c r="C203" s="27"/>
      <c r="D203" s="27"/>
      <c r="E203" s="28"/>
      <c r="F203" s="316"/>
      <c r="G203" s="316"/>
      <c r="H203" s="28"/>
      <c r="I203" s="28"/>
      <c r="J203" s="229"/>
      <c r="K203" s="229"/>
      <c r="L203" s="53"/>
      <c r="M203" s="53"/>
      <c r="N203" s="53"/>
    </row>
    <row r="204" spans="1:14" s="111" customFormat="1" x14ac:dyDescent="0.2">
      <c r="A204" s="52"/>
      <c r="B204" s="27"/>
      <c r="C204" s="27"/>
      <c r="D204" s="27"/>
      <c r="E204" s="28"/>
      <c r="F204" s="316"/>
      <c r="G204" s="316"/>
      <c r="H204" s="28"/>
      <c r="I204" s="28"/>
      <c r="J204" s="229"/>
      <c r="K204" s="229"/>
      <c r="L204" s="53"/>
      <c r="M204" s="53"/>
      <c r="N204" s="53"/>
    </row>
    <row r="205" spans="1:14" s="111" customFormat="1" x14ac:dyDescent="0.2">
      <c r="A205" s="52"/>
      <c r="B205" s="27"/>
      <c r="C205" s="27"/>
      <c r="D205" s="27"/>
      <c r="E205" s="28"/>
      <c r="F205" s="316"/>
      <c r="G205" s="316"/>
      <c r="H205" s="28"/>
      <c r="I205" s="28"/>
      <c r="J205" s="229"/>
      <c r="K205" s="229"/>
      <c r="L205" s="53"/>
      <c r="M205" s="53"/>
      <c r="N205" s="53"/>
    </row>
    <row r="206" spans="1:14" s="111" customFormat="1" x14ac:dyDescent="0.2">
      <c r="A206" s="52"/>
      <c r="B206" s="27"/>
      <c r="C206" s="27"/>
      <c r="D206" s="27"/>
      <c r="E206" s="28"/>
      <c r="F206" s="316"/>
      <c r="G206" s="316"/>
      <c r="H206" s="28"/>
      <c r="I206" s="28"/>
      <c r="J206" s="229"/>
      <c r="K206" s="229"/>
      <c r="L206" s="53"/>
      <c r="M206" s="53"/>
      <c r="N206" s="53"/>
    </row>
    <row r="207" spans="1:14" s="111" customFormat="1" ht="13.5" thickBot="1" x14ac:dyDescent="0.25">
      <c r="A207" s="108"/>
      <c r="B207" s="109"/>
      <c r="C207" s="109"/>
      <c r="D207" s="109"/>
      <c r="E207" s="110"/>
      <c r="F207" s="110"/>
      <c r="G207" s="110"/>
      <c r="H207" s="110"/>
      <c r="I207" s="110"/>
      <c r="J207" s="110"/>
      <c r="K207" s="110"/>
      <c r="L207" s="110"/>
      <c r="M207" s="110"/>
      <c r="N207" s="110"/>
    </row>
    <row r="208" spans="1:14" s="111" customFormat="1" ht="13.5" thickBot="1" x14ac:dyDescent="0.25">
      <c r="A208" s="112"/>
      <c r="B208" s="113"/>
      <c r="C208" s="113"/>
      <c r="D208" s="113"/>
      <c r="E208" s="114"/>
      <c r="F208" s="114"/>
      <c r="G208" s="114"/>
      <c r="H208" s="114"/>
      <c r="I208" s="114"/>
      <c r="J208" s="114"/>
      <c r="K208" s="114"/>
      <c r="L208" s="114"/>
      <c r="M208" s="114"/>
      <c r="N208" s="115"/>
    </row>
    <row r="209" spans="1:14" s="111" customFormat="1" ht="15.75" thickBot="1" x14ac:dyDescent="0.25">
      <c r="A209" s="116"/>
      <c r="B209" s="484" t="s">
        <v>1349</v>
      </c>
      <c r="C209" s="485"/>
      <c r="D209" s="485"/>
      <c r="E209" s="485"/>
      <c r="F209" s="485"/>
      <c r="G209" s="485"/>
      <c r="H209" s="485"/>
      <c r="I209" s="485"/>
      <c r="J209" s="485"/>
      <c r="K209" s="485"/>
      <c r="L209" s="485"/>
      <c r="M209" s="486"/>
      <c r="N209" s="117" t="s">
        <v>684</v>
      </c>
    </row>
    <row r="210" spans="1:14" s="111" customFormat="1" x14ac:dyDescent="0.2">
      <c r="A210" s="116"/>
      <c r="B210" s="118" t="s">
        <v>428</v>
      </c>
      <c r="C210" s="119" t="s">
        <v>569</v>
      </c>
      <c r="D210" s="119"/>
      <c r="E210" s="120"/>
      <c r="F210" s="120"/>
      <c r="G210" s="120"/>
      <c r="H210" s="120"/>
      <c r="I210" s="120"/>
      <c r="J210" s="120"/>
      <c r="K210" s="120"/>
      <c r="L210" s="120"/>
      <c r="M210" s="120"/>
      <c r="N210" s="101"/>
    </row>
    <row r="211" spans="1:14" s="111" customFormat="1" x14ac:dyDescent="0.2">
      <c r="A211" s="116"/>
      <c r="B211" s="118" t="s">
        <v>429</v>
      </c>
      <c r="C211" s="119" t="s">
        <v>730</v>
      </c>
      <c r="D211" s="119"/>
      <c r="E211" s="120"/>
      <c r="F211" s="120"/>
      <c r="G211" s="120"/>
      <c r="H211" s="120"/>
      <c r="I211" s="120"/>
      <c r="J211" s="120"/>
      <c r="K211" s="120"/>
      <c r="L211" s="120"/>
      <c r="M211" s="120"/>
      <c r="N211" s="101"/>
    </row>
    <row r="212" spans="1:14" s="111" customFormat="1" x14ac:dyDescent="0.2">
      <c r="A212" s="116"/>
      <c r="B212" s="118" t="s">
        <v>427</v>
      </c>
      <c r="C212" s="480" t="s">
        <v>846</v>
      </c>
      <c r="D212" s="480"/>
      <c r="E212" s="480"/>
      <c r="F212" s="480"/>
      <c r="G212" s="480"/>
      <c r="H212" s="480"/>
      <c r="I212" s="480"/>
      <c r="J212" s="480"/>
      <c r="K212" s="480"/>
      <c r="L212" s="480"/>
      <c r="M212" s="480"/>
      <c r="N212" s="481"/>
    </row>
    <row r="213" spans="1:14" s="111" customFormat="1" x14ac:dyDescent="0.2">
      <c r="A213" s="116"/>
      <c r="B213" s="109"/>
      <c r="C213" s="480"/>
      <c r="D213" s="480"/>
      <c r="E213" s="480"/>
      <c r="F213" s="480"/>
      <c r="G213" s="480"/>
      <c r="H213" s="480"/>
      <c r="I213" s="480"/>
      <c r="J213" s="480"/>
      <c r="K213" s="480"/>
      <c r="L213" s="480"/>
      <c r="M213" s="480"/>
      <c r="N213" s="481"/>
    </row>
    <row r="214" spans="1:14" s="111" customFormat="1" ht="13.5" thickBot="1" x14ac:dyDescent="0.25">
      <c r="A214" s="116"/>
      <c r="B214" s="118" t="s">
        <v>426</v>
      </c>
      <c r="C214" s="119" t="s">
        <v>363</v>
      </c>
      <c r="D214" s="119"/>
      <c r="E214" s="120"/>
      <c r="F214" s="120"/>
      <c r="G214" s="120"/>
      <c r="H214" s="120"/>
      <c r="I214" s="120"/>
      <c r="J214" s="120"/>
      <c r="K214" s="120"/>
      <c r="L214" s="120"/>
      <c r="M214" s="120"/>
      <c r="N214" s="101"/>
    </row>
    <row r="215" spans="1:14" s="111" customFormat="1" x14ac:dyDescent="0.2">
      <c r="A215" s="112"/>
      <c r="B215" s="113" t="s">
        <v>263</v>
      </c>
      <c r="C215" s="113"/>
      <c r="D215" s="113"/>
      <c r="E215" s="114"/>
      <c r="F215" s="114"/>
      <c r="G215" s="114"/>
      <c r="H215" s="114"/>
      <c r="I215" s="114"/>
      <c r="J215" s="127" t="s">
        <v>1590</v>
      </c>
      <c r="K215" s="126" t="s">
        <v>1555</v>
      </c>
      <c r="L215" s="126"/>
      <c r="M215" s="126"/>
      <c r="N215" s="126"/>
    </row>
    <row r="216" spans="1:14" s="111" customFormat="1" ht="13.5" thickBot="1" x14ac:dyDescent="0.25">
      <c r="A216" s="121"/>
      <c r="B216" s="122"/>
      <c r="C216" s="122"/>
      <c r="D216" s="122"/>
      <c r="E216" s="123"/>
      <c r="F216" s="123"/>
      <c r="G216" s="123"/>
      <c r="H216" s="123"/>
      <c r="I216" s="123"/>
      <c r="J216" s="125" t="s">
        <v>1591</v>
      </c>
      <c r="K216" s="105" t="s">
        <v>1592</v>
      </c>
      <c r="L216" s="105" t="s">
        <v>1593</v>
      </c>
      <c r="M216" s="105" t="s">
        <v>1594</v>
      </c>
      <c r="N216" s="105" t="s">
        <v>1595</v>
      </c>
    </row>
    <row r="217" spans="1:14" s="111" customFormat="1" x14ac:dyDescent="0.2">
      <c r="A217" s="112"/>
      <c r="B217" s="467" t="s">
        <v>67</v>
      </c>
      <c r="C217" s="467"/>
      <c r="D217" s="467"/>
      <c r="E217" s="114"/>
      <c r="F217" s="114" t="s">
        <v>1180</v>
      </c>
      <c r="G217" s="114" t="s">
        <v>68</v>
      </c>
      <c r="H217" s="114" t="s">
        <v>702</v>
      </c>
      <c r="I217" s="114"/>
      <c r="J217" s="100">
        <f>35.5/ATHENS!O1*ATHENS!O2</f>
        <v>64.545454545454547</v>
      </c>
      <c r="K217" s="100">
        <f>38/ATHENS!O1*ATHENS!O2</f>
        <v>69.090909090909079</v>
      </c>
      <c r="L217" s="100">
        <f>46.15/ATHENS!O1*ATHENS!O2</f>
        <v>83.909090909090907</v>
      </c>
      <c r="M217" s="126">
        <f>64.08/ATHENS!O1*ATHENS!O2</f>
        <v>116.5090909090909</v>
      </c>
      <c r="N217" s="126">
        <f>89.22/ATHENS!O1*ATHENS!O2</f>
        <v>162.21818181818179</v>
      </c>
    </row>
    <row r="218" spans="1:14" s="111" customFormat="1" x14ac:dyDescent="0.2">
      <c r="A218" s="116"/>
      <c r="B218" s="461" t="s">
        <v>67</v>
      </c>
      <c r="C218" s="461"/>
      <c r="D218" s="461"/>
      <c r="E218" s="120"/>
      <c r="F218" s="120" t="s">
        <v>1181</v>
      </c>
      <c r="G218" s="120" t="s">
        <v>68</v>
      </c>
      <c r="H218" s="120" t="s">
        <v>702</v>
      </c>
      <c r="I218" s="120"/>
      <c r="J218" s="100">
        <f>21.5/ATHENS!O1*ATHENS!O2</f>
        <v>39.090909090909086</v>
      </c>
      <c r="K218" s="100">
        <f>23.88/ATHENS!O1*ATHENS!O2</f>
        <v>43.418181818181814</v>
      </c>
      <c r="L218" s="100">
        <f>29.67/ATHENS!O1*ATHENS!O2</f>
        <v>53.945454545454545</v>
      </c>
      <c r="M218" s="100">
        <f>35.35/ATHENS!O1*ATHENS!O2</f>
        <v>64.272727272727266</v>
      </c>
      <c r="N218" s="100">
        <f>46.83/ATHENS!O1*ATHENS!O2</f>
        <v>85.145454545454541</v>
      </c>
    </row>
    <row r="219" spans="1:14" s="111" customFormat="1" ht="13.5" thickBot="1" x14ac:dyDescent="0.25">
      <c r="A219" s="121"/>
      <c r="B219" s="460" t="s">
        <v>67</v>
      </c>
      <c r="C219" s="460"/>
      <c r="D219" s="460"/>
      <c r="E219" s="123"/>
      <c r="F219" s="123" t="s">
        <v>1182</v>
      </c>
      <c r="G219" s="123" t="s">
        <v>68</v>
      </c>
      <c r="H219" s="123" t="s">
        <v>702</v>
      </c>
      <c r="I219" s="123"/>
      <c r="J219" s="105">
        <f>19.3/ATHENS!O1*ATHENS!O2</f>
        <v>35.090909090909086</v>
      </c>
      <c r="K219" s="105">
        <f>21.25/ATHENS!O1*ATHENS!O2</f>
        <v>38.636363636363633</v>
      </c>
      <c r="L219" s="105">
        <f>26.11/ATHENS!O1*ATHENS!O2</f>
        <v>47.472727272727269</v>
      </c>
      <c r="M219" s="105">
        <f>30.5/ATHENS!O1*ATHENS!O2</f>
        <v>55.454545454545453</v>
      </c>
      <c r="N219" s="105">
        <f>41.05/ATHENS!O1*ATHENS!O2</f>
        <v>74.636363636363626</v>
      </c>
    </row>
  </sheetData>
  <customSheetViews>
    <customSheetView guid="{3C76061C-A85D-4390-B9DB-73E13038638C}" showPageBreaks="1" showGridLines="0" view="pageLayout" topLeftCell="A256">
      <selection activeCell="M51" sqref="M51"/>
      <rowBreaks count="2" manualBreakCount="2">
        <brk id="53" max="16383" man="1"/>
        <brk id="91" max="16383" man="1"/>
      </rowBreaks>
      <pageMargins left="0.28125" right="0.25" top="0.6692913385826772" bottom="0.70866141732283472" header="0.23622047244094491" footer="0.47244094488188981"/>
      <printOptions horizontalCentered="1"/>
      <pageSetup paperSize="9" firstPageNumber="79"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 guid="{777CFE61-6F99-11D9-974B-0050BFD074B6}" showRuler="0">
      <selection activeCell="K14" sqref="K14:N18"/>
      <pageMargins left="0" right="0" top="0" bottom="0" header="0" footer="0"/>
      <pageSetup paperSize="9" orientation="portrait" horizontalDpi="4294967293" verticalDpi="300" r:id="rId2"/>
      <headerFooter alignWithMargins="0"/>
    </customSheetView>
  </customSheetViews>
  <mergeCells count="63">
    <mergeCell ref="B2:M2"/>
    <mergeCell ref="C5:N10"/>
    <mergeCell ref="B15:D15"/>
    <mergeCell ref="B55:M55"/>
    <mergeCell ref="C41:N44"/>
    <mergeCell ref="B16:D16"/>
    <mergeCell ref="B38:M38"/>
    <mergeCell ref="B67:D67"/>
    <mergeCell ref="C58:N60"/>
    <mergeCell ref="B68:D68"/>
    <mergeCell ref="B49:D49"/>
    <mergeCell ref="B17:D17"/>
    <mergeCell ref="B50:D50"/>
    <mergeCell ref="B51:D51"/>
    <mergeCell ref="C23:N26"/>
    <mergeCell ref="B31:D31"/>
    <mergeCell ref="B20:M20"/>
    <mergeCell ref="B32:D32"/>
    <mergeCell ref="B33:D33"/>
    <mergeCell ref="B34:D34"/>
    <mergeCell ref="B65:D65"/>
    <mergeCell ref="B66:D66"/>
    <mergeCell ref="B104:D104"/>
    <mergeCell ref="B93:M93"/>
    <mergeCell ref="C96:N97"/>
    <mergeCell ref="B101:D101"/>
    <mergeCell ref="B102:D102"/>
    <mergeCell ref="B107:M107"/>
    <mergeCell ref="B134:D134"/>
    <mergeCell ref="B133:D133"/>
    <mergeCell ref="B119:D119"/>
    <mergeCell ref="B132:D132"/>
    <mergeCell ref="C110:N112"/>
    <mergeCell ref="B116:D116"/>
    <mergeCell ref="B117:D117"/>
    <mergeCell ref="B118:D118"/>
    <mergeCell ref="B123:M123"/>
    <mergeCell ref="C126:N128"/>
    <mergeCell ref="B219:D219"/>
    <mergeCell ref="B218:D218"/>
    <mergeCell ref="B209:M209"/>
    <mergeCell ref="C212:N213"/>
    <mergeCell ref="B217:D217"/>
    <mergeCell ref="B152:M152"/>
    <mergeCell ref="C155:N156"/>
    <mergeCell ref="B161:D161"/>
    <mergeCell ref="B162:D162"/>
    <mergeCell ref="B164:D164"/>
    <mergeCell ref="B168:M168"/>
    <mergeCell ref="C171:N172"/>
    <mergeCell ref="B177:D177"/>
    <mergeCell ref="B178:D178"/>
    <mergeCell ref="B180:D180"/>
    <mergeCell ref="B183:M183"/>
    <mergeCell ref="C186:N187"/>
    <mergeCell ref="B192:D192"/>
    <mergeCell ref="B193:D193"/>
    <mergeCell ref="B195:D195"/>
    <mergeCell ref="B72:M72"/>
    <mergeCell ref="C75:N76"/>
    <mergeCell ref="B81:D81"/>
    <mergeCell ref="B82:D82"/>
    <mergeCell ref="B84:D84"/>
  </mergeCells>
  <phoneticPr fontId="0" type="noConversion"/>
  <hyperlinks>
    <hyperlink ref="B2:M2" r:id="rId3" display="Astir of Paros" xr:uid="{00000000-0004-0000-1D00-000000000000}"/>
    <hyperlink ref="B20:M20" r:id="rId4" display="Yria" xr:uid="{00000000-0004-0000-1D00-000001000000}"/>
    <hyperlink ref="B38:M38" r:id="rId5" display="Holiday Sun" xr:uid="{00000000-0004-0000-1D00-000002000000}"/>
    <hyperlink ref="B55:M55" r:id="rId6" display="Narges" xr:uid="{00000000-0004-0000-1D00-000003000000}"/>
    <hyperlink ref="B93:M93" r:id="rId7" display="Aegeon" xr:uid="{00000000-0004-0000-1D00-000004000000}"/>
    <hyperlink ref="B107:M107" r:id="rId8" display="Contaratos Beach" xr:uid="{00000000-0004-0000-1D00-000005000000}"/>
    <hyperlink ref="B123:M123" r:id="rId9" display="Eri" xr:uid="{00000000-0004-0000-1D00-000006000000}"/>
    <hyperlink ref="B209:M209" r:id="rId10" display="Paros Bay" xr:uid="{00000000-0004-0000-1D00-000007000000}"/>
    <hyperlink ref="B72:M72" r:id="rId11" display="Senia" xr:uid="{00000000-0004-0000-1D00-000008000000}"/>
    <hyperlink ref="B152:M152" r:id="rId12" display="High Mill" xr:uid="{00000000-0004-0000-1D00-000009000000}"/>
    <hyperlink ref="B168:M168" r:id="rId13" display="Oasis" xr:uid="{00000000-0004-0000-1D00-00000A000000}"/>
  </hyperlinks>
  <printOptions horizontalCentered="1"/>
  <pageMargins left="0.28125" right="0.25" top="0.6692913385826772" bottom="0.70866141732283472" header="0.23622047244094491" footer="0.47244094488188981"/>
  <pageSetup paperSize="9" firstPageNumber="79" orientation="portrait" useFirstPageNumber="1" horizontalDpi="300" verticalDpi="300" r:id="rId14"/>
  <headerFooter scaleWithDoc="0" alignWithMargins="0">
    <oddHeader xml:space="preserve">&amp;C TARIFF 2021
 (EURO)
</oddHeader>
    <oddFooter>&amp;LAll rates are in EURO&amp;C
TARIFF 2021
&amp;RPage &amp;P</oddFooter>
  </headerFooter>
  <rowBreaks count="2" manualBreakCount="2">
    <brk id="53" max="16383" man="1"/>
    <brk id="91"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32"/>
  <sheetViews>
    <sheetView showGridLines="0" view="pageLayout" topLeftCell="A37" workbookViewId="0">
      <selection activeCell="M53" sqref="M53"/>
    </sheetView>
  </sheetViews>
  <sheetFormatPr defaultRowHeight="12.75" x14ac:dyDescent="0.2"/>
  <cols>
    <col min="1" max="1" width="1.85546875" style="141" customWidth="1"/>
    <col min="2" max="3" width="10.7109375" style="141" customWidth="1"/>
    <col min="4" max="9" width="3.7109375" style="141" customWidth="1"/>
    <col min="10" max="14" width="10.7109375" style="141" customWidth="1"/>
    <col min="15" max="16384" width="9.140625" style="141"/>
  </cols>
  <sheetData>
    <row r="1" spans="1:14" ht="13.5" thickBot="1" x14ac:dyDescent="0.25">
      <c r="A1" s="108"/>
      <c r="B1" s="109"/>
      <c r="C1" s="109"/>
      <c r="D1" s="109"/>
      <c r="E1" s="110"/>
      <c r="F1" s="110"/>
      <c r="G1" s="110"/>
      <c r="H1" s="110"/>
      <c r="I1" s="110"/>
      <c r="J1" s="110"/>
      <c r="K1" s="110"/>
      <c r="L1" s="110"/>
      <c r="M1" s="110"/>
      <c r="N1" s="110"/>
    </row>
    <row r="2" spans="1:14" ht="13.5" thickBot="1" x14ac:dyDescent="0.25">
      <c r="A2" s="112"/>
      <c r="B2" s="113"/>
      <c r="C2" s="113"/>
      <c r="D2" s="113"/>
      <c r="E2" s="114"/>
      <c r="F2" s="114"/>
      <c r="G2" s="114"/>
      <c r="H2" s="114"/>
      <c r="I2" s="114"/>
      <c r="J2" s="114"/>
      <c r="K2" s="114"/>
      <c r="L2" s="114"/>
      <c r="M2" s="114"/>
      <c r="N2" s="115"/>
    </row>
    <row r="3" spans="1:14" ht="15.75" thickBot="1" x14ac:dyDescent="0.25">
      <c r="A3" s="116"/>
      <c r="B3" s="484" t="s">
        <v>496</v>
      </c>
      <c r="C3" s="485"/>
      <c r="D3" s="485"/>
      <c r="E3" s="485"/>
      <c r="F3" s="485"/>
      <c r="G3" s="485"/>
      <c r="H3" s="485"/>
      <c r="I3" s="485"/>
      <c r="J3" s="485"/>
      <c r="K3" s="485"/>
      <c r="L3" s="485"/>
      <c r="M3" s="486"/>
      <c r="N3" s="117" t="s">
        <v>1102</v>
      </c>
    </row>
    <row r="4" spans="1:14" x14ac:dyDescent="0.2">
      <c r="A4" s="116"/>
      <c r="B4" s="118" t="s">
        <v>428</v>
      </c>
      <c r="C4" s="119" t="s">
        <v>497</v>
      </c>
      <c r="D4" s="119"/>
      <c r="E4" s="120"/>
      <c r="F4" s="120"/>
      <c r="G4" s="120"/>
      <c r="H4" s="120"/>
      <c r="I4" s="120"/>
      <c r="J4" s="120"/>
      <c r="K4" s="120"/>
      <c r="L4" s="120"/>
      <c r="M4" s="120"/>
      <c r="N4" s="101"/>
    </row>
    <row r="5" spans="1:14" x14ac:dyDescent="0.2">
      <c r="A5" s="116"/>
      <c r="B5" s="118" t="s">
        <v>429</v>
      </c>
      <c r="C5" s="119" t="s">
        <v>150</v>
      </c>
      <c r="D5" s="119"/>
      <c r="E5" s="120"/>
      <c r="F5" s="120"/>
      <c r="G5" s="120"/>
      <c r="H5" s="120"/>
      <c r="I5" s="120"/>
      <c r="J5" s="120"/>
      <c r="K5" s="120"/>
      <c r="L5" s="120"/>
      <c r="M5" s="120"/>
      <c r="N5" s="101"/>
    </row>
    <row r="6" spans="1:14" x14ac:dyDescent="0.2">
      <c r="A6" s="116"/>
      <c r="B6" s="118" t="s">
        <v>427</v>
      </c>
      <c r="C6" s="465" t="s">
        <v>847</v>
      </c>
      <c r="D6" s="465"/>
      <c r="E6" s="465"/>
      <c r="F6" s="465"/>
      <c r="G6" s="465"/>
      <c r="H6" s="465"/>
      <c r="I6" s="465"/>
      <c r="J6" s="465"/>
      <c r="K6" s="465"/>
      <c r="L6" s="465"/>
      <c r="M6" s="465"/>
      <c r="N6" s="466"/>
    </row>
    <row r="7" spans="1:14" x14ac:dyDescent="0.2">
      <c r="A7" s="116"/>
      <c r="B7" s="118"/>
      <c r="C7" s="465"/>
      <c r="D7" s="465"/>
      <c r="E7" s="465"/>
      <c r="F7" s="465"/>
      <c r="G7" s="465"/>
      <c r="H7" s="465"/>
      <c r="I7" s="465"/>
      <c r="J7" s="465"/>
      <c r="K7" s="465"/>
      <c r="L7" s="465"/>
      <c r="M7" s="465"/>
      <c r="N7" s="466"/>
    </row>
    <row r="8" spans="1:14" x14ac:dyDescent="0.2">
      <c r="A8" s="116"/>
      <c r="B8" s="109"/>
      <c r="C8" s="465"/>
      <c r="D8" s="465"/>
      <c r="E8" s="465"/>
      <c r="F8" s="465"/>
      <c r="G8" s="465"/>
      <c r="H8" s="465"/>
      <c r="I8" s="465"/>
      <c r="J8" s="465"/>
      <c r="K8" s="465"/>
      <c r="L8" s="465"/>
      <c r="M8" s="465"/>
      <c r="N8" s="466"/>
    </row>
    <row r="9" spans="1:14" x14ac:dyDescent="0.2">
      <c r="A9" s="116"/>
      <c r="B9" s="118" t="s">
        <v>426</v>
      </c>
      <c r="C9" s="119"/>
      <c r="D9" s="119"/>
      <c r="E9" s="120"/>
      <c r="F9" s="120"/>
      <c r="G9" s="120"/>
      <c r="H9" s="119"/>
      <c r="I9" s="120"/>
      <c r="J9" s="119"/>
      <c r="K9" s="120"/>
      <c r="L9" s="120"/>
      <c r="M9" s="120"/>
      <c r="N9" s="101"/>
    </row>
    <row r="10" spans="1:14" ht="13.5" thickBot="1" x14ac:dyDescent="0.25">
      <c r="A10" s="121"/>
      <c r="B10" s="118" t="s">
        <v>430</v>
      </c>
      <c r="C10" s="122"/>
      <c r="D10" s="122"/>
      <c r="E10" s="123"/>
      <c r="F10" s="123"/>
      <c r="G10" s="123"/>
      <c r="H10" s="123"/>
      <c r="I10" s="123"/>
      <c r="J10" s="123"/>
      <c r="K10" s="123"/>
      <c r="L10" s="123"/>
      <c r="M10" s="123"/>
      <c r="N10" s="104"/>
    </row>
    <row r="11" spans="1:14" x14ac:dyDescent="0.2">
      <c r="A11" s="112"/>
      <c r="B11" s="113" t="s">
        <v>263</v>
      </c>
      <c r="C11" s="113"/>
      <c r="D11" s="113"/>
      <c r="E11" s="114"/>
      <c r="F11" s="114"/>
      <c r="G11" s="114"/>
      <c r="H11" s="114"/>
      <c r="I11" s="114"/>
      <c r="J11" s="127" t="s">
        <v>776</v>
      </c>
      <c r="K11" s="126" t="s">
        <v>279</v>
      </c>
      <c r="L11" s="126"/>
      <c r="M11" s="126"/>
      <c r="N11" s="126"/>
    </row>
    <row r="12" spans="1:14" ht="13.5" thickBot="1" x14ac:dyDescent="0.25">
      <c r="A12" s="121"/>
      <c r="B12" s="122" t="s">
        <v>263</v>
      </c>
      <c r="C12" s="122"/>
      <c r="D12" s="122"/>
      <c r="E12" s="123"/>
      <c r="F12" s="123"/>
      <c r="G12" s="123"/>
      <c r="H12" s="123"/>
      <c r="I12" s="123"/>
      <c r="J12" s="125" t="s">
        <v>341</v>
      </c>
      <c r="K12" s="105" t="s">
        <v>520</v>
      </c>
      <c r="L12" s="105" t="s">
        <v>1341</v>
      </c>
      <c r="M12" s="105" t="s">
        <v>123</v>
      </c>
      <c r="N12" s="105"/>
    </row>
    <row r="13" spans="1:14" x14ac:dyDescent="0.2">
      <c r="A13" s="116"/>
      <c r="B13" s="119" t="s">
        <v>67</v>
      </c>
      <c r="C13" s="119"/>
      <c r="D13" s="119"/>
      <c r="E13" s="120"/>
      <c r="F13" s="120" t="s">
        <v>1180</v>
      </c>
      <c r="G13" s="120" t="s">
        <v>68</v>
      </c>
      <c r="H13" s="120" t="s">
        <v>702</v>
      </c>
      <c r="I13" s="120"/>
      <c r="J13" s="100">
        <f>48/ATHENS!O1*ATHENS!O2</f>
        <v>87.272727272727266</v>
      </c>
      <c r="K13" s="100">
        <f>64/ATHENS!O1*ATHENS!O2</f>
        <v>116.36363636363636</v>
      </c>
      <c r="L13" s="100">
        <f>82/ATHENS!O1*ATHENS!O2</f>
        <v>149.09090909090907</v>
      </c>
      <c r="M13" s="100" t="s">
        <v>864</v>
      </c>
      <c r="N13" s="100"/>
    </row>
    <row r="14" spans="1:14" x14ac:dyDescent="0.2">
      <c r="A14" s="116"/>
      <c r="B14" s="461" t="s">
        <v>67</v>
      </c>
      <c r="C14" s="461"/>
      <c r="D14" s="461"/>
      <c r="E14" s="120"/>
      <c r="F14" s="120" t="s">
        <v>1181</v>
      </c>
      <c r="G14" s="120" t="s">
        <v>68</v>
      </c>
      <c r="H14" s="120" t="s">
        <v>702</v>
      </c>
      <c r="I14" s="120"/>
      <c r="J14" s="100">
        <f>27.5/ATHENS!O1*ATHENS!O2</f>
        <v>49.999999999999993</v>
      </c>
      <c r="K14" s="100">
        <f>34/ATHENS!O1*ATHENS!O2</f>
        <v>61.818181818181813</v>
      </c>
      <c r="L14" s="100">
        <f>46/ATHENS!O1*ATHENS!O2</f>
        <v>83.636363636363626</v>
      </c>
      <c r="M14" s="100">
        <f>76/ATHENS!O1*ATHENS!O2</f>
        <v>138.18181818181816</v>
      </c>
      <c r="N14" s="100"/>
    </row>
    <row r="15" spans="1:14" ht="13.5" thickBot="1" x14ac:dyDescent="0.25">
      <c r="A15" s="121"/>
      <c r="B15" s="460" t="s">
        <v>67</v>
      </c>
      <c r="C15" s="460"/>
      <c r="D15" s="460"/>
      <c r="E15" s="123"/>
      <c r="F15" s="123" t="s">
        <v>1182</v>
      </c>
      <c r="G15" s="123" t="s">
        <v>68</v>
      </c>
      <c r="H15" s="123" t="s">
        <v>702</v>
      </c>
      <c r="I15" s="123"/>
      <c r="J15" s="105">
        <f>23.6/ATHENS!O1*ATHENS!O2</f>
        <v>42.909090909090907</v>
      </c>
      <c r="K15" s="105">
        <f>29.5/ATHENS!O1*ATHENS!O2</f>
        <v>53.636363636363633</v>
      </c>
      <c r="L15" s="105">
        <f>40/ATHENS!O1*ATHENS!O2</f>
        <v>72.72727272727272</v>
      </c>
      <c r="M15" s="105">
        <f>66/ATHENS!O1*ATHENS!O2</f>
        <v>119.99999999999999</v>
      </c>
      <c r="N15" s="105"/>
    </row>
    <row r="16" spans="1:14" x14ac:dyDescent="0.2">
      <c r="A16" s="108"/>
      <c r="B16" s="109"/>
      <c r="C16" s="109"/>
      <c r="D16" s="109"/>
      <c r="E16" s="110"/>
      <c r="F16" s="110"/>
      <c r="G16" s="110"/>
      <c r="H16" s="110"/>
      <c r="I16" s="110"/>
      <c r="J16" s="110"/>
      <c r="K16" s="110"/>
      <c r="L16" s="110"/>
      <c r="M16" s="110"/>
      <c r="N16" s="110"/>
    </row>
    <row r="17" spans="1:14" ht="13.5" thickBot="1" x14ac:dyDescent="0.25">
      <c r="A17" s="108"/>
      <c r="B17" s="109"/>
      <c r="C17" s="109"/>
      <c r="D17" s="109"/>
      <c r="E17" s="110"/>
      <c r="F17" s="110"/>
      <c r="G17" s="110"/>
      <c r="H17" s="110"/>
      <c r="I17" s="110"/>
      <c r="J17" s="110"/>
      <c r="K17" s="110"/>
      <c r="L17" s="110"/>
      <c r="M17" s="110"/>
      <c r="N17" s="110"/>
    </row>
    <row r="18" spans="1:14" ht="13.5" thickBot="1" x14ac:dyDescent="0.25">
      <c r="A18" s="112"/>
      <c r="B18" s="113"/>
      <c r="C18" s="113"/>
      <c r="D18" s="113"/>
      <c r="E18" s="114"/>
      <c r="F18" s="114"/>
      <c r="G18" s="114"/>
      <c r="H18" s="114"/>
      <c r="I18" s="114"/>
      <c r="J18" s="114"/>
      <c r="K18" s="114"/>
      <c r="L18" s="114"/>
      <c r="M18" s="114"/>
      <c r="N18" s="115"/>
    </row>
    <row r="19" spans="1:14" ht="15.75" thickBot="1" x14ac:dyDescent="0.25">
      <c r="A19" s="116"/>
      <c r="B19" s="484" t="s">
        <v>498</v>
      </c>
      <c r="C19" s="485"/>
      <c r="D19" s="485"/>
      <c r="E19" s="485"/>
      <c r="F19" s="485"/>
      <c r="G19" s="485"/>
      <c r="H19" s="485"/>
      <c r="I19" s="485"/>
      <c r="J19" s="485"/>
      <c r="K19" s="485"/>
      <c r="L19" s="485"/>
      <c r="M19" s="486"/>
      <c r="N19" s="117" t="s">
        <v>1102</v>
      </c>
    </row>
    <row r="20" spans="1:14" x14ac:dyDescent="0.2">
      <c r="A20" s="116"/>
      <c r="B20" s="118" t="s">
        <v>428</v>
      </c>
      <c r="C20" s="119" t="s">
        <v>497</v>
      </c>
      <c r="D20" s="119"/>
      <c r="E20" s="120"/>
      <c r="F20" s="120"/>
      <c r="G20" s="120"/>
      <c r="H20" s="120"/>
      <c r="I20" s="120"/>
      <c r="J20" s="120"/>
      <c r="K20" s="120"/>
      <c r="L20" s="120"/>
      <c r="M20" s="120"/>
      <c r="N20" s="101"/>
    </row>
    <row r="21" spans="1:14" x14ac:dyDescent="0.2">
      <c r="A21" s="116"/>
      <c r="B21" s="118" t="s">
        <v>429</v>
      </c>
      <c r="C21" s="119" t="s">
        <v>151</v>
      </c>
      <c r="D21" s="119"/>
      <c r="E21" s="120"/>
      <c r="F21" s="120"/>
      <c r="G21" s="120"/>
      <c r="H21" s="120"/>
      <c r="I21" s="120"/>
      <c r="J21" s="120"/>
      <c r="K21" s="120"/>
      <c r="L21" s="120"/>
      <c r="M21" s="120"/>
      <c r="N21" s="101"/>
    </row>
    <row r="22" spans="1:14" x14ac:dyDescent="0.2">
      <c r="A22" s="116"/>
      <c r="B22" s="118" t="s">
        <v>427</v>
      </c>
      <c r="C22" s="465" t="s">
        <v>848</v>
      </c>
      <c r="D22" s="465"/>
      <c r="E22" s="465"/>
      <c r="F22" s="465"/>
      <c r="G22" s="465"/>
      <c r="H22" s="465"/>
      <c r="I22" s="465"/>
      <c r="J22" s="465"/>
      <c r="K22" s="465"/>
      <c r="L22" s="465"/>
      <c r="M22" s="465"/>
      <c r="N22" s="466"/>
    </row>
    <row r="23" spans="1:14" x14ac:dyDescent="0.2">
      <c r="A23" s="116"/>
      <c r="B23" s="109"/>
      <c r="C23" s="465"/>
      <c r="D23" s="465"/>
      <c r="E23" s="465"/>
      <c r="F23" s="465"/>
      <c r="G23" s="465"/>
      <c r="H23" s="465"/>
      <c r="I23" s="465"/>
      <c r="J23" s="465"/>
      <c r="K23" s="465"/>
      <c r="L23" s="465"/>
      <c r="M23" s="465"/>
      <c r="N23" s="466"/>
    </row>
    <row r="24" spans="1:14" x14ac:dyDescent="0.2">
      <c r="A24" s="116"/>
      <c r="B24" s="118" t="s">
        <v>426</v>
      </c>
      <c r="C24" s="119"/>
      <c r="D24" s="119"/>
      <c r="E24" s="120"/>
      <c r="F24" s="120"/>
      <c r="G24" s="120"/>
      <c r="H24" s="119"/>
      <c r="I24" s="120"/>
      <c r="J24" s="119"/>
      <c r="K24" s="120"/>
      <c r="L24" s="120"/>
      <c r="M24" s="120"/>
      <c r="N24" s="101"/>
    </row>
    <row r="25" spans="1:14" ht="13.5" thickBot="1" x14ac:dyDescent="0.25">
      <c r="A25" s="121"/>
      <c r="B25" s="118" t="s">
        <v>430</v>
      </c>
      <c r="C25" s="122"/>
      <c r="D25" s="122"/>
      <c r="E25" s="123"/>
      <c r="F25" s="123"/>
      <c r="G25" s="123"/>
      <c r="H25" s="123"/>
      <c r="I25" s="123"/>
      <c r="J25" s="123"/>
      <c r="K25" s="123"/>
      <c r="L25" s="123"/>
      <c r="M25" s="123"/>
      <c r="N25" s="104"/>
    </row>
    <row r="26" spans="1:14" x14ac:dyDescent="0.2">
      <c r="A26" s="112"/>
      <c r="B26" s="113" t="s">
        <v>263</v>
      </c>
      <c r="C26" s="113"/>
      <c r="D26" s="113"/>
      <c r="E26" s="114"/>
      <c r="F26" s="114"/>
      <c r="G26" s="114"/>
      <c r="H26" s="114"/>
      <c r="I26" s="114"/>
      <c r="J26" s="126" t="s">
        <v>1922</v>
      </c>
      <c r="L26" s="126"/>
      <c r="M26" s="126"/>
      <c r="N26" s="126"/>
    </row>
    <row r="27" spans="1:14" x14ac:dyDescent="0.2">
      <c r="A27" s="116"/>
      <c r="B27" s="119" t="s">
        <v>263</v>
      </c>
      <c r="C27" s="119"/>
      <c r="D27" s="119"/>
      <c r="E27" s="120"/>
      <c r="F27" s="120"/>
      <c r="G27" s="120"/>
      <c r="H27" s="120"/>
      <c r="I27" s="120"/>
      <c r="J27" s="141" t="s">
        <v>1797</v>
      </c>
      <c r="K27" s="124" t="s">
        <v>281</v>
      </c>
      <c r="L27" s="100"/>
      <c r="M27" s="100"/>
      <c r="N27" s="100"/>
    </row>
    <row r="28" spans="1:14" ht="13.5" thickBot="1" x14ac:dyDescent="0.25">
      <c r="A28" s="121"/>
      <c r="B28" s="119" t="s">
        <v>263</v>
      </c>
      <c r="C28" s="122"/>
      <c r="D28" s="122"/>
      <c r="E28" s="123"/>
      <c r="F28" s="123"/>
      <c r="G28" s="123"/>
      <c r="H28" s="123"/>
      <c r="I28" s="123"/>
      <c r="J28" s="141" t="s">
        <v>832</v>
      </c>
      <c r="K28" s="125" t="s">
        <v>481</v>
      </c>
      <c r="L28" s="105" t="s">
        <v>1923</v>
      </c>
      <c r="M28" s="105"/>
      <c r="N28" s="105"/>
    </row>
    <row r="29" spans="1:14" x14ac:dyDescent="0.2">
      <c r="A29" s="112"/>
      <c r="B29" s="467" t="s">
        <v>67</v>
      </c>
      <c r="C29" s="467"/>
      <c r="D29" s="467"/>
      <c r="E29" s="114"/>
      <c r="F29" s="114" t="s">
        <v>1180</v>
      </c>
      <c r="G29" s="114" t="s">
        <v>68</v>
      </c>
      <c r="H29" s="114" t="s">
        <v>702</v>
      </c>
      <c r="I29" s="114"/>
      <c r="J29" s="126">
        <f>56/ATHENS!O1*ATHENS!O2</f>
        <v>101.81818181818181</v>
      </c>
      <c r="K29" s="126">
        <f>44/ATHENS!O1*ATHENS!O2</f>
        <v>80</v>
      </c>
      <c r="L29" s="126">
        <f>84/ATHENS!O1*ATHENS!O2</f>
        <v>152.72727272727272</v>
      </c>
      <c r="M29" s="126"/>
      <c r="N29" s="126"/>
    </row>
    <row r="30" spans="1:14" x14ac:dyDescent="0.2">
      <c r="A30" s="116"/>
      <c r="B30" s="461" t="s">
        <v>67</v>
      </c>
      <c r="C30" s="461"/>
      <c r="D30" s="461"/>
      <c r="E30" s="120"/>
      <c r="F30" s="120" t="s">
        <v>1181</v>
      </c>
      <c r="G30" s="120" t="s">
        <v>68</v>
      </c>
      <c r="H30" s="120" t="s">
        <v>702</v>
      </c>
      <c r="I30" s="120"/>
      <c r="J30" s="100">
        <f>38/ATHENS!O1*ATHENS!O2</f>
        <v>69.090909090909079</v>
      </c>
      <c r="K30" s="100">
        <f>28/ATHENS!O1*ATHENS!O2</f>
        <v>50.909090909090907</v>
      </c>
      <c r="L30" s="100">
        <f>56/ATHENS!O1*ATHENS!O2</f>
        <v>101.81818181818181</v>
      </c>
      <c r="M30" s="100"/>
      <c r="N30" s="100"/>
    </row>
    <row r="31" spans="1:14" ht="13.5" thickBot="1" x14ac:dyDescent="0.25">
      <c r="A31" s="121"/>
      <c r="B31" s="460" t="s">
        <v>67</v>
      </c>
      <c r="C31" s="460"/>
      <c r="D31" s="460"/>
      <c r="E31" s="123"/>
      <c r="F31" s="123" t="s">
        <v>1182</v>
      </c>
      <c r="G31" s="123" t="s">
        <v>68</v>
      </c>
      <c r="H31" s="123" t="s">
        <v>702</v>
      </c>
      <c r="I31" s="123"/>
      <c r="J31" s="105">
        <f>30.6/ATHENS!O1*ATHENS!O2</f>
        <v>55.636363636363633</v>
      </c>
      <c r="K31" s="105">
        <f>22.6/ATHENS!O1*ATHENS!O2</f>
        <v>41.090909090909093</v>
      </c>
      <c r="L31" s="105">
        <f>45.5/ATHENS!O1*ATHENS!O2</f>
        <v>82.72727272727272</v>
      </c>
      <c r="M31" s="105"/>
      <c r="N31" s="105"/>
    </row>
    <row r="32" spans="1:14" x14ac:dyDescent="0.2">
      <c r="A32" s="108"/>
      <c r="B32" s="109"/>
      <c r="C32" s="109"/>
      <c r="D32" s="109"/>
      <c r="E32" s="110"/>
      <c r="F32" s="110"/>
      <c r="G32" s="110"/>
      <c r="H32" s="110"/>
      <c r="I32" s="110"/>
      <c r="J32" s="110"/>
      <c r="K32" s="110"/>
      <c r="L32" s="110"/>
      <c r="M32" s="110"/>
      <c r="N32" s="110"/>
    </row>
  </sheetData>
  <customSheetViews>
    <customSheetView guid="{3C76061C-A85D-4390-B9DB-73E13038638C}" showPageBreaks="1" showGridLines="0" view="pageLayout" topLeftCell="A37">
      <selection activeCell="M51" sqref="M51"/>
      <pageMargins left="0.28125" right="0.25" top="0.6692913385826772" bottom="0.70866141732283472" header="0.23622047244094491" footer="0.47244094488188981"/>
      <printOptions horizontalCentered="1"/>
      <pageSetup paperSize="9" firstPageNumber="82"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9">
    <mergeCell ref="B3:M3"/>
    <mergeCell ref="C6:N8"/>
    <mergeCell ref="B14:D14"/>
    <mergeCell ref="B15:D15"/>
    <mergeCell ref="B31:D31"/>
    <mergeCell ref="B19:M19"/>
    <mergeCell ref="C22:N23"/>
    <mergeCell ref="B29:D29"/>
    <mergeCell ref="B30:D30"/>
  </mergeCells>
  <phoneticPr fontId="17" type="noConversion"/>
  <hyperlinks>
    <hyperlink ref="B3:M3" r:id="rId2" display="Patmos Paradise" xr:uid="{00000000-0004-0000-1E00-000000000000}"/>
    <hyperlink ref="B19:M19" r:id="rId3" display="Skala" xr:uid="{00000000-0004-0000-1E00-000001000000}"/>
  </hyperlinks>
  <printOptions horizontalCentered="1"/>
  <pageMargins left="0.28125" right="0.25" top="0.6692913385826772" bottom="0.70866141732283472" header="0.23622047244094491" footer="0.47244094488188981"/>
  <pageSetup paperSize="9" firstPageNumber="82" orientation="portrait" useFirstPageNumber="1" horizontalDpi="300" verticalDpi="300" r:id="rId4"/>
  <headerFooter scaleWithDoc="0" alignWithMargins="0">
    <oddHeader xml:space="preserve">&amp;C TARIFF 2021
 (EURO)
</oddHeader>
    <oddFooter>&amp;LAll rates are in EURO&amp;C
TARIFF 2021
&amp;RPage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N31"/>
  <sheetViews>
    <sheetView showGridLines="0" view="pageLayout" topLeftCell="A40" workbookViewId="0">
      <selection activeCell="M53" sqref="M53"/>
    </sheetView>
  </sheetViews>
  <sheetFormatPr defaultRowHeight="12.75" x14ac:dyDescent="0.2"/>
  <cols>
    <col min="1" max="1" width="1.85546875" style="141" customWidth="1"/>
    <col min="2" max="3" width="10.7109375" style="141" customWidth="1"/>
    <col min="4" max="9" width="3.7109375" style="141" customWidth="1"/>
    <col min="10" max="14" width="10.7109375" style="141" customWidth="1"/>
    <col min="15" max="16384" width="9.140625" style="141"/>
  </cols>
  <sheetData>
    <row r="1" spans="1:14" ht="13.5" thickBot="1" x14ac:dyDescent="0.25">
      <c r="A1" s="112"/>
      <c r="B1" s="113"/>
      <c r="C1" s="113"/>
      <c r="D1" s="113"/>
      <c r="E1" s="114"/>
      <c r="F1" s="114"/>
      <c r="G1" s="114"/>
      <c r="H1" s="114"/>
      <c r="I1" s="114"/>
      <c r="J1" s="114"/>
      <c r="K1" s="114"/>
      <c r="L1" s="114"/>
      <c r="M1" s="114"/>
      <c r="N1" s="115"/>
    </row>
    <row r="2" spans="1:14" ht="15.75" thickBot="1" x14ac:dyDescent="0.25">
      <c r="A2" s="116"/>
      <c r="B2" s="484" t="s">
        <v>499</v>
      </c>
      <c r="C2" s="485"/>
      <c r="D2" s="485"/>
      <c r="E2" s="485"/>
      <c r="F2" s="485"/>
      <c r="G2" s="485"/>
      <c r="H2" s="485"/>
      <c r="I2" s="485"/>
      <c r="J2" s="485"/>
      <c r="K2" s="485"/>
      <c r="L2" s="485"/>
      <c r="M2" s="486"/>
      <c r="N2" s="117" t="s">
        <v>1103</v>
      </c>
    </row>
    <row r="3" spans="1:14" x14ac:dyDescent="0.2">
      <c r="A3" s="116"/>
      <c r="B3" s="118" t="s">
        <v>428</v>
      </c>
      <c r="C3" s="119" t="s">
        <v>500</v>
      </c>
      <c r="D3" s="119"/>
      <c r="E3" s="120"/>
      <c r="F3" s="120"/>
      <c r="G3" s="120"/>
      <c r="H3" s="120"/>
      <c r="I3" s="120"/>
      <c r="J3" s="120"/>
      <c r="K3" s="120"/>
      <c r="L3" s="120"/>
      <c r="M3" s="120"/>
      <c r="N3" s="101"/>
    </row>
    <row r="4" spans="1:14" x14ac:dyDescent="0.2">
      <c r="A4" s="116"/>
      <c r="B4" s="118" t="s">
        <v>429</v>
      </c>
      <c r="C4" s="119" t="s">
        <v>152</v>
      </c>
      <c r="D4" s="119"/>
      <c r="E4" s="120"/>
      <c r="F4" s="120"/>
      <c r="G4" s="120"/>
      <c r="H4" s="120"/>
      <c r="I4" s="120"/>
      <c r="J4" s="120"/>
      <c r="K4" s="120"/>
      <c r="L4" s="120"/>
      <c r="M4" s="120"/>
      <c r="N4" s="101"/>
    </row>
    <row r="5" spans="1:14" x14ac:dyDescent="0.2">
      <c r="A5" s="116"/>
      <c r="B5" s="118" t="s">
        <v>427</v>
      </c>
      <c r="C5" s="465" t="s">
        <v>849</v>
      </c>
      <c r="D5" s="465"/>
      <c r="E5" s="465"/>
      <c r="F5" s="465"/>
      <c r="G5" s="465"/>
      <c r="H5" s="465"/>
      <c r="I5" s="465"/>
      <c r="J5" s="465"/>
      <c r="K5" s="465"/>
      <c r="L5" s="465"/>
      <c r="M5" s="465"/>
      <c r="N5" s="466"/>
    </row>
    <row r="6" spans="1:14" x14ac:dyDescent="0.2">
      <c r="A6" s="116"/>
      <c r="B6" s="118"/>
      <c r="C6" s="465"/>
      <c r="D6" s="465"/>
      <c r="E6" s="465"/>
      <c r="F6" s="465"/>
      <c r="G6" s="465"/>
      <c r="H6" s="465"/>
      <c r="I6" s="465"/>
      <c r="J6" s="465"/>
      <c r="K6" s="465"/>
      <c r="L6" s="465"/>
      <c r="M6" s="465"/>
      <c r="N6" s="466"/>
    </row>
    <row r="7" spans="1:14" x14ac:dyDescent="0.2">
      <c r="A7" s="116"/>
      <c r="B7" s="118"/>
      <c r="C7" s="465"/>
      <c r="D7" s="465"/>
      <c r="E7" s="465"/>
      <c r="F7" s="465"/>
      <c r="G7" s="465"/>
      <c r="H7" s="465"/>
      <c r="I7" s="465"/>
      <c r="J7" s="465"/>
      <c r="K7" s="465"/>
      <c r="L7" s="465"/>
      <c r="M7" s="465"/>
      <c r="N7" s="466"/>
    </row>
    <row r="8" spans="1:14" x14ac:dyDescent="0.2">
      <c r="A8" s="116"/>
      <c r="B8" s="118"/>
      <c r="C8" s="465"/>
      <c r="D8" s="465"/>
      <c r="E8" s="465"/>
      <c r="F8" s="465"/>
      <c r="G8" s="465"/>
      <c r="H8" s="465"/>
      <c r="I8" s="465"/>
      <c r="J8" s="465"/>
      <c r="K8" s="465"/>
      <c r="L8" s="465"/>
      <c r="M8" s="465"/>
      <c r="N8" s="466"/>
    </row>
    <row r="9" spans="1:14" ht="13.5" thickBot="1" x14ac:dyDescent="0.25">
      <c r="A9" s="116"/>
      <c r="B9" s="109"/>
      <c r="C9" s="465"/>
      <c r="D9" s="465"/>
      <c r="E9" s="465"/>
      <c r="F9" s="465"/>
      <c r="G9" s="465"/>
      <c r="H9" s="465"/>
      <c r="I9" s="465"/>
      <c r="J9" s="465"/>
      <c r="K9" s="465"/>
      <c r="L9" s="465"/>
      <c r="M9" s="465"/>
      <c r="N9" s="466"/>
    </row>
    <row r="10" spans="1:14" x14ac:dyDescent="0.2">
      <c r="A10" s="116"/>
      <c r="B10" s="119" t="s">
        <v>1893</v>
      </c>
      <c r="C10" s="119"/>
      <c r="D10" s="119"/>
      <c r="E10" s="120"/>
      <c r="F10" s="120"/>
      <c r="G10" s="120"/>
      <c r="H10" s="120"/>
      <c r="I10" s="120"/>
      <c r="J10" s="124" t="s">
        <v>1596</v>
      </c>
      <c r="K10" s="126" t="s">
        <v>1960</v>
      </c>
      <c r="L10" s="100" t="s">
        <v>1962</v>
      </c>
      <c r="M10" s="100"/>
      <c r="N10" s="100"/>
    </row>
    <row r="11" spans="1:14" x14ac:dyDescent="0.2">
      <c r="A11" s="116"/>
      <c r="B11" s="119"/>
      <c r="C11" s="119"/>
      <c r="D11" s="119"/>
      <c r="E11" s="120"/>
      <c r="F11" s="120"/>
      <c r="G11" s="120"/>
      <c r="H11" s="120"/>
      <c r="I11" s="120"/>
      <c r="J11" s="124" t="s">
        <v>1963</v>
      </c>
      <c r="K11" s="100" t="s">
        <v>1961</v>
      </c>
      <c r="L11" s="100" t="s">
        <v>1890</v>
      </c>
      <c r="M11" s="100"/>
      <c r="N11" s="100"/>
    </row>
    <row r="12" spans="1:14" ht="13.5" thickBot="1" x14ac:dyDescent="0.25">
      <c r="A12" s="121"/>
      <c r="B12" s="119"/>
      <c r="C12" s="122"/>
      <c r="D12" s="122"/>
      <c r="E12" s="123"/>
      <c r="F12" s="123"/>
      <c r="G12" s="123"/>
      <c r="H12" s="123"/>
      <c r="I12" s="123"/>
      <c r="J12" s="125" t="s">
        <v>754</v>
      </c>
      <c r="K12" s="100" t="s">
        <v>520</v>
      </c>
      <c r="L12" s="105" t="s">
        <v>524</v>
      </c>
      <c r="M12" s="105"/>
      <c r="N12" s="105"/>
    </row>
    <row r="13" spans="1:14" x14ac:dyDescent="0.2">
      <c r="A13" s="112"/>
      <c r="B13" s="467" t="s">
        <v>67</v>
      </c>
      <c r="C13" s="467"/>
      <c r="D13" s="467"/>
      <c r="E13" s="114"/>
      <c r="F13" s="114" t="s">
        <v>1180</v>
      </c>
      <c r="G13" s="114" t="s">
        <v>68</v>
      </c>
      <c r="H13" s="114" t="s">
        <v>702</v>
      </c>
      <c r="I13" s="114"/>
      <c r="J13" s="126">
        <f>90/ATHENS!O1*ATHENS!O2</f>
        <v>163.63636363636363</v>
      </c>
      <c r="K13" s="126">
        <f>150/ATHENS!O1*ATHENS!O2</f>
        <v>272.72727272727269</v>
      </c>
      <c r="L13" s="126">
        <f>210/ATHENS!O1*ATHENS!O2</f>
        <v>381.81818181818181</v>
      </c>
      <c r="M13" s="126"/>
      <c r="N13" s="126"/>
    </row>
    <row r="14" spans="1:14" x14ac:dyDescent="0.2">
      <c r="A14" s="116"/>
      <c r="B14" s="461" t="s">
        <v>67</v>
      </c>
      <c r="C14" s="461"/>
      <c r="D14" s="461"/>
      <c r="E14" s="120"/>
      <c r="F14" s="120" t="s">
        <v>1181</v>
      </c>
      <c r="G14" s="120" t="s">
        <v>68</v>
      </c>
      <c r="H14" s="120" t="s">
        <v>702</v>
      </c>
      <c r="I14" s="120"/>
      <c r="J14" s="100">
        <f>45/ATHENS!O1*ATHENS!O2</f>
        <v>81.818181818181813</v>
      </c>
      <c r="K14" s="100">
        <f>75/ATHENS!O1*ATHENS!O2</f>
        <v>136.36363636363635</v>
      </c>
      <c r="L14" s="100">
        <f>105/ATHENS!O1*ATHENS!O2</f>
        <v>190.90909090909091</v>
      </c>
      <c r="M14" s="100"/>
      <c r="N14" s="100"/>
    </row>
    <row r="15" spans="1:14" ht="13.5" thickBot="1" x14ac:dyDescent="0.25">
      <c r="A15" s="121"/>
      <c r="B15" s="460" t="s">
        <v>901</v>
      </c>
      <c r="C15" s="460"/>
      <c r="D15" s="460"/>
      <c r="E15" s="123"/>
      <c r="F15" s="123" t="s">
        <v>705</v>
      </c>
      <c r="G15" s="123" t="s">
        <v>68</v>
      </c>
      <c r="H15" s="123" t="s">
        <v>702</v>
      </c>
      <c r="I15" s="123"/>
      <c r="J15" s="105">
        <f>31.6/ATHENS!O1*ATHENS!O2</f>
        <v>57.454545454545453</v>
      </c>
      <c r="K15" s="105">
        <f>45/ATHENS!O1*ATHENS!O2</f>
        <v>81.818181818181813</v>
      </c>
      <c r="L15" s="105">
        <f>52.6/ATHENS!O1*ATHENS!O2</f>
        <v>95.636363636363626</v>
      </c>
      <c r="M15" s="105"/>
      <c r="N15" s="105"/>
    </row>
    <row r="16" spans="1:14" ht="13.5" thickBot="1" x14ac:dyDescent="0.25">
      <c r="A16" s="239"/>
      <c r="B16" s="119"/>
      <c r="C16" s="119"/>
      <c r="D16" s="119"/>
      <c r="E16" s="120"/>
      <c r="F16" s="120"/>
      <c r="G16" s="120"/>
      <c r="H16" s="120"/>
      <c r="I16" s="120"/>
      <c r="J16" s="120"/>
      <c r="K16" s="120"/>
      <c r="L16" s="120"/>
      <c r="M16" s="120"/>
      <c r="N16" s="120"/>
    </row>
    <row r="17" spans="1:14" ht="13.5" thickBot="1" x14ac:dyDescent="0.25">
      <c r="A17" s="112"/>
      <c r="B17" s="113"/>
      <c r="C17" s="113"/>
      <c r="D17" s="113"/>
      <c r="E17" s="114"/>
      <c r="F17" s="114"/>
      <c r="G17" s="114"/>
      <c r="H17" s="114"/>
      <c r="I17" s="114"/>
      <c r="J17" s="114"/>
      <c r="K17" s="114"/>
      <c r="L17" s="114"/>
      <c r="M17" s="114"/>
      <c r="N17" s="115"/>
    </row>
    <row r="18" spans="1:14" ht="15.75" thickBot="1" x14ac:dyDescent="0.25">
      <c r="A18" s="116"/>
      <c r="B18" s="484" t="s">
        <v>501</v>
      </c>
      <c r="C18" s="485"/>
      <c r="D18" s="485"/>
      <c r="E18" s="485"/>
      <c r="F18" s="485"/>
      <c r="G18" s="485"/>
      <c r="H18" s="485"/>
      <c r="I18" s="485"/>
      <c r="J18" s="485"/>
      <c r="K18" s="485"/>
      <c r="L18" s="485"/>
      <c r="M18" s="486"/>
      <c r="N18" s="117" t="s">
        <v>1103</v>
      </c>
    </row>
    <row r="19" spans="1:14" x14ac:dyDescent="0.2">
      <c r="A19" s="116"/>
      <c r="B19" s="118" t="s">
        <v>428</v>
      </c>
      <c r="C19" s="119" t="s">
        <v>1240</v>
      </c>
      <c r="D19" s="119"/>
      <c r="E19" s="120"/>
      <c r="F19" s="120"/>
      <c r="G19" s="120"/>
      <c r="H19" s="120"/>
      <c r="I19" s="120"/>
      <c r="J19" s="120"/>
      <c r="K19" s="120"/>
      <c r="L19" s="120"/>
      <c r="M19" s="120"/>
      <c r="N19" s="101"/>
    </row>
    <row r="20" spans="1:14" x14ac:dyDescent="0.2">
      <c r="A20" s="116"/>
      <c r="B20" s="118" t="s">
        <v>429</v>
      </c>
      <c r="C20" s="119" t="s">
        <v>153</v>
      </c>
      <c r="D20" s="119"/>
      <c r="E20" s="120"/>
      <c r="F20" s="120"/>
      <c r="G20" s="120"/>
      <c r="H20" s="120"/>
      <c r="I20" s="120"/>
      <c r="J20" s="120"/>
      <c r="K20" s="120"/>
      <c r="L20" s="120"/>
      <c r="M20" s="120"/>
      <c r="N20" s="101"/>
    </row>
    <row r="21" spans="1:14" x14ac:dyDescent="0.2">
      <c r="A21" s="116"/>
      <c r="B21" s="118" t="s">
        <v>427</v>
      </c>
      <c r="C21" s="465" t="s">
        <v>850</v>
      </c>
      <c r="D21" s="465"/>
      <c r="E21" s="465"/>
      <c r="F21" s="465"/>
      <c r="G21" s="465"/>
      <c r="H21" s="465"/>
      <c r="I21" s="465"/>
      <c r="J21" s="465"/>
      <c r="K21" s="465"/>
      <c r="L21" s="465"/>
      <c r="M21" s="465"/>
      <c r="N21" s="466"/>
    </row>
    <row r="22" spans="1:14" x14ac:dyDescent="0.2">
      <c r="A22" s="116"/>
      <c r="B22" s="118"/>
      <c r="C22" s="465"/>
      <c r="D22" s="465"/>
      <c r="E22" s="465"/>
      <c r="F22" s="465"/>
      <c r="G22" s="465"/>
      <c r="H22" s="465"/>
      <c r="I22" s="465"/>
      <c r="J22" s="465"/>
      <c r="K22" s="465"/>
      <c r="L22" s="465"/>
      <c r="M22" s="465"/>
      <c r="N22" s="466"/>
    </row>
    <row r="23" spans="1:14" ht="13.5" thickBot="1" x14ac:dyDescent="0.25">
      <c r="A23" s="116"/>
      <c r="B23" s="109"/>
      <c r="C23" s="465"/>
      <c r="D23" s="465"/>
      <c r="E23" s="465"/>
      <c r="F23" s="465"/>
      <c r="G23" s="465"/>
      <c r="H23" s="465"/>
      <c r="I23" s="465"/>
      <c r="J23" s="465"/>
      <c r="K23" s="465"/>
      <c r="L23" s="465"/>
      <c r="M23" s="465"/>
      <c r="N23" s="466"/>
    </row>
    <row r="24" spans="1:14" x14ac:dyDescent="0.2">
      <c r="A24" s="112"/>
      <c r="B24" s="113" t="s">
        <v>263</v>
      </c>
      <c r="C24" s="113"/>
      <c r="D24" s="113"/>
      <c r="E24" s="114"/>
      <c r="F24" s="114"/>
      <c r="G24" s="114"/>
      <c r="H24" s="114"/>
      <c r="I24" s="114"/>
      <c r="J24" s="127" t="s">
        <v>1862</v>
      </c>
      <c r="K24" s="126" t="s">
        <v>1864</v>
      </c>
      <c r="L24" s="126" t="s">
        <v>1866</v>
      </c>
      <c r="N24" s="126"/>
    </row>
    <row r="25" spans="1:14" x14ac:dyDescent="0.2">
      <c r="A25" s="116"/>
      <c r="B25" s="119"/>
      <c r="C25" s="119"/>
      <c r="D25" s="119"/>
      <c r="E25" s="120"/>
      <c r="F25" s="120"/>
      <c r="G25" s="120"/>
      <c r="H25" s="120"/>
      <c r="I25" s="120"/>
      <c r="J25" s="124" t="s">
        <v>1863</v>
      </c>
      <c r="K25" s="100" t="s">
        <v>1865</v>
      </c>
      <c r="L25" s="100" t="s">
        <v>1867</v>
      </c>
      <c r="N25" s="100"/>
    </row>
    <row r="26" spans="1:14" ht="13.5" thickBot="1" x14ac:dyDescent="0.25">
      <c r="A26" s="121"/>
      <c r="B26" s="119"/>
      <c r="C26" s="122"/>
      <c r="D26" s="122"/>
      <c r="E26" s="123"/>
      <c r="F26" s="123"/>
      <c r="G26" s="123"/>
      <c r="H26" s="123"/>
      <c r="I26" s="123"/>
      <c r="J26" s="125" t="s">
        <v>481</v>
      </c>
      <c r="K26" s="105" t="s">
        <v>832</v>
      </c>
      <c r="L26" s="105" t="s">
        <v>514</v>
      </c>
      <c r="N26" s="105"/>
    </row>
    <row r="27" spans="1:14" x14ac:dyDescent="0.2">
      <c r="A27" s="112"/>
      <c r="B27" s="467" t="s">
        <v>67</v>
      </c>
      <c r="C27" s="467"/>
      <c r="D27" s="467"/>
      <c r="E27" s="114"/>
      <c r="F27" s="114" t="s">
        <v>1180</v>
      </c>
      <c r="G27" s="114" t="s">
        <v>68</v>
      </c>
      <c r="H27" s="114" t="s">
        <v>702</v>
      </c>
      <c r="I27" s="114"/>
      <c r="J27" s="126">
        <f>37/ATHENS!O1*ATHENS!O2</f>
        <v>67.272727272727266</v>
      </c>
      <c r="K27" s="126">
        <f>41/ATHENS!O1*ATHENS!O2</f>
        <v>74.545454545454533</v>
      </c>
      <c r="L27" s="126">
        <f>75/ATHENS!O1*ATHENS!O2</f>
        <v>136.36363636363635</v>
      </c>
      <c r="M27" s="126"/>
      <c r="N27" s="126"/>
    </row>
    <row r="28" spans="1:14" x14ac:dyDescent="0.2">
      <c r="A28" s="116"/>
      <c r="B28" s="461" t="s">
        <v>67</v>
      </c>
      <c r="C28" s="461"/>
      <c r="D28" s="461"/>
      <c r="E28" s="120"/>
      <c r="F28" s="120" t="s">
        <v>1181</v>
      </c>
      <c r="G28" s="120" t="s">
        <v>68</v>
      </c>
      <c r="H28" s="120" t="s">
        <v>702</v>
      </c>
      <c r="I28" s="120"/>
      <c r="J28" s="100">
        <f>22.5/ATHENS!O1*ATHENS!O2</f>
        <v>40.909090909090907</v>
      </c>
      <c r="K28" s="100">
        <f>25.5/ATHENS!O1*ATHENS!O2</f>
        <v>46.36363636363636</v>
      </c>
      <c r="L28" s="100">
        <f>44/ATHENS!O1*ATHENS!O2</f>
        <v>80</v>
      </c>
      <c r="M28" s="100"/>
      <c r="N28" s="100"/>
    </row>
    <row r="29" spans="1:14" ht="13.5" thickBot="1" x14ac:dyDescent="0.25">
      <c r="A29" s="121"/>
      <c r="B29" s="460" t="s">
        <v>67</v>
      </c>
      <c r="C29" s="460"/>
      <c r="D29" s="460"/>
      <c r="E29" s="123"/>
      <c r="F29" s="123" t="s">
        <v>1182</v>
      </c>
      <c r="G29" s="123" t="s">
        <v>68</v>
      </c>
      <c r="H29" s="123" t="s">
        <v>702</v>
      </c>
      <c r="I29" s="123"/>
      <c r="J29" s="105">
        <f>19/ATHENS!O1*ATHENS!O2</f>
        <v>34.54545454545454</v>
      </c>
      <c r="K29" s="105">
        <f>22.5/ATHENS!O1*ATHENS!O2</f>
        <v>40.909090909090907</v>
      </c>
      <c r="L29" s="105">
        <f>35.5/ATHENS!O1*ATHENS!O2</f>
        <v>64.545454545454547</v>
      </c>
      <c r="M29" s="105"/>
      <c r="N29" s="105"/>
    </row>
    <row r="30" spans="1:14" x14ac:dyDescent="0.2">
      <c r="A30" s="239"/>
      <c r="B30" s="119"/>
      <c r="C30" s="119"/>
      <c r="D30" s="119"/>
      <c r="E30" s="120"/>
      <c r="F30" s="120"/>
      <c r="G30" s="120"/>
      <c r="H30" s="120"/>
      <c r="I30" s="120"/>
      <c r="J30" s="120"/>
      <c r="K30" s="120"/>
      <c r="L30" s="120"/>
      <c r="M30" s="120"/>
      <c r="N30" s="120"/>
    </row>
    <row r="31" spans="1:14" x14ac:dyDescent="0.2">
      <c r="A31" s="108"/>
      <c r="B31" s="109"/>
      <c r="C31" s="109"/>
      <c r="D31" s="109"/>
      <c r="E31" s="110"/>
      <c r="F31" s="110"/>
      <c r="G31" s="110"/>
      <c r="H31" s="110"/>
      <c r="I31" s="110"/>
      <c r="J31" s="110"/>
      <c r="K31" s="110"/>
      <c r="L31" s="110"/>
      <c r="M31" s="110"/>
      <c r="N31" s="110"/>
    </row>
  </sheetData>
  <customSheetViews>
    <customSheetView guid="{3C76061C-A85D-4390-B9DB-73E13038638C}" showPageBreaks="1" showGridLines="0" view="pageLayout" topLeftCell="A40">
      <selection activeCell="M51" sqref="M51"/>
      <pageMargins left="0.28125" right="0.25" top="0.6692913385826772" bottom="0.70866141732283472" header="0.23622047244094491" footer="0.47244094488188981"/>
      <printOptions horizontalCentered="1"/>
      <pageSetup paperSize="9" firstPageNumber="83"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10">
    <mergeCell ref="B18:M18"/>
    <mergeCell ref="B27:D27"/>
    <mergeCell ref="B28:D28"/>
    <mergeCell ref="B29:D29"/>
    <mergeCell ref="C21:N23"/>
    <mergeCell ref="B2:M2"/>
    <mergeCell ref="C5:N9"/>
    <mergeCell ref="B13:D13"/>
    <mergeCell ref="B14:D14"/>
    <mergeCell ref="B15:D15"/>
  </mergeCells>
  <phoneticPr fontId="17" type="noConversion"/>
  <hyperlinks>
    <hyperlink ref="B2:M2" r:id="rId2" display="Best Western Poros Image" xr:uid="{00000000-0004-0000-1F00-000000000000}"/>
    <hyperlink ref="B18:M18" r:id="rId3" display="New Aegli" xr:uid="{00000000-0004-0000-1F00-000001000000}"/>
  </hyperlinks>
  <printOptions horizontalCentered="1"/>
  <pageMargins left="0.28125" right="0.25" top="0.6692913385826772" bottom="0.70866141732283472" header="0.23622047244094491" footer="0.47244094488188981"/>
  <pageSetup paperSize="9" firstPageNumber="83" orientation="portrait" useFirstPageNumber="1" horizontalDpi="300" verticalDpi="300" r:id="rId4"/>
  <headerFooter scaleWithDoc="0" alignWithMargins="0">
    <oddHeader xml:space="preserve">&amp;C TARIFF 2021
 (EURO)
</oddHeader>
    <oddFooter>&amp;LAll rates are in EURO&amp;C
TARIFF 2021
&amp;RPage &amp;P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6:N19"/>
  <sheetViews>
    <sheetView view="pageLayout" topLeftCell="A37" zoomScaleNormal="100" workbookViewId="0">
      <selection activeCell="M53" sqref="M53"/>
    </sheetView>
  </sheetViews>
  <sheetFormatPr defaultRowHeight="12.75" x14ac:dyDescent="0.2"/>
  <cols>
    <col min="1" max="1" width="4.28515625" customWidth="1"/>
    <col min="4" max="4" width="4.140625" customWidth="1"/>
    <col min="5" max="5" width="6.140625" customWidth="1"/>
    <col min="6" max="6" width="6" customWidth="1"/>
    <col min="7" max="7" width="5.7109375" customWidth="1"/>
    <col min="8" max="8" width="5.85546875" customWidth="1"/>
    <col min="9" max="9" width="2.85546875" customWidth="1"/>
    <col min="10" max="10" width="10.42578125" customWidth="1"/>
    <col min="11" max="11" width="11.5703125" customWidth="1"/>
    <col min="12" max="12" width="10.140625" customWidth="1"/>
    <col min="13" max="13" width="4" customWidth="1"/>
    <col min="14" max="14" width="4.28515625" customWidth="1"/>
  </cols>
  <sheetData>
    <row r="6" spans="1:14" x14ac:dyDescent="0.2">
      <c r="A6" s="368"/>
      <c r="B6" s="369"/>
      <c r="C6" s="369"/>
      <c r="D6" s="369"/>
      <c r="E6" s="369"/>
      <c r="F6" s="369"/>
      <c r="G6" s="369"/>
      <c r="H6" s="369"/>
      <c r="I6" s="369"/>
      <c r="J6" s="369"/>
      <c r="K6" s="369"/>
      <c r="L6" s="369"/>
      <c r="M6" s="369"/>
      <c r="N6" s="370"/>
    </row>
    <row r="7" spans="1:14" ht="15" x14ac:dyDescent="0.2">
      <c r="A7" s="338"/>
      <c r="B7" s="440" t="s">
        <v>1734</v>
      </c>
      <c r="C7" s="441"/>
      <c r="D7" s="441"/>
      <c r="E7" s="441"/>
      <c r="F7" s="441"/>
      <c r="G7" s="441"/>
      <c r="H7" s="441"/>
      <c r="I7" s="441"/>
      <c r="J7" s="441"/>
      <c r="K7" s="441"/>
      <c r="L7" s="441"/>
      <c r="M7" s="442"/>
      <c r="N7" s="371" t="s">
        <v>91</v>
      </c>
    </row>
    <row r="8" spans="1:14" x14ac:dyDescent="0.2">
      <c r="A8" s="338"/>
      <c r="B8" s="26" t="s">
        <v>428</v>
      </c>
      <c r="C8" s="27" t="s">
        <v>1732</v>
      </c>
      <c r="D8" s="27"/>
      <c r="E8" s="28"/>
      <c r="F8" s="28"/>
      <c r="G8" s="28"/>
      <c r="H8" s="28"/>
      <c r="I8" s="28"/>
      <c r="J8" s="28"/>
      <c r="K8" s="28"/>
      <c r="L8" s="28"/>
      <c r="M8" s="28"/>
      <c r="N8" s="352"/>
    </row>
    <row r="9" spans="1:14" x14ac:dyDescent="0.2">
      <c r="A9" s="338"/>
      <c r="B9" s="26" t="s">
        <v>429</v>
      </c>
      <c r="C9" s="27" t="s">
        <v>1736</v>
      </c>
      <c r="D9" s="27"/>
      <c r="E9" s="28"/>
      <c r="F9" s="28"/>
      <c r="G9" s="28"/>
      <c r="H9" s="28"/>
      <c r="I9" s="28"/>
      <c r="J9" s="28"/>
      <c r="K9" s="28"/>
      <c r="L9" s="28"/>
      <c r="M9" s="28"/>
      <c r="N9" s="352"/>
    </row>
    <row r="10" spans="1:14" x14ac:dyDescent="0.2">
      <c r="A10" s="338"/>
      <c r="B10" s="26" t="s">
        <v>427</v>
      </c>
      <c r="C10" s="436" t="s">
        <v>1733</v>
      </c>
      <c r="D10" s="436"/>
      <c r="E10" s="436"/>
      <c r="F10" s="436"/>
      <c r="G10" s="436"/>
      <c r="H10" s="436"/>
      <c r="I10" s="436"/>
      <c r="J10" s="436"/>
      <c r="K10" s="436"/>
      <c r="L10" s="436"/>
      <c r="M10" s="436"/>
      <c r="N10" s="489"/>
    </row>
    <row r="11" spans="1:14" x14ac:dyDescent="0.2">
      <c r="A11" s="338"/>
      <c r="B11" s="27"/>
      <c r="C11" s="436"/>
      <c r="D11" s="436"/>
      <c r="E11" s="436"/>
      <c r="F11" s="436"/>
      <c r="G11" s="436"/>
      <c r="H11" s="436"/>
      <c r="I11" s="436"/>
      <c r="J11" s="436"/>
      <c r="K11" s="436"/>
      <c r="L11" s="436"/>
      <c r="M11" s="436"/>
      <c r="N11" s="489"/>
    </row>
    <row r="12" spans="1:14" x14ac:dyDescent="0.2">
      <c r="A12" s="338"/>
      <c r="B12" s="26" t="s">
        <v>426</v>
      </c>
      <c r="C12" s="27" t="s">
        <v>1735</v>
      </c>
      <c r="D12" s="27"/>
      <c r="E12" s="28"/>
      <c r="F12" s="28"/>
      <c r="G12" s="28"/>
      <c r="H12" s="28"/>
      <c r="I12" s="28"/>
      <c r="J12" s="28"/>
      <c r="K12" s="28"/>
      <c r="L12" s="28"/>
      <c r="M12" s="28"/>
      <c r="N12" s="352"/>
    </row>
    <row r="13" spans="1:14" ht="13.5" thickBot="1" x14ac:dyDescent="0.25">
      <c r="A13" s="372"/>
      <c r="B13" s="26" t="s">
        <v>430</v>
      </c>
      <c r="C13" s="31"/>
      <c r="D13" s="31"/>
      <c r="E13" s="32"/>
      <c r="F13" s="32"/>
      <c r="G13" s="32"/>
      <c r="H13" s="32"/>
      <c r="I13" s="32"/>
      <c r="J13" s="32"/>
      <c r="K13" s="32"/>
      <c r="L13" s="32"/>
      <c r="M13" s="32"/>
      <c r="N13" s="347"/>
    </row>
    <row r="14" spans="1:14" x14ac:dyDescent="0.2">
      <c r="A14" s="338"/>
      <c r="B14" s="21" t="s">
        <v>263</v>
      </c>
      <c r="C14" s="27"/>
      <c r="D14" s="27"/>
      <c r="E14" s="28"/>
      <c r="F14" s="28"/>
      <c r="G14" s="28"/>
      <c r="H14" s="28"/>
      <c r="I14" s="28"/>
      <c r="J14" s="67" t="s">
        <v>2124</v>
      </c>
      <c r="K14" s="63" t="s">
        <v>2125</v>
      </c>
      <c r="L14" s="63"/>
      <c r="M14" s="63"/>
      <c r="N14" s="344"/>
    </row>
    <row r="15" spans="1:14" ht="13.5" thickBot="1" x14ac:dyDescent="0.25">
      <c r="A15" s="372"/>
      <c r="B15" s="31"/>
      <c r="C15" s="31"/>
      <c r="D15" s="31"/>
      <c r="E15" s="32"/>
      <c r="F15" s="32"/>
      <c r="G15" s="32"/>
      <c r="H15" s="32"/>
      <c r="I15" s="32"/>
      <c r="J15" s="49" t="s">
        <v>1390</v>
      </c>
      <c r="K15" s="40" t="s">
        <v>1426</v>
      </c>
      <c r="L15" s="40" t="s">
        <v>1571</v>
      </c>
      <c r="M15" s="40"/>
      <c r="N15" s="373"/>
    </row>
    <row r="16" spans="1:14" x14ac:dyDescent="0.2">
      <c r="A16" s="374"/>
      <c r="B16" s="434" t="s">
        <v>67</v>
      </c>
      <c r="C16" s="434"/>
      <c r="D16" s="434"/>
      <c r="E16" s="22"/>
      <c r="F16" s="22" t="s">
        <v>1180</v>
      </c>
      <c r="G16" s="22" t="s">
        <v>68</v>
      </c>
      <c r="H16" s="22" t="s">
        <v>702</v>
      </c>
      <c r="I16" s="28"/>
      <c r="J16" s="75">
        <f>187/ATHENS!O1*ATHENS!O2</f>
        <v>340</v>
      </c>
      <c r="K16" s="75">
        <f>247/ATHENS!O1*ATHENS!O2</f>
        <v>449.09090909090907</v>
      </c>
      <c r="L16" s="44">
        <f>297/ATHENS!O1*ATHENS!O2</f>
        <v>540</v>
      </c>
      <c r="M16" s="42"/>
      <c r="N16" s="375"/>
    </row>
    <row r="17" spans="1:14" x14ac:dyDescent="0.2">
      <c r="A17" s="338"/>
      <c r="B17" s="435" t="s">
        <v>67</v>
      </c>
      <c r="C17" s="435"/>
      <c r="D17" s="435"/>
      <c r="E17" s="28"/>
      <c r="F17" s="28" t="s">
        <v>1181</v>
      </c>
      <c r="G17" s="28" t="s">
        <v>68</v>
      </c>
      <c r="H17" s="28" t="s">
        <v>702</v>
      </c>
      <c r="I17" s="28"/>
      <c r="J17" s="75">
        <f>98.5/ATHENS!O1*ATHENS!O2</f>
        <v>179.09090909090907</v>
      </c>
      <c r="K17" s="75">
        <f>128.5/ATHENS!O1*ATHENS!O2</f>
        <v>233.63636363636363</v>
      </c>
      <c r="L17" s="44">
        <f>154/ATHENS!O1*ATHENS!O2</f>
        <v>280</v>
      </c>
      <c r="M17" s="44"/>
      <c r="N17" s="330"/>
    </row>
    <row r="18" spans="1:14" x14ac:dyDescent="0.2">
      <c r="A18" s="338"/>
      <c r="B18" s="316" t="s">
        <v>67</v>
      </c>
      <c r="C18" s="27"/>
      <c r="D18" s="27"/>
      <c r="E18" s="28"/>
      <c r="F18" s="28" t="s">
        <v>1182</v>
      </c>
      <c r="G18" s="28" t="s">
        <v>68</v>
      </c>
      <c r="H18" s="28" t="s">
        <v>702</v>
      </c>
      <c r="I18" s="28"/>
      <c r="J18" s="75">
        <f>83.6/ATHENS!O1*ATHENS!O2</f>
        <v>151.99999999999997</v>
      </c>
      <c r="K18" s="75">
        <f>103.6/ATHENS!O1*ATHENS!O2</f>
        <v>188.36363636363635</v>
      </c>
      <c r="L18" s="44">
        <f>121/ATHENS!O1*ATHENS!O2</f>
        <v>219.99999999999997</v>
      </c>
      <c r="M18" s="44"/>
      <c r="N18" s="330"/>
    </row>
    <row r="19" spans="1:14" x14ac:dyDescent="0.2">
      <c r="A19" s="339"/>
      <c r="B19" s="451" t="s">
        <v>902</v>
      </c>
      <c r="C19" s="451"/>
      <c r="D19" s="451"/>
      <c r="E19" s="333"/>
      <c r="F19" s="376"/>
      <c r="G19" s="376"/>
      <c r="H19" s="333" t="s">
        <v>702</v>
      </c>
      <c r="I19" s="333"/>
      <c r="J19" s="334">
        <f>36/ATHENS!O1*ATHENS!O2</f>
        <v>65.454545454545453</v>
      </c>
      <c r="K19" s="334">
        <f>36/ATHENS!O1*ATHENS!O2</f>
        <v>65.454545454545453</v>
      </c>
      <c r="L19" s="335">
        <f>39/ATHENS!O1*ATHENS!O2</f>
        <v>70.909090909090907</v>
      </c>
      <c r="M19" s="335"/>
      <c r="N19" s="336"/>
    </row>
  </sheetData>
  <customSheetViews>
    <customSheetView guid="{3C76061C-A85D-4390-B9DB-73E13038638C}" showPageBreaks="1" view="pageLayout" topLeftCell="A37">
      <selection activeCell="M51" sqref="M51"/>
      <pageMargins left="0.28125" right="0.25" top="0.6692913385826772" bottom="0.70866141732283472" header="0.23622047244094491" footer="0.47244094488188981"/>
      <pageSetup paperSize="9" orientation="portrait" r:id="rId1"/>
      <headerFooter scaleWithDoc="0" alignWithMargins="0">
        <oddHeader>&amp;C TARIFF 2019
 (EURO)
Accommodation in &amp;A</oddHeader>
        <oddFooter>&amp;LAll rates are in EURO&amp;C
TARIFF 2019
&amp;RPage &amp;P</oddFooter>
      </headerFooter>
    </customSheetView>
  </customSheetViews>
  <mergeCells count="5">
    <mergeCell ref="B7:M7"/>
    <mergeCell ref="C10:N11"/>
    <mergeCell ref="B16:D16"/>
    <mergeCell ref="B17:D17"/>
    <mergeCell ref="B19:D19"/>
  </mergeCells>
  <hyperlinks>
    <hyperlink ref="B7:M7" r:id="rId2" display="The Westin Resort Costa Navarino" xr:uid="{00000000-0004-0000-2000-000000000000}"/>
  </hyperlinks>
  <pageMargins left="0.28125" right="0.25" top="0.6692913385826772" bottom="0.70866141732283472" header="0.23622047244094491" footer="0.47244094488188981"/>
  <pageSetup paperSize="9" orientation="portrait" r:id="rId3"/>
  <headerFooter scaleWithDoc="0" alignWithMargins="0">
    <oddHeader xml:space="preserve">&amp;C TARIFF 2021
 (EURO)
</oddHeader>
    <oddFooter>&amp;LAll rates are in EURO&amp;C
TARIFF 2021
&amp;RPage &amp;P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
  <dimension ref="A1:P347"/>
  <sheetViews>
    <sheetView showGridLines="0" view="pageLayout" zoomScaleNormal="100" workbookViewId="0">
      <selection activeCell="M53" sqref="M53"/>
    </sheetView>
  </sheetViews>
  <sheetFormatPr defaultRowHeight="12.75" x14ac:dyDescent="0.2"/>
  <cols>
    <col min="1" max="1" width="1.85546875" style="140" customWidth="1"/>
    <col min="2" max="3" width="10.7109375" style="140" customWidth="1"/>
    <col min="4" max="9" width="3.7109375" style="140" customWidth="1"/>
    <col min="10" max="14" width="10.7109375" style="140" customWidth="1"/>
    <col min="15" max="15" width="9.28515625" style="140" customWidth="1"/>
    <col min="16" max="21" width="2.7109375" style="140" customWidth="1"/>
    <col min="22" max="16384" width="9.140625" style="140"/>
  </cols>
  <sheetData>
    <row r="1" spans="1:16" s="111" customFormat="1" x14ac:dyDescent="0.2">
      <c r="A1" s="108"/>
      <c r="B1" s="109"/>
      <c r="C1" s="109"/>
      <c r="D1" s="109"/>
      <c r="E1" s="110"/>
      <c r="F1" s="110"/>
      <c r="G1" s="110"/>
      <c r="H1" s="110"/>
      <c r="I1" s="110"/>
      <c r="J1" s="110"/>
      <c r="K1" s="110"/>
      <c r="L1" s="110"/>
      <c r="M1" s="110"/>
      <c r="N1" s="110"/>
      <c r="O1" s="130"/>
      <c r="P1" s="146"/>
    </row>
    <row r="2" spans="1:16" s="111" customFormat="1" ht="13.5" thickBot="1" x14ac:dyDescent="0.25">
      <c r="A2" s="108"/>
      <c r="B2" s="109"/>
      <c r="C2" s="109"/>
      <c r="D2" s="109"/>
      <c r="E2" s="110"/>
      <c r="F2" s="110"/>
      <c r="G2" s="110"/>
      <c r="H2" s="110"/>
      <c r="I2" s="110"/>
      <c r="J2" s="110"/>
      <c r="K2" s="110"/>
      <c r="L2" s="110"/>
      <c r="M2" s="110"/>
      <c r="N2" s="110"/>
      <c r="O2" s="130"/>
      <c r="P2" s="146"/>
    </row>
    <row r="3" spans="1:16" s="111" customFormat="1" ht="13.5" thickBot="1" x14ac:dyDescent="0.25">
      <c r="A3" s="112"/>
      <c r="B3" s="113"/>
      <c r="C3" s="113"/>
      <c r="D3" s="113"/>
      <c r="E3" s="114"/>
      <c r="F3" s="114"/>
      <c r="G3" s="114"/>
      <c r="H3" s="114"/>
      <c r="I3" s="114"/>
      <c r="J3" s="114"/>
      <c r="K3" s="114"/>
      <c r="L3" s="114"/>
      <c r="M3" s="114"/>
      <c r="N3" s="115"/>
      <c r="O3" s="130"/>
      <c r="P3" s="146"/>
    </row>
    <row r="4" spans="1:16" s="111" customFormat="1" ht="15.75" thickBot="1" x14ac:dyDescent="0.25">
      <c r="A4" s="116"/>
      <c r="B4" s="484" t="s">
        <v>590</v>
      </c>
      <c r="C4" s="485"/>
      <c r="D4" s="485"/>
      <c r="E4" s="485"/>
      <c r="F4" s="485"/>
      <c r="G4" s="485"/>
      <c r="H4" s="485"/>
      <c r="I4" s="485"/>
      <c r="J4" s="485"/>
      <c r="K4" s="485"/>
      <c r="L4" s="485"/>
      <c r="M4" s="486"/>
      <c r="N4" s="117" t="s">
        <v>91</v>
      </c>
      <c r="O4" s="130"/>
      <c r="P4" s="146"/>
    </row>
    <row r="5" spans="1:16" s="111" customFormat="1" x14ac:dyDescent="0.2">
      <c r="A5" s="116"/>
      <c r="B5" s="118" t="s">
        <v>428</v>
      </c>
      <c r="C5" s="119" t="s">
        <v>591</v>
      </c>
      <c r="D5" s="119"/>
      <c r="E5" s="120"/>
      <c r="F5" s="120"/>
      <c r="G5" s="120"/>
      <c r="H5" s="120"/>
      <c r="I5" s="120"/>
      <c r="J5" s="120"/>
      <c r="K5" s="120"/>
      <c r="L5" s="120"/>
      <c r="M5" s="120"/>
      <c r="N5" s="101"/>
      <c r="O5" s="130"/>
      <c r="P5" s="146"/>
    </row>
    <row r="6" spans="1:16" s="111" customFormat="1" x14ac:dyDescent="0.2">
      <c r="A6" s="116"/>
      <c r="B6" s="118" t="s">
        <v>429</v>
      </c>
      <c r="C6" s="147" t="s">
        <v>1063</v>
      </c>
      <c r="D6" s="119"/>
      <c r="E6" s="120"/>
      <c r="F6" s="120"/>
      <c r="G6" s="120"/>
      <c r="H6" s="120"/>
      <c r="I6" s="120"/>
      <c r="J6" s="120"/>
      <c r="K6" s="120"/>
      <c r="L6" s="120"/>
      <c r="M6" s="120"/>
      <c r="N6" s="101"/>
      <c r="O6" s="130"/>
      <c r="P6" s="146"/>
    </row>
    <row r="7" spans="1:16" s="111" customFormat="1" x14ac:dyDescent="0.2">
      <c r="A7" s="116"/>
      <c r="B7" s="118" t="s">
        <v>427</v>
      </c>
      <c r="C7" s="480" t="s">
        <v>525</v>
      </c>
      <c r="D7" s="480"/>
      <c r="E7" s="480"/>
      <c r="F7" s="480"/>
      <c r="G7" s="480"/>
      <c r="H7" s="480"/>
      <c r="I7" s="480"/>
      <c r="J7" s="480"/>
      <c r="K7" s="480"/>
      <c r="L7" s="480"/>
      <c r="M7" s="480"/>
      <c r="N7" s="481"/>
      <c r="O7" s="130"/>
      <c r="P7" s="146"/>
    </row>
    <row r="8" spans="1:16" s="111" customFormat="1" x14ac:dyDescent="0.2">
      <c r="A8" s="116"/>
      <c r="B8" s="109"/>
      <c r="C8" s="480"/>
      <c r="D8" s="480"/>
      <c r="E8" s="480"/>
      <c r="F8" s="480"/>
      <c r="G8" s="480"/>
      <c r="H8" s="480"/>
      <c r="I8" s="480"/>
      <c r="J8" s="480"/>
      <c r="K8" s="480"/>
      <c r="L8" s="480"/>
      <c r="M8" s="480"/>
      <c r="N8" s="481"/>
      <c r="O8" s="130"/>
      <c r="P8" s="146"/>
    </row>
    <row r="9" spans="1:16" s="111" customFormat="1" x14ac:dyDescent="0.2">
      <c r="A9" s="116"/>
      <c r="B9" s="109"/>
      <c r="C9" s="480"/>
      <c r="D9" s="480"/>
      <c r="E9" s="480"/>
      <c r="F9" s="480"/>
      <c r="G9" s="480"/>
      <c r="H9" s="480"/>
      <c r="I9" s="480"/>
      <c r="J9" s="480"/>
      <c r="K9" s="480"/>
      <c r="L9" s="480"/>
      <c r="M9" s="480"/>
      <c r="N9" s="481"/>
      <c r="O9" s="130"/>
      <c r="P9" s="146"/>
    </row>
    <row r="10" spans="1:16" s="111" customFormat="1" x14ac:dyDescent="0.2">
      <c r="A10" s="116"/>
      <c r="B10" s="109"/>
      <c r="C10" s="480"/>
      <c r="D10" s="480"/>
      <c r="E10" s="480"/>
      <c r="F10" s="480"/>
      <c r="G10" s="480"/>
      <c r="H10" s="480"/>
      <c r="I10" s="480"/>
      <c r="J10" s="480"/>
      <c r="K10" s="480"/>
      <c r="L10" s="480"/>
      <c r="M10" s="480"/>
      <c r="N10" s="481"/>
      <c r="O10" s="130"/>
      <c r="P10" s="146"/>
    </row>
    <row r="11" spans="1:16" s="111" customFormat="1" x14ac:dyDescent="0.2">
      <c r="A11" s="116"/>
      <c r="B11" s="118" t="s">
        <v>426</v>
      </c>
      <c r="C11" s="119"/>
      <c r="D11" s="119"/>
      <c r="E11" s="120"/>
      <c r="F11" s="120"/>
      <c r="G11" s="120"/>
      <c r="H11" s="120"/>
      <c r="I11" s="120"/>
      <c r="J11" s="120"/>
      <c r="K11" s="120"/>
      <c r="L11" s="120"/>
      <c r="M11" s="120"/>
      <c r="N11" s="101"/>
      <c r="O11" s="130"/>
      <c r="P11" s="146"/>
    </row>
    <row r="12" spans="1:16" s="111" customFormat="1" ht="13.5" thickBot="1" x14ac:dyDescent="0.25">
      <c r="A12" s="121"/>
      <c r="B12" s="118" t="s">
        <v>430</v>
      </c>
      <c r="C12" s="122"/>
      <c r="D12" s="122"/>
      <c r="E12" s="123"/>
      <c r="F12" s="123"/>
      <c r="G12" s="123"/>
      <c r="H12" s="123"/>
      <c r="I12" s="123"/>
      <c r="J12" s="123"/>
      <c r="K12" s="123"/>
      <c r="L12" s="123"/>
      <c r="M12" s="123"/>
      <c r="N12" s="104"/>
      <c r="O12" s="130"/>
      <c r="P12" s="146"/>
    </row>
    <row r="13" spans="1:16" s="111" customFormat="1" x14ac:dyDescent="0.2">
      <c r="A13" s="112"/>
      <c r="B13" s="113" t="s">
        <v>263</v>
      </c>
      <c r="C13" s="113"/>
      <c r="D13" s="113"/>
      <c r="E13" s="114"/>
      <c r="F13" s="114"/>
      <c r="G13" s="114"/>
      <c r="H13" s="114"/>
      <c r="I13" s="114"/>
      <c r="J13" s="127" t="s">
        <v>2000</v>
      </c>
      <c r="K13" s="126" t="s">
        <v>1558</v>
      </c>
      <c r="L13" s="126" t="s">
        <v>1341</v>
      </c>
      <c r="M13" s="126"/>
      <c r="N13" s="126"/>
      <c r="O13" s="130"/>
      <c r="P13" s="146"/>
    </row>
    <row r="14" spans="1:16" s="111" customFormat="1" ht="13.5" thickBot="1" x14ac:dyDescent="0.25">
      <c r="A14" s="121"/>
      <c r="B14" s="122"/>
      <c r="C14" s="122"/>
      <c r="D14" s="122"/>
      <c r="E14" s="123"/>
      <c r="F14" s="123"/>
      <c r="G14" s="123"/>
      <c r="H14" s="123"/>
      <c r="I14" s="123"/>
      <c r="J14" s="125" t="s">
        <v>2001</v>
      </c>
      <c r="K14" s="105" t="s">
        <v>1222</v>
      </c>
      <c r="L14" s="105" t="s">
        <v>832</v>
      </c>
      <c r="M14" s="105" t="s">
        <v>123</v>
      </c>
      <c r="N14" s="105"/>
      <c r="O14" s="130"/>
      <c r="P14" s="146"/>
    </row>
    <row r="15" spans="1:16" s="111" customFormat="1" x14ac:dyDescent="0.2">
      <c r="A15" s="112"/>
      <c r="B15" s="467" t="s">
        <v>67</v>
      </c>
      <c r="C15" s="467"/>
      <c r="D15" s="467"/>
      <c r="E15" s="114"/>
      <c r="F15" s="114" t="s">
        <v>1180</v>
      </c>
      <c r="G15" s="114" t="s">
        <v>68</v>
      </c>
      <c r="H15" s="114" t="s">
        <v>702</v>
      </c>
      <c r="I15" s="114"/>
      <c r="J15" s="100">
        <f>48.58/ATHENS!O1*ATHENS!O2</f>
        <v>88.327272727272714</v>
      </c>
      <c r="K15" s="100">
        <f>79.5/ATHENS!O1*ATHENS!O2</f>
        <v>144.54545454545453</v>
      </c>
      <c r="L15" s="100">
        <f>103.8/ATHENS!O1*ATHENS!O2</f>
        <v>188.72727272727272</v>
      </c>
      <c r="M15" s="100">
        <f>130.51/ATHENS!O1*ATHENS!O2</f>
        <v>237.29090909090905</v>
      </c>
      <c r="N15" s="126"/>
      <c r="O15" s="130"/>
      <c r="P15" s="146"/>
    </row>
    <row r="16" spans="1:16" s="111" customFormat="1" x14ac:dyDescent="0.2">
      <c r="A16" s="116"/>
      <c r="B16" s="461" t="s">
        <v>67</v>
      </c>
      <c r="C16" s="461"/>
      <c r="D16" s="461"/>
      <c r="E16" s="120"/>
      <c r="F16" s="120" t="s">
        <v>1181</v>
      </c>
      <c r="G16" s="120" t="s">
        <v>68</v>
      </c>
      <c r="H16" s="120" t="s">
        <v>702</v>
      </c>
      <c r="I16" s="120"/>
      <c r="J16" s="100">
        <f>36.96/ATHENS!O1*ATHENS!O2</f>
        <v>67.2</v>
      </c>
      <c r="K16" s="100">
        <f>55.75/ATHENS!O1*ATHENS!O2</f>
        <v>101.36363636363636</v>
      </c>
      <c r="L16" s="100">
        <f>74.5/ATHENS!O1*ATHENS!O2</f>
        <v>135.45454545454544</v>
      </c>
      <c r="M16" s="100">
        <f>94.5/ATHENS!O1*ATHENS!O2</f>
        <v>171.81818181818181</v>
      </c>
      <c r="N16" s="100"/>
      <c r="O16" s="130"/>
      <c r="P16" s="146"/>
    </row>
    <row r="17" spans="1:16" s="111" customFormat="1" ht="13.5" thickBot="1" x14ac:dyDescent="0.25">
      <c r="A17" s="121"/>
      <c r="B17" s="460" t="s">
        <v>67</v>
      </c>
      <c r="C17" s="460"/>
      <c r="D17" s="460"/>
      <c r="E17" s="123"/>
      <c r="F17" s="123" t="s">
        <v>1182</v>
      </c>
      <c r="G17" s="123" t="s">
        <v>68</v>
      </c>
      <c r="H17" s="123" t="s">
        <v>702</v>
      </c>
      <c r="I17" s="123"/>
      <c r="J17" s="105">
        <f>32.6/ATHENS!O1*ATHENS!O2</f>
        <v>59.272727272727273</v>
      </c>
      <c r="K17" s="105">
        <f>49.5/ATHENS!O1*ATHENS!O2</f>
        <v>89.999999999999986</v>
      </c>
      <c r="L17" s="105">
        <f>66.5/ATHENS!O1*ATHENS!O2</f>
        <v>120.90909090909089</v>
      </c>
      <c r="M17" s="105">
        <f>83.9/ATHENS!O1*ATHENS!O2</f>
        <v>152.54545454545453</v>
      </c>
      <c r="N17" s="105"/>
      <c r="O17" s="130"/>
      <c r="P17" s="146"/>
    </row>
    <row r="18" spans="1:16" s="111" customFormat="1" ht="13.5" thickBot="1" x14ac:dyDescent="0.25">
      <c r="A18" s="108"/>
      <c r="B18" s="109"/>
      <c r="C18" s="109"/>
      <c r="D18" s="109"/>
      <c r="E18" s="110"/>
      <c r="F18" s="110"/>
      <c r="G18" s="110"/>
      <c r="H18" s="110"/>
      <c r="I18" s="110"/>
      <c r="J18" s="110"/>
      <c r="K18" s="110"/>
      <c r="L18" s="110"/>
      <c r="M18" s="110"/>
      <c r="N18" s="110"/>
      <c r="O18" s="130"/>
      <c r="P18" s="146"/>
    </row>
    <row r="19" spans="1:16" s="111" customFormat="1" ht="13.5" thickBot="1" x14ac:dyDescent="0.25">
      <c r="A19" s="112"/>
      <c r="B19" s="113"/>
      <c r="C19" s="113"/>
      <c r="D19" s="113"/>
      <c r="E19" s="114"/>
      <c r="F19" s="114"/>
      <c r="G19" s="114"/>
      <c r="H19" s="114"/>
      <c r="I19" s="114"/>
      <c r="J19" s="114"/>
      <c r="K19" s="114"/>
      <c r="L19" s="114"/>
      <c r="M19" s="114"/>
      <c r="N19" s="115"/>
      <c r="O19" s="130"/>
      <c r="P19" s="146"/>
    </row>
    <row r="20" spans="1:16" s="111" customFormat="1" ht="15.75" thickBot="1" x14ac:dyDescent="0.25">
      <c r="A20" s="116"/>
      <c r="B20" s="484" t="s">
        <v>806</v>
      </c>
      <c r="C20" s="485"/>
      <c r="D20" s="485"/>
      <c r="E20" s="485"/>
      <c r="F20" s="485"/>
      <c r="G20" s="485"/>
      <c r="H20" s="485"/>
      <c r="I20" s="485"/>
      <c r="J20" s="485"/>
      <c r="K20" s="485"/>
      <c r="L20" s="485"/>
      <c r="M20" s="486"/>
      <c r="N20" s="117" t="s">
        <v>91</v>
      </c>
      <c r="O20" s="130"/>
      <c r="P20" s="146"/>
    </row>
    <row r="21" spans="1:16" s="111" customFormat="1" x14ac:dyDescent="0.2">
      <c r="A21" s="116"/>
      <c r="B21" s="118" t="s">
        <v>428</v>
      </c>
      <c r="C21" s="119" t="s">
        <v>410</v>
      </c>
      <c r="D21" s="119"/>
      <c r="E21" s="120"/>
      <c r="F21" s="120"/>
      <c r="G21" s="120"/>
      <c r="H21" s="120"/>
      <c r="I21" s="120"/>
      <c r="J21" s="120"/>
      <c r="K21" s="120"/>
      <c r="L21" s="120"/>
      <c r="M21" s="120"/>
      <c r="N21" s="101"/>
      <c r="O21" s="130"/>
      <c r="P21" s="146"/>
    </row>
    <row r="22" spans="1:16" s="111" customFormat="1" x14ac:dyDescent="0.2">
      <c r="A22" s="116"/>
      <c r="B22" s="118" t="s">
        <v>429</v>
      </c>
      <c r="C22" s="119" t="s">
        <v>1008</v>
      </c>
      <c r="D22" s="119"/>
      <c r="E22" s="120"/>
      <c r="F22" s="120"/>
      <c r="G22" s="120"/>
      <c r="H22" s="120"/>
      <c r="I22" s="120"/>
      <c r="J22" s="120"/>
      <c r="K22" s="120"/>
      <c r="L22" s="120"/>
      <c r="M22" s="120"/>
      <c r="N22" s="101"/>
      <c r="O22" s="130"/>
      <c r="P22" s="146"/>
    </row>
    <row r="23" spans="1:16" s="111" customFormat="1" x14ac:dyDescent="0.2">
      <c r="A23" s="116"/>
      <c r="B23" s="118" t="s">
        <v>427</v>
      </c>
      <c r="C23" s="480" t="s">
        <v>1611</v>
      </c>
      <c r="D23" s="480"/>
      <c r="E23" s="480"/>
      <c r="F23" s="480"/>
      <c r="G23" s="480"/>
      <c r="H23" s="480"/>
      <c r="I23" s="480"/>
      <c r="J23" s="480"/>
      <c r="K23" s="480"/>
      <c r="L23" s="480"/>
      <c r="M23" s="480"/>
      <c r="N23" s="481"/>
      <c r="O23" s="130"/>
      <c r="P23" s="146"/>
    </row>
    <row r="24" spans="1:16" s="111" customFormat="1" x14ac:dyDescent="0.2">
      <c r="A24" s="116"/>
      <c r="B24" s="118"/>
      <c r="C24" s="480"/>
      <c r="D24" s="480"/>
      <c r="E24" s="480"/>
      <c r="F24" s="480"/>
      <c r="G24" s="480"/>
      <c r="H24" s="480"/>
      <c r="I24" s="480"/>
      <c r="J24" s="480"/>
      <c r="K24" s="480"/>
      <c r="L24" s="480"/>
      <c r="M24" s="480"/>
      <c r="N24" s="481"/>
      <c r="O24" s="130"/>
      <c r="P24" s="146"/>
    </row>
    <row r="25" spans="1:16" s="111" customFormat="1" x14ac:dyDescent="0.2">
      <c r="A25" s="116"/>
      <c r="B25" s="109"/>
      <c r="C25" s="480"/>
      <c r="D25" s="480"/>
      <c r="E25" s="480"/>
      <c r="F25" s="480"/>
      <c r="G25" s="480"/>
      <c r="H25" s="480"/>
      <c r="I25" s="480"/>
      <c r="J25" s="480"/>
      <c r="K25" s="480"/>
      <c r="L25" s="480"/>
      <c r="M25" s="480"/>
      <c r="N25" s="481"/>
      <c r="O25" s="130"/>
      <c r="P25" s="146"/>
    </row>
    <row r="26" spans="1:16" s="111" customFormat="1" x14ac:dyDescent="0.2">
      <c r="A26" s="116"/>
      <c r="B26" s="118" t="s">
        <v>426</v>
      </c>
      <c r="C26" s="119" t="s">
        <v>1210</v>
      </c>
      <c r="D26" s="119"/>
      <c r="E26" s="120"/>
      <c r="F26" s="120"/>
      <c r="G26" s="120"/>
      <c r="H26" s="120"/>
      <c r="I26" s="120"/>
      <c r="J26" s="120"/>
      <c r="K26" s="120"/>
      <c r="L26" s="120"/>
      <c r="M26" s="120"/>
      <c r="N26" s="101"/>
      <c r="O26" s="130"/>
      <c r="P26" s="146"/>
    </row>
    <row r="27" spans="1:16" s="111" customFormat="1" ht="13.5" thickBot="1" x14ac:dyDescent="0.25">
      <c r="A27" s="121"/>
      <c r="B27" s="118" t="s">
        <v>430</v>
      </c>
      <c r="C27" s="122"/>
      <c r="D27" s="122"/>
      <c r="E27" s="123"/>
      <c r="F27" s="123"/>
      <c r="G27" s="123"/>
      <c r="H27" s="123"/>
      <c r="I27" s="123"/>
      <c r="J27" s="123"/>
      <c r="K27" s="123"/>
      <c r="L27" s="123"/>
      <c r="M27" s="123"/>
      <c r="N27" s="104"/>
      <c r="O27" s="130"/>
      <c r="P27" s="146"/>
    </row>
    <row r="28" spans="1:16" s="111" customFormat="1" x14ac:dyDescent="0.2">
      <c r="A28" s="112"/>
      <c r="B28" s="113" t="s">
        <v>263</v>
      </c>
      <c r="C28" s="113"/>
      <c r="D28" s="113"/>
      <c r="E28" s="114"/>
      <c r="F28" s="114"/>
      <c r="G28" s="114"/>
      <c r="H28" s="114"/>
      <c r="I28" s="114"/>
      <c r="J28" s="127" t="s">
        <v>2003</v>
      </c>
      <c r="K28" s="126" t="s">
        <v>2004</v>
      </c>
      <c r="L28" s="126" t="s">
        <v>396</v>
      </c>
      <c r="M28" s="126" t="s">
        <v>2005</v>
      </c>
      <c r="N28" s="126"/>
      <c r="O28" s="130"/>
      <c r="P28" s="146"/>
    </row>
    <row r="29" spans="1:16" s="111" customFormat="1" ht="13.5" thickBot="1" x14ac:dyDescent="0.25">
      <c r="A29" s="121"/>
      <c r="B29" s="122"/>
      <c r="C29" s="122"/>
      <c r="D29" s="122"/>
      <c r="E29" s="123"/>
      <c r="F29" s="123"/>
      <c r="G29" s="123"/>
      <c r="H29" s="123"/>
      <c r="I29" s="123"/>
      <c r="J29" s="125" t="s">
        <v>2006</v>
      </c>
      <c r="K29" s="105" t="s">
        <v>2007</v>
      </c>
      <c r="L29" s="105" t="s">
        <v>1770</v>
      </c>
      <c r="M29" s="105" t="s">
        <v>1772</v>
      </c>
      <c r="N29" s="105" t="s">
        <v>2002</v>
      </c>
      <c r="O29" s="130"/>
      <c r="P29" s="146"/>
    </row>
    <row r="30" spans="1:16" s="111" customFormat="1" x14ac:dyDescent="0.2">
      <c r="A30" s="112"/>
      <c r="B30" s="467" t="s">
        <v>67</v>
      </c>
      <c r="C30" s="467"/>
      <c r="D30" s="467"/>
      <c r="E30" s="114"/>
      <c r="F30" s="114" t="s">
        <v>1180</v>
      </c>
      <c r="G30" s="114" t="s">
        <v>1484</v>
      </c>
      <c r="H30" s="114" t="s">
        <v>702</v>
      </c>
      <c r="I30" s="114"/>
      <c r="J30" s="100">
        <f>36.58/ATHENS!O1*ATHENS!O2</f>
        <v>66.509090909090901</v>
      </c>
      <c r="K30" s="100">
        <f>73.64/ATHENS!O1*ATHENS!O2</f>
        <v>133.89090909090908</v>
      </c>
      <c r="L30" s="100">
        <f>109.7/ATHENS!O1*ATHENS!O2</f>
        <v>199.45454545454544</v>
      </c>
      <c r="M30" s="100">
        <f>139.58/ATHENS!O1*ATHENS!O2</f>
        <v>253.78181818181818</v>
      </c>
      <c r="N30" s="126">
        <f>191.5/ATHENS!O1*ATHENS!O2</f>
        <v>348.18181818181813</v>
      </c>
      <c r="O30" s="130"/>
      <c r="P30" s="146"/>
    </row>
    <row r="31" spans="1:16" s="111" customFormat="1" x14ac:dyDescent="0.2">
      <c r="A31" s="116"/>
      <c r="B31" s="461" t="s">
        <v>67</v>
      </c>
      <c r="C31" s="461"/>
      <c r="D31" s="461"/>
      <c r="E31" s="120"/>
      <c r="F31" s="120" t="s">
        <v>1181</v>
      </c>
      <c r="G31" s="120" t="s">
        <v>1484</v>
      </c>
      <c r="H31" s="120" t="s">
        <v>702</v>
      </c>
      <c r="I31" s="120"/>
      <c r="J31" s="100">
        <f>36.5/ATHENS!O1*ATHENS!O2</f>
        <v>66.36363636363636</v>
      </c>
      <c r="K31" s="100">
        <f>43.5/ATHENS!O1*ATHENS!O2</f>
        <v>79.090909090909079</v>
      </c>
      <c r="L31" s="100">
        <f>55.5/ATHENS!O1*ATHENS!O2</f>
        <v>100.90909090909091</v>
      </c>
      <c r="M31" s="100">
        <f>72.5/ATHENS!O1*ATHENS!O2</f>
        <v>131.81818181818181</v>
      </c>
      <c r="N31" s="100">
        <f>92.5/ATHENS!O1*ATHENS!O2</f>
        <v>168.18181818181816</v>
      </c>
      <c r="O31" s="130"/>
      <c r="P31" s="146"/>
    </row>
    <row r="32" spans="1:16" s="111" customFormat="1" ht="13.5" thickBot="1" x14ac:dyDescent="0.25">
      <c r="A32" s="121"/>
      <c r="B32" s="460" t="s">
        <v>67</v>
      </c>
      <c r="C32" s="460"/>
      <c r="D32" s="460"/>
      <c r="E32" s="123"/>
      <c r="F32" s="123" t="s">
        <v>1182</v>
      </c>
      <c r="G32" s="123" t="s">
        <v>1484</v>
      </c>
      <c r="H32" s="123" t="s">
        <v>702</v>
      </c>
      <c r="I32" s="123"/>
      <c r="J32" s="105">
        <f>30.8/ATHENS!O1*ATHENS!O2</f>
        <v>56</v>
      </c>
      <c r="K32" s="105">
        <f>36.7/ATHENS!O1*ATHENS!O2</f>
        <v>66.727272727272734</v>
      </c>
      <c r="L32" s="105">
        <f>46.7/ATHENS!O1*ATHENS!O2</f>
        <v>84.909090909090907</v>
      </c>
      <c r="M32" s="105">
        <f>60.8/ATHENS!O1*ATHENS!O2</f>
        <v>110.54545454545453</v>
      </c>
      <c r="N32" s="105">
        <f>77.5/ATHENS!O1*ATHENS!O2</f>
        <v>140.90909090909091</v>
      </c>
      <c r="O32" s="130"/>
      <c r="P32" s="146"/>
    </row>
    <row r="33" spans="1:14" s="111" customFormat="1" ht="13.5" thickBot="1" x14ac:dyDescent="0.25">
      <c r="A33" s="108"/>
      <c r="B33" s="109"/>
      <c r="C33" s="109"/>
      <c r="D33" s="109"/>
      <c r="E33" s="110"/>
      <c r="F33" s="110"/>
      <c r="G33" s="110"/>
      <c r="H33" s="110"/>
      <c r="I33" s="110"/>
      <c r="J33" s="110"/>
      <c r="K33" s="110"/>
      <c r="L33" s="110"/>
      <c r="M33" s="110"/>
      <c r="N33" s="110"/>
    </row>
    <row r="34" spans="1:14" s="111" customFormat="1" ht="13.5" thickBot="1" x14ac:dyDescent="0.25">
      <c r="A34" s="112"/>
      <c r="B34" s="113"/>
      <c r="C34" s="113"/>
      <c r="D34" s="113"/>
      <c r="E34" s="114"/>
      <c r="F34" s="114"/>
      <c r="G34" s="114"/>
      <c r="H34" s="114"/>
      <c r="I34" s="114"/>
      <c r="J34" s="114"/>
      <c r="K34" s="114"/>
      <c r="L34" s="114"/>
      <c r="M34" s="114"/>
      <c r="N34" s="115"/>
    </row>
    <row r="35" spans="1:14" s="111" customFormat="1" ht="15.75" thickBot="1" x14ac:dyDescent="0.25">
      <c r="A35" s="116"/>
      <c r="B35" s="484" t="s">
        <v>731</v>
      </c>
      <c r="C35" s="485"/>
      <c r="D35" s="485"/>
      <c r="E35" s="485"/>
      <c r="F35" s="485"/>
      <c r="G35" s="485"/>
      <c r="H35" s="485"/>
      <c r="I35" s="485"/>
      <c r="J35" s="485"/>
      <c r="K35" s="485"/>
      <c r="L35" s="485"/>
      <c r="M35" s="486"/>
      <c r="N35" s="117" t="s">
        <v>91</v>
      </c>
    </row>
    <row r="36" spans="1:14" s="111" customFormat="1" x14ac:dyDescent="0.2">
      <c r="A36" s="116"/>
      <c r="B36" s="118" t="s">
        <v>428</v>
      </c>
      <c r="C36" s="119" t="s">
        <v>663</v>
      </c>
      <c r="D36" s="119"/>
      <c r="E36" s="120"/>
      <c r="F36" s="120"/>
      <c r="G36" s="120"/>
      <c r="H36" s="120"/>
      <c r="I36" s="120"/>
      <c r="J36" s="120"/>
      <c r="K36" s="120"/>
      <c r="L36" s="120"/>
      <c r="M36" s="120"/>
      <c r="N36" s="101"/>
    </row>
    <row r="37" spans="1:14" s="111" customFormat="1" x14ac:dyDescent="0.2">
      <c r="A37" s="116"/>
      <c r="B37" s="118" t="s">
        <v>429</v>
      </c>
      <c r="C37" s="119" t="s">
        <v>1064</v>
      </c>
      <c r="D37" s="119"/>
      <c r="E37" s="120"/>
      <c r="F37" s="120"/>
      <c r="G37" s="120"/>
      <c r="H37" s="120"/>
      <c r="I37" s="120"/>
      <c r="J37" s="120"/>
      <c r="K37" s="120"/>
      <c r="L37" s="120"/>
      <c r="M37" s="120"/>
      <c r="N37" s="101"/>
    </row>
    <row r="38" spans="1:14" s="111" customFormat="1" x14ac:dyDescent="0.2">
      <c r="A38" s="116"/>
      <c r="B38" s="118" t="s">
        <v>427</v>
      </c>
      <c r="C38" s="490" t="s">
        <v>1528</v>
      </c>
      <c r="D38" s="490"/>
      <c r="E38" s="490"/>
      <c r="F38" s="490"/>
      <c r="G38" s="490"/>
      <c r="H38" s="490"/>
      <c r="I38" s="490"/>
      <c r="J38" s="490"/>
      <c r="K38" s="490"/>
      <c r="L38" s="490"/>
      <c r="M38" s="490"/>
      <c r="N38" s="491"/>
    </row>
    <row r="39" spans="1:14" s="111" customFormat="1" x14ac:dyDescent="0.2">
      <c r="A39" s="116"/>
      <c r="B39" s="118"/>
      <c r="C39" s="490"/>
      <c r="D39" s="490"/>
      <c r="E39" s="490"/>
      <c r="F39" s="490"/>
      <c r="G39" s="490"/>
      <c r="H39" s="490"/>
      <c r="I39" s="490"/>
      <c r="J39" s="490"/>
      <c r="K39" s="490"/>
      <c r="L39" s="490"/>
      <c r="M39" s="490"/>
      <c r="N39" s="491"/>
    </row>
    <row r="40" spans="1:14" s="111" customFormat="1" x14ac:dyDescent="0.2">
      <c r="A40" s="116"/>
      <c r="B40" s="118"/>
      <c r="C40" s="490"/>
      <c r="D40" s="490"/>
      <c r="E40" s="490"/>
      <c r="F40" s="490"/>
      <c r="G40" s="490"/>
      <c r="H40" s="490"/>
      <c r="I40" s="490"/>
      <c r="J40" s="490"/>
      <c r="K40" s="490"/>
      <c r="L40" s="490"/>
      <c r="M40" s="490"/>
      <c r="N40" s="491"/>
    </row>
    <row r="41" spans="1:14" s="111" customFormat="1" x14ac:dyDescent="0.2">
      <c r="A41" s="116"/>
      <c r="B41" s="109"/>
      <c r="C41" s="490"/>
      <c r="D41" s="490"/>
      <c r="E41" s="490"/>
      <c r="F41" s="490"/>
      <c r="G41" s="490"/>
      <c r="H41" s="490"/>
      <c r="I41" s="490"/>
      <c r="J41" s="490"/>
      <c r="K41" s="490"/>
      <c r="L41" s="490"/>
      <c r="M41" s="490"/>
      <c r="N41" s="491"/>
    </row>
    <row r="42" spans="1:14" s="111" customFormat="1" x14ac:dyDescent="0.2">
      <c r="A42" s="116"/>
      <c r="B42" s="109"/>
      <c r="C42" s="490"/>
      <c r="D42" s="490"/>
      <c r="E42" s="490"/>
      <c r="F42" s="490"/>
      <c r="G42" s="490"/>
      <c r="H42" s="490"/>
      <c r="I42" s="490"/>
      <c r="J42" s="490"/>
      <c r="K42" s="490"/>
      <c r="L42" s="490"/>
      <c r="M42" s="490"/>
      <c r="N42" s="491"/>
    </row>
    <row r="43" spans="1:14" s="111" customFormat="1" ht="13.5" thickBot="1" x14ac:dyDescent="0.25">
      <c r="A43" s="116"/>
      <c r="B43" s="118" t="s">
        <v>426</v>
      </c>
      <c r="C43" s="119" t="s">
        <v>739</v>
      </c>
      <c r="D43" s="119"/>
      <c r="E43" s="120"/>
      <c r="F43" s="120"/>
      <c r="G43" s="120"/>
      <c r="H43" s="120"/>
      <c r="I43" s="120"/>
      <c r="J43" s="120"/>
      <c r="K43" s="120"/>
      <c r="L43" s="120"/>
      <c r="M43" s="120"/>
      <c r="N43" s="101"/>
    </row>
    <row r="44" spans="1:14" s="111" customFormat="1" x14ac:dyDescent="0.2">
      <c r="A44" s="112"/>
      <c r="B44" s="113" t="s">
        <v>263</v>
      </c>
      <c r="C44" s="113"/>
      <c r="D44" s="113"/>
      <c r="E44" s="114"/>
      <c r="F44" s="114"/>
      <c r="G44" s="114"/>
      <c r="H44" s="114"/>
      <c r="I44" s="114"/>
      <c r="J44" s="127" t="s">
        <v>1810</v>
      </c>
      <c r="K44" s="127" t="s">
        <v>1965</v>
      </c>
      <c r="L44" s="127" t="s">
        <v>2214</v>
      </c>
      <c r="M44" s="127" t="s">
        <v>2217</v>
      </c>
      <c r="N44" s="126"/>
    </row>
    <row r="45" spans="1:14" s="111" customFormat="1" ht="13.5" thickBot="1" x14ac:dyDescent="0.25">
      <c r="A45" s="121"/>
      <c r="B45" s="122"/>
      <c r="C45" s="122"/>
      <c r="D45" s="122"/>
      <c r="E45" s="123"/>
      <c r="F45" s="123"/>
      <c r="G45" s="123"/>
      <c r="H45" s="123"/>
      <c r="I45" s="123"/>
      <c r="J45" s="125" t="s">
        <v>2212</v>
      </c>
      <c r="K45" s="125" t="s">
        <v>2213</v>
      </c>
      <c r="L45" s="125" t="s">
        <v>2215</v>
      </c>
      <c r="M45" s="125" t="s">
        <v>2218</v>
      </c>
      <c r="N45" s="105" t="s">
        <v>2216</v>
      </c>
    </row>
    <row r="46" spans="1:14" s="111" customFormat="1" x14ac:dyDescent="0.2">
      <c r="A46" s="116"/>
      <c r="B46" s="461" t="s">
        <v>732</v>
      </c>
      <c r="C46" s="461"/>
      <c r="D46" s="461"/>
      <c r="E46" s="120"/>
      <c r="F46" s="120" t="s">
        <v>1180</v>
      </c>
      <c r="G46" s="120" t="s">
        <v>1964</v>
      </c>
      <c r="H46" s="120" t="s">
        <v>702</v>
      </c>
      <c r="I46" s="120"/>
      <c r="J46" s="100">
        <f>462/ATHENS!O1*ATHENS!O2</f>
        <v>839.99999999999989</v>
      </c>
      <c r="K46" s="100">
        <f>590/ATHENS!O1*ATHENS!O2</f>
        <v>1072.7272727272727</v>
      </c>
      <c r="L46" s="100">
        <f>726/ATHENS!O1*ATHENS!O2</f>
        <v>1320</v>
      </c>
      <c r="M46" s="100">
        <f>802/ATHENS!O1*ATHENS!O2</f>
        <v>1458.181818181818</v>
      </c>
      <c r="N46" s="100">
        <f>896/ATHENS!O1*ATHENS!O2</f>
        <v>1629.090909090909</v>
      </c>
    </row>
    <row r="47" spans="1:14" s="111" customFormat="1" x14ac:dyDescent="0.2">
      <c r="A47" s="116"/>
      <c r="B47" s="461" t="s">
        <v>732</v>
      </c>
      <c r="C47" s="461"/>
      <c r="D47" s="461"/>
      <c r="E47" s="120"/>
      <c r="F47" s="120" t="s">
        <v>1181</v>
      </c>
      <c r="G47" s="120" t="s">
        <v>1964</v>
      </c>
      <c r="H47" s="120" t="s">
        <v>702</v>
      </c>
      <c r="I47" s="120"/>
      <c r="J47" s="100">
        <f>231/ATHENS!O1*ATHENS!O2</f>
        <v>419.99999999999994</v>
      </c>
      <c r="K47" s="100">
        <f>295/ATHENS!O1*ATHENS!O2</f>
        <v>536.36363636363637</v>
      </c>
      <c r="L47" s="100">
        <f>363/ATHENS!O1*ATHENS!O2</f>
        <v>660</v>
      </c>
      <c r="M47" s="100">
        <f>401/ATHENS!O1*ATHENS!O2</f>
        <v>729.09090909090901</v>
      </c>
      <c r="N47" s="100">
        <f>448/ATHENS!O1*ATHENS!O2</f>
        <v>814.5454545454545</v>
      </c>
    </row>
    <row r="48" spans="1:14" s="111" customFormat="1" ht="13.5" thickBot="1" x14ac:dyDescent="0.25">
      <c r="A48" s="121"/>
      <c r="B48" s="460" t="s">
        <v>732</v>
      </c>
      <c r="C48" s="460"/>
      <c r="D48" s="460"/>
      <c r="E48" s="123"/>
      <c r="F48" s="123" t="s">
        <v>1182</v>
      </c>
      <c r="G48" s="123" t="s">
        <v>1964</v>
      </c>
      <c r="H48" s="123" t="s">
        <v>702</v>
      </c>
      <c r="I48" s="123"/>
      <c r="J48" s="105">
        <f>104/ATHENS!O1*ATHENS!O2</f>
        <v>189.09090909090907</v>
      </c>
      <c r="K48" s="105">
        <f>132.6/ATHENS!O1*ATHENS!O2</f>
        <v>241.09090909090907</v>
      </c>
      <c r="L48" s="105">
        <f>163.6/ATHENS!O1*ATHENS!O2</f>
        <v>297.45454545454544</v>
      </c>
      <c r="M48" s="105">
        <f>180.6/ATHENS!O1*ATHENS!O2</f>
        <v>328.36363636363632</v>
      </c>
      <c r="N48" s="105">
        <f>201.6/ATHENS!O1*ATHENS!O2</f>
        <v>366.5454545454545</v>
      </c>
    </row>
    <row r="49" spans="1:14" s="111" customFormat="1" x14ac:dyDescent="0.2">
      <c r="A49" s="108"/>
      <c r="B49" s="109"/>
      <c r="C49" s="109"/>
      <c r="D49" s="109"/>
      <c r="E49" s="110"/>
      <c r="F49" s="110"/>
      <c r="G49" s="110"/>
      <c r="H49" s="110"/>
      <c r="I49" s="110"/>
      <c r="J49" s="110"/>
      <c r="K49" s="110"/>
      <c r="L49" s="110"/>
      <c r="M49" s="110"/>
      <c r="N49" s="110"/>
    </row>
    <row r="50" spans="1:14" s="111" customFormat="1" ht="13.5" thickBot="1" x14ac:dyDescent="0.25">
      <c r="A50" s="108"/>
      <c r="B50" s="109"/>
      <c r="C50" s="109"/>
      <c r="D50" s="109"/>
      <c r="E50" s="110"/>
      <c r="F50" s="110"/>
      <c r="G50" s="110"/>
      <c r="H50" s="110"/>
      <c r="I50" s="110"/>
      <c r="J50" s="110"/>
      <c r="K50" s="110"/>
      <c r="L50" s="110"/>
      <c r="M50" s="110"/>
      <c r="N50" s="110"/>
    </row>
    <row r="51" spans="1:14" s="111" customFormat="1" ht="13.5" thickBot="1" x14ac:dyDescent="0.25">
      <c r="A51" s="112"/>
      <c r="B51" s="113"/>
      <c r="C51" s="113"/>
      <c r="D51" s="113"/>
      <c r="E51" s="114"/>
      <c r="F51" s="114"/>
      <c r="G51" s="114"/>
      <c r="H51" s="114"/>
      <c r="I51" s="114"/>
      <c r="J51" s="114"/>
      <c r="K51" s="114"/>
      <c r="L51" s="114"/>
      <c r="M51" s="114"/>
      <c r="N51" s="115"/>
    </row>
    <row r="52" spans="1:14" s="111" customFormat="1" ht="15.75" thickBot="1" x14ac:dyDescent="0.25">
      <c r="A52" s="116"/>
      <c r="B52" s="484" t="s">
        <v>1566</v>
      </c>
      <c r="C52" s="485"/>
      <c r="D52" s="485"/>
      <c r="E52" s="485"/>
      <c r="F52" s="485"/>
      <c r="G52" s="485"/>
      <c r="H52" s="485"/>
      <c r="I52" s="485"/>
      <c r="J52" s="485"/>
      <c r="K52" s="485"/>
      <c r="L52" s="485"/>
      <c r="M52" s="486"/>
      <c r="N52" s="117" t="s">
        <v>91</v>
      </c>
    </row>
    <row r="53" spans="1:14" s="111" customFormat="1" x14ac:dyDescent="0.2">
      <c r="A53" s="116"/>
      <c r="B53" s="118" t="s">
        <v>428</v>
      </c>
      <c r="C53" s="119" t="s">
        <v>1066</v>
      </c>
      <c r="D53" s="119"/>
      <c r="E53" s="120"/>
      <c r="F53" s="120"/>
      <c r="G53" s="120"/>
      <c r="H53" s="120"/>
      <c r="I53" s="120"/>
      <c r="J53" s="120"/>
      <c r="K53" s="120"/>
      <c r="L53" s="120"/>
      <c r="M53" s="120"/>
      <c r="N53" s="101"/>
    </row>
    <row r="54" spans="1:14" s="111" customFormat="1" x14ac:dyDescent="0.2">
      <c r="A54" s="116"/>
      <c r="B54" s="118" t="s">
        <v>429</v>
      </c>
      <c r="C54" s="119" t="s">
        <v>1065</v>
      </c>
      <c r="D54" s="119"/>
      <c r="E54" s="120"/>
      <c r="F54" s="120"/>
      <c r="G54" s="120"/>
      <c r="H54" s="120"/>
      <c r="I54" s="120"/>
      <c r="J54" s="120"/>
      <c r="K54" s="120"/>
      <c r="L54" s="120"/>
      <c r="M54" s="120"/>
      <c r="N54" s="101"/>
    </row>
    <row r="55" spans="1:14" s="111" customFormat="1" x14ac:dyDescent="0.2">
      <c r="A55" s="116"/>
      <c r="B55" s="118" t="s">
        <v>427</v>
      </c>
      <c r="C55" s="490" t="s">
        <v>1529</v>
      </c>
      <c r="D55" s="490"/>
      <c r="E55" s="490"/>
      <c r="F55" s="490"/>
      <c r="G55" s="490"/>
      <c r="H55" s="490"/>
      <c r="I55" s="490"/>
      <c r="J55" s="490"/>
      <c r="K55" s="490"/>
      <c r="L55" s="490"/>
      <c r="M55" s="490"/>
      <c r="N55" s="491"/>
    </row>
    <row r="56" spans="1:14" s="111" customFormat="1" x14ac:dyDescent="0.2">
      <c r="A56" s="116"/>
      <c r="B56" s="118"/>
      <c r="C56" s="490"/>
      <c r="D56" s="490"/>
      <c r="E56" s="490"/>
      <c r="F56" s="490"/>
      <c r="G56" s="490"/>
      <c r="H56" s="490"/>
      <c r="I56" s="490"/>
      <c r="J56" s="490"/>
      <c r="K56" s="490"/>
      <c r="L56" s="490"/>
      <c r="M56" s="490"/>
      <c r="N56" s="491"/>
    </row>
    <row r="57" spans="1:14" s="111" customFormat="1" x14ac:dyDescent="0.2">
      <c r="A57" s="116"/>
      <c r="B57" s="118"/>
      <c r="C57" s="490"/>
      <c r="D57" s="490"/>
      <c r="E57" s="490"/>
      <c r="F57" s="490"/>
      <c r="G57" s="490"/>
      <c r="H57" s="490"/>
      <c r="I57" s="490"/>
      <c r="J57" s="490"/>
      <c r="K57" s="490"/>
      <c r="L57" s="490"/>
      <c r="M57" s="490"/>
      <c r="N57" s="491"/>
    </row>
    <row r="58" spans="1:14" s="111" customFormat="1" x14ac:dyDescent="0.2">
      <c r="A58" s="116"/>
      <c r="B58" s="118"/>
      <c r="C58" s="490"/>
      <c r="D58" s="490"/>
      <c r="E58" s="490"/>
      <c r="F58" s="490"/>
      <c r="G58" s="490"/>
      <c r="H58" s="490"/>
      <c r="I58" s="490"/>
      <c r="J58" s="490"/>
      <c r="K58" s="490"/>
      <c r="L58" s="490"/>
      <c r="M58" s="490"/>
      <c r="N58" s="491"/>
    </row>
    <row r="59" spans="1:14" s="111" customFormat="1" x14ac:dyDescent="0.2">
      <c r="A59" s="116"/>
      <c r="B59" s="118"/>
      <c r="C59" s="490"/>
      <c r="D59" s="490"/>
      <c r="E59" s="490"/>
      <c r="F59" s="490"/>
      <c r="G59" s="490"/>
      <c r="H59" s="490"/>
      <c r="I59" s="490"/>
      <c r="J59" s="490"/>
      <c r="K59" s="490"/>
      <c r="L59" s="490"/>
      <c r="M59" s="490"/>
      <c r="N59" s="491"/>
    </row>
    <row r="60" spans="1:14" s="111" customFormat="1" x14ac:dyDescent="0.2">
      <c r="A60" s="116"/>
      <c r="B60" s="118"/>
      <c r="C60" s="490"/>
      <c r="D60" s="490"/>
      <c r="E60" s="490"/>
      <c r="F60" s="490"/>
      <c r="G60" s="490"/>
      <c r="H60" s="490"/>
      <c r="I60" s="490"/>
      <c r="J60" s="490"/>
      <c r="K60" s="490"/>
      <c r="L60" s="490"/>
      <c r="M60" s="490"/>
      <c r="N60" s="491"/>
    </row>
    <row r="61" spans="1:14" s="111" customFormat="1" x14ac:dyDescent="0.2">
      <c r="A61" s="116"/>
      <c r="B61" s="118"/>
      <c r="C61" s="490"/>
      <c r="D61" s="490"/>
      <c r="E61" s="490"/>
      <c r="F61" s="490"/>
      <c r="G61" s="490"/>
      <c r="H61" s="490"/>
      <c r="I61" s="490"/>
      <c r="J61" s="490"/>
      <c r="K61" s="490"/>
      <c r="L61" s="490"/>
      <c r="M61" s="490"/>
      <c r="N61" s="491"/>
    </row>
    <row r="62" spans="1:14" s="111" customFormat="1" x14ac:dyDescent="0.2">
      <c r="A62" s="116"/>
      <c r="B62" s="118"/>
      <c r="C62" s="490"/>
      <c r="D62" s="490"/>
      <c r="E62" s="490"/>
      <c r="F62" s="490"/>
      <c r="G62" s="490"/>
      <c r="H62" s="490"/>
      <c r="I62" s="490"/>
      <c r="J62" s="490"/>
      <c r="K62" s="490"/>
      <c r="L62" s="490"/>
      <c r="M62" s="490"/>
      <c r="N62" s="491"/>
    </row>
    <row r="63" spans="1:14" s="111" customFormat="1" x14ac:dyDescent="0.2">
      <c r="A63" s="116"/>
      <c r="B63" s="118"/>
      <c r="C63" s="490"/>
      <c r="D63" s="490"/>
      <c r="E63" s="490"/>
      <c r="F63" s="490"/>
      <c r="G63" s="490"/>
      <c r="H63" s="490"/>
      <c r="I63" s="490"/>
      <c r="J63" s="490"/>
      <c r="K63" s="490"/>
      <c r="L63" s="490"/>
      <c r="M63" s="490"/>
      <c r="N63" s="491"/>
    </row>
    <row r="64" spans="1:14" s="111" customFormat="1" x14ac:dyDescent="0.2">
      <c r="A64" s="116"/>
      <c r="B64" s="118"/>
      <c r="C64" s="490"/>
      <c r="D64" s="490"/>
      <c r="E64" s="490"/>
      <c r="F64" s="490"/>
      <c r="G64" s="490"/>
      <c r="H64" s="490"/>
      <c r="I64" s="490"/>
      <c r="J64" s="490"/>
      <c r="K64" s="490"/>
      <c r="L64" s="490"/>
      <c r="M64" s="490"/>
      <c r="N64" s="491"/>
    </row>
    <row r="65" spans="1:14" s="111" customFormat="1" x14ac:dyDescent="0.2">
      <c r="A65" s="116"/>
      <c r="B65" s="118"/>
      <c r="C65" s="490"/>
      <c r="D65" s="490"/>
      <c r="E65" s="490"/>
      <c r="F65" s="490"/>
      <c r="G65" s="490"/>
      <c r="H65" s="490"/>
      <c r="I65" s="490"/>
      <c r="J65" s="490"/>
      <c r="K65" s="490"/>
      <c r="L65" s="490"/>
      <c r="M65" s="490"/>
      <c r="N65" s="491"/>
    </row>
    <row r="66" spans="1:14" s="111" customFormat="1" x14ac:dyDescent="0.2">
      <c r="A66" s="116"/>
      <c r="B66" s="119"/>
      <c r="C66" s="490"/>
      <c r="D66" s="490"/>
      <c r="E66" s="490"/>
      <c r="F66" s="490"/>
      <c r="G66" s="490"/>
      <c r="H66" s="490"/>
      <c r="I66" s="490"/>
      <c r="J66" s="490"/>
      <c r="K66" s="490"/>
      <c r="L66" s="490"/>
      <c r="M66" s="490"/>
      <c r="N66" s="491"/>
    </row>
    <row r="67" spans="1:14" s="111" customFormat="1" ht="13.5" thickBot="1" x14ac:dyDescent="0.25">
      <c r="A67" s="116"/>
      <c r="B67" s="119"/>
      <c r="C67" s="490"/>
      <c r="D67" s="490"/>
      <c r="E67" s="490"/>
      <c r="F67" s="490"/>
      <c r="G67" s="490"/>
      <c r="H67" s="490"/>
      <c r="I67" s="490"/>
      <c r="J67" s="490"/>
      <c r="K67" s="490"/>
      <c r="L67" s="490"/>
      <c r="M67" s="490"/>
      <c r="N67" s="491"/>
    </row>
    <row r="68" spans="1:14" s="111" customFormat="1" x14ac:dyDescent="0.2">
      <c r="A68" s="112"/>
      <c r="B68" s="113" t="s">
        <v>263</v>
      </c>
      <c r="C68" s="113"/>
      <c r="D68" s="113"/>
      <c r="E68" s="114"/>
      <c r="F68" s="114"/>
      <c r="G68" s="114"/>
      <c r="H68" s="114"/>
      <c r="I68" s="114"/>
      <c r="J68" s="127" t="s">
        <v>1567</v>
      </c>
      <c r="K68" s="126"/>
      <c r="L68" s="126" t="s">
        <v>2010</v>
      </c>
      <c r="M68" s="126" t="s">
        <v>2011</v>
      </c>
      <c r="N68" s="126"/>
    </row>
    <row r="69" spans="1:14" s="111" customFormat="1" ht="13.5" thickBot="1" x14ac:dyDescent="0.25">
      <c r="A69" s="121"/>
      <c r="B69" s="122"/>
      <c r="C69" s="122"/>
      <c r="D69" s="122"/>
      <c r="E69" s="123"/>
      <c r="F69" s="123"/>
      <c r="G69" s="123"/>
      <c r="H69" s="123"/>
      <c r="I69" s="123"/>
      <c r="J69" s="125" t="s">
        <v>2009</v>
      </c>
      <c r="K69" s="105" t="s">
        <v>1965</v>
      </c>
      <c r="L69" s="105" t="s">
        <v>1390</v>
      </c>
      <c r="M69" s="105" t="s">
        <v>1426</v>
      </c>
      <c r="N69" s="105" t="s">
        <v>1585</v>
      </c>
    </row>
    <row r="70" spans="1:14" s="111" customFormat="1" x14ac:dyDescent="0.2">
      <c r="A70" s="112"/>
      <c r="B70" s="467" t="s">
        <v>1643</v>
      </c>
      <c r="C70" s="467"/>
      <c r="D70" s="467"/>
      <c r="E70" s="114"/>
      <c r="F70" s="114" t="s">
        <v>1180</v>
      </c>
      <c r="G70" s="114" t="s">
        <v>68</v>
      </c>
      <c r="H70" s="114" t="s">
        <v>702</v>
      </c>
      <c r="I70" s="114"/>
      <c r="J70" s="100">
        <f>80.5/ATHENS!O1*ATHENS!O2</f>
        <v>146.36363636363635</v>
      </c>
      <c r="K70" s="100">
        <f>127.5/ATHENS!O1*ATHENS!O2</f>
        <v>231.81818181818181</v>
      </c>
      <c r="L70" s="100">
        <f>153.5/ATHENS!O1*ATHENS!O2</f>
        <v>279.09090909090907</v>
      </c>
      <c r="M70" s="100">
        <f>188.7/ATHENS!O1*ATHENS!O2</f>
        <v>343.09090909090907</v>
      </c>
      <c r="N70" s="126">
        <f>225.6/ATHENS!O1*ATHENS!O2</f>
        <v>410.18181818181813</v>
      </c>
    </row>
    <row r="71" spans="1:14" s="111" customFormat="1" x14ac:dyDescent="0.2">
      <c r="A71" s="116"/>
      <c r="B71" s="461" t="s">
        <v>67</v>
      </c>
      <c r="C71" s="461"/>
      <c r="D71" s="461"/>
      <c r="E71" s="120"/>
      <c r="F71" s="120" t="s">
        <v>1181</v>
      </c>
      <c r="G71" s="120" t="s">
        <v>68</v>
      </c>
      <c r="H71" s="120" t="s">
        <v>702</v>
      </c>
      <c r="I71" s="120"/>
      <c r="J71" s="100">
        <f>50.5/ATHENS!O1*ATHENS!O2</f>
        <v>91.818181818181813</v>
      </c>
      <c r="K71" s="100">
        <f>79.65/ATHENS!O1*ATHENS!O2</f>
        <v>144.81818181818181</v>
      </c>
      <c r="L71" s="100">
        <f>95.6/ATHENS!O1*ATHENS!O2</f>
        <v>173.81818181818178</v>
      </c>
      <c r="M71" s="100">
        <f>117.95/ATHENS!O1*ATHENS!O2</f>
        <v>214.45454545454544</v>
      </c>
      <c r="N71" s="100">
        <f>141/ATHENS!O1*ATHENS!O2</f>
        <v>256.36363636363632</v>
      </c>
    </row>
    <row r="72" spans="1:14" s="111" customFormat="1" ht="13.5" thickBot="1" x14ac:dyDescent="0.25">
      <c r="A72" s="121"/>
      <c r="B72" s="460" t="s">
        <v>67</v>
      </c>
      <c r="C72" s="460"/>
      <c r="D72" s="460"/>
      <c r="E72" s="123"/>
      <c r="F72" s="123" t="s">
        <v>1182</v>
      </c>
      <c r="G72" s="123" t="s">
        <v>68</v>
      </c>
      <c r="H72" s="123" t="s">
        <v>702</v>
      </c>
      <c r="I72" s="123"/>
      <c r="J72" s="105">
        <f>42.5/ATHENS!O1*ATHENS!O2</f>
        <v>77.272727272727266</v>
      </c>
      <c r="K72" s="105">
        <f>66.6/ATHENS!O1*ATHENS!O2</f>
        <v>121.09090909090907</v>
      </c>
      <c r="L72" s="105">
        <f>80/ATHENS!O1*ATHENS!O2</f>
        <v>145.45454545454544</v>
      </c>
      <c r="M72" s="105">
        <f>98.5/ATHENS!O1*ATHENS!O2</f>
        <v>179.09090909090907</v>
      </c>
      <c r="N72" s="105">
        <f>117.5/ATHENS!O1*ATHENS!O2</f>
        <v>213.63636363636363</v>
      </c>
    </row>
    <row r="73" spans="1:14" s="111" customFormat="1" ht="13.5" thickBot="1" x14ac:dyDescent="0.25">
      <c r="A73" s="112"/>
      <c r="B73" s="113"/>
      <c r="C73" s="113"/>
      <c r="D73" s="113"/>
      <c r="E73" s="114"/>
      <c r="F73" s="114"/>
      <c r="G73" s="114"/>
      <c r="H73" s="114"/>
      <c r="I73" s="114"/>
      <c r="J73" s="114"/>
      <c r="K73" s="114"/>
      <c r="L73" s="114"/>
      <c r="M73" s="114"/>
      <c r="N73" s="115"/>
    </row>
    <row r="74" spans="1:14" s="111" customFormat="1" ht="13.5" thickBot="1" x14ac:dyDescent="0.25">
      <c r="A74" s="134"/>
      <c r="B74" s="135" t="s">
        <v>1466</v>
      </c>
      <c r="C74" s="135"/>
      <c r="D74" s="135"/>
      <c r="E74" s="136"/>
      <c r="F74" s="136"/>
      <c r="G74" s="136"/>
      <c r="H74" s="136"/>
      <c r="I74" s="136"/>
      <c r="J74" s="136"/>
      <c r="K74" s="136"/>
      <c r="L74" s="136"/>
      <c r="M74" s="136"/>
      <c r="N74" s="137"/>
    </row>
    <row r="75" spans="1:14" s="111" customFormat="1" x14ac:dyDescent="0.2">
      <c r="A75" s="239"/>
      <c r="B75" s="119"/>
      <c r="C75" s="119"/>
      <c r="D75" s="119"/>
      <c r="E75" s="120"/>
      <c r="F75" s="120"/>
      <c r="G75" s="120"/>
      <c r="H75" s="120"/>
      <c r="I75" s="120"/>
      <c r="J75" s="120"/>
      <c r="K75" s="120"/>
      <c r="L75" s="120"/>
      <c r="M75" s="120"/>
      <c r="N75" s="120"/>
    </row>
    <row r="76" spans="1:14" s="111" customFormat="1" x14ac:dyDescent="0.2">
      <c r="A76" s="239"/>
      <c r="B76" s="119"/>
      <c r="C76" s="119"/>
      <c r="D76" s="119"/>
      <c r="E76" s="120"/>
      <c r="F76" s="120"/>
      <c r="G76" s="120"/>
      <c r="H76" s="120"/>
      <c r="I76" s="120"/>
      <c r="J76" s="120"/>
      <c r="K76" s="120"/>
      <c r="L76" s="120"/>
      <c r="M76" s="120"/>
      <c r="N76" s="120"/>
    </row>
    <row r="77" spans="1:14" s="111" customFormat="1" x14ac:dyDescent="0.2">
      <c r="A77" s="239"/>
      <c r="B77" s="119"/>
      <c r="C77" s="119"/>
      <c r="D77" s="119"/>
      <c r="E77" s="120"/>
      <c r="F77" s="120"/>
      <c r="G77" s="120"/>
      <c r="H77" s="120"/>
      <c r="I77" s="120"/>
      <c r="J77" s="120"/>
      <c r="K77" s="120"/>
      <c r="L77" s="120"/>
      <c r="M77" s="120"/>
      <c r="N77" s="120"/>
    </row>
    <row r="78" spans="1:14" s="111" customFormat="1" x14ac:dyDescent="0.2">
      <c r="A78" s="239"/>
      <c r="B78" s="119"/>
      <c r="C78" s="119"/>
      <c r="D78" s="119"/>
      <c r="E78" s="120"/>
      <c r="F78" s="120"/>
      <c r="G78" s="120"/>
      <c r="H78" s="120"/>
      <c r="I78" s="120"/>
      <c r="J78" s="120"/>
      <c r="K78" s="120"/>
      <c r="L78" s="120"/>
      <c r="M78" s="120"/>
      <c r="N78" s="120"/>
    </row>
    <row r="79" spans="1:14" s="111" customFormat="1" x14ac:dyDescent="0.2">
      <c r="A79" s="239"/>
      <c r="B79" s="119"/>
      <c r="C79" s="119"/>
      <c r="D79" s="119"/>
      <c r="E79" s="120"/>
      <c r="F79" s="120"/>
      <c r="G79" s="120"/>
      <c r="H79" s="120"/>
      <c r="I79" s="120"/>
      <c r="J79" s="120"/>
      <c r="K79" s="120"/>
      <c r="L79" s="120"/>
      <c r="M79" s="120"/>
      <c r="N79" s="120"/>
    </row>
    <row r="80" spans="1:14" s="111" customFormat="1" x14ac:dyDescent="0.2">
      <c r="A80" s="239"/>
      <c r="B80" s="119"/>
      <c r="C80" s="119"/>
      <c r="D80" s="119"/>
      <c r="E80" s="120"/>
      <c r="F80" s="120"/>
      <c r="G80" s="120"/>
      <c r="H80" s="120"/>
      <c r="I80" s="120"/>
      <c r="J80" s="120"/>
      <c r="K80" s="120"/>
      <c r="L80" s="120"/>
      <c r="M80" s="120"/>
      <c r="N80" s="120"/>
    </row>
    <row r="81" spans="1:14" s="111" customFormat="1" x14ac:dyDescent="0.2">
      <c r="A81" s="239"/>
      <c r="B81" s="119"/>
      <c r="C81" s="119"/>
      <c r="D81" s="119"/>
      <c r="E81" s="120"/>
      <c r="F81" s="120"/>
      <c r="G81" s="120"/>
      <c r="H81" s="120"/>
      <c r="I81" s="120"/>
      <c r="J81" s="120"/>
      <c r="K81" s="120"/>
      <c r="L81" s="120"/>
      <c r="M81" s="120"/>
      <c r="N81" s="120"/>
    </row>
    <row r="82" spans="1:14" s="111" customFormat="1" x14ac:dyDescent="0.2">
      <c r="A82" s="239"/>
      <c r="B82" s="119"/>
      <c r="C82" s="119"/>
      <c r="D82" s="119"/>
      <c r="E82" s="120"/>
      <c r="F82" s="120"/>
      <c r="G82" s="120"/>
      <c r="H82" s="120"/>
      <c r="I82" s="120"/>
      <c r="J82" s="120"/>
      <c r="K82" s="120"/>
      <c r="L82" s="120"/>
      <c r="M82" s="120"/>
      <c r="N82" s="120"/>
    </row>
    <row r="83" spans="1:14" s="111" customFormat="1" x14ac:dyDescent="0.2">
      <c r="A83" s="239"/>
      <c r="B83" s="119"/>
      <c r="C83" s="119"/>
      <c r="D83" s="119"/>
      <c r="E83" s="120"/>
      <c r="F83" s="120"/>
      <c r="G83" s="120"/>
      <c r="H83" s="120"/>
      <c r="I83" s="120"/>
      <c r="J83" s="120"/>
      <c r="K83" s="120"/>
      <c r="L83" s="120"/>
      <c r="M83" s="120"/>
      <c r="N83" s="120"/>
    </row>
    <row r="84" spans="1:14" s="111" customFormat="1" x14ac:dyDescent="0.2">
      <c r="A84" s="239"/>
      <c r="B84" s="119"/>
      <c r="C84" s="119"/>
      <c r="D84" s="119"/>
      <c r="E84" s="120"/>
      <c r="F84" s="120"/>
      <c r="G84" s="120"/>
      <c r="H84" s="120"/>
      <c r="I84" s="120"/>
      <c r="J84" s="120"/>
      <c r="K84" s="120"/>
      <c r="L84" s="120"/>
      <c r="M84" s="120"/>
      <c r="N84" s="120"/>
    </row>
    <row r="85" spans="1:14" s="111" customFormat="1" x14ac:dyDescent="0.2">
      <c r="A85" s="239"/>
      <c r="B85" s="119"/>
      <c r="C85" s="119"/>
      <c r="D85" s="119"/>
      <c r="E85" s="120"/>
      <c r="F85" s="120"/>
      <c r="G85" s="120"/>
      <c r="H85" s="120"/>
      <c r="I85" s="120"/>
      <c r="J85" s="120"/>
      <c r="K85" s="120"/>
      <c r="L85" s="120"/>
      <c r="M85" s="120"/>
      <c r="N85" s="120"/>
    </row>
    <row r="86" spans="1:14" s="111" customFormat="1" x14ac:dyDescent="0.2">
      <c r="A86" s="239"/>
      <c r="B86" s="119"/>
      <c r="C86" s="119"/>
      <c r="D86" s="119"/>
      <c r="E86" s="120"/>
      <c r="F86" s="120"/>
      <c r="G86" s="120"/>
      <c r="H86" s="120"/>
      <c r="I86" s="120"/>
      <c r="J86" s="120"/>
      <c r="K86" s="120"/>
      <c r="L86" s="120"/>
      <c r="M86" s="120"/>
      <c r="N86" s="120"/>
    </row>
    <row r="87" spans="1:14" s="111" customFormat="1" x14ac:dyDescent="0.2">
      <c r="A87" s="239"/>
      <c r="B87" s="119"/>
      <c r="C87" s="119"/>
      <c r="D87" s="119"/>
      <c r="E87" s="120"/>
      <c r="F87" s="120"/>
      <c r="G87" s="120"/>
      <c r="H87" s="120"/>
      <c r="I87" s="120"/>
      <c r="J87" s="120"/>
      <c r="K87" s="120"/>
      <c r="L87" s="120"/>
      <c r="M87" s="120"/>
      <c r="N87" s="120"/>
    </row>
    <row r="88" spans="1:14" s="111" customFormat="1" x14ac:dyDescent="0.2">
      <c r="A88" s="239"/>
      <c r="B88" s="119"/>
      <c r="C88" s="119"/>
      <c r="D88" s="119"/>
      <c r="E88" s="120"/>
      <c r="F88" s="120"/>
      <c r="G88" s="120"/>
      <c r="H88" s="120"/>
      <c r="I88" s="120"/>
      <c r="J88" s="120"/>
      <c r="K88" s="120"/>
      <c r="L88" s="120"/>
      <c r="M88" s="120"/>
      <c r="N88" s="120"/>
    </row>
    <row r="89" spans="1:14" s="111" customFormat="1" x14ac:dyDescent="0.2">
      <c r="A89" s="239"/>
      <c r="B89" s="119"/>
      <c r="C89" s="119"/>
      <c r="D89" s="119"/>
      <c r="E89" s="120"/>
      <c r="F89" s="120"/>
      <c r="G89" s="120"/>
      <c r="H89" s="120"/>
      <c r="I89" s="120"/>
      <c r="J89" s="120"/>
      <c r="K89" s="120"/>
      <c r="L89" s="120"/>
      <c r="M89" s="120"/>
      <c r="N89" s="120"/>
    </row>
    <row r="90" spans="1:14" s="111" customFormat="1" x14ac:dyDescent="0.2">
      <c r="A90" s="239"/>
      <c r="B90" s="119"/>
      <c r="C90" s="119"/>
      <c r="D90" s="119"/>
      <c r="E90" s="120"/>
      <c r="F90" s="120"/>
      <c r="G90" s="120"/>
      <c r="H90" s="120"/>
      <c r="I90" s="120"/>
      <c r="J90" s="120"/>
      <c r="K90" s="120"/>
      <c r="L90" s="120"/>
      <c r="M90" s="120"/>
      <c r="N90" s="120"/>
    </row>
    <row r="91" spans="1:14" s="111" customFormat="1" x14ac:dyDescent="0.2">
      <c r="A91" s="239"/>
      <c r="B91" s="119"/>
      <c r="C91" s="119"/>
      <c r="D91" s="119"/>
      <c r="E91" s="120"/>
      <c r="F91" s="120"/>
      <c r="G91" s="120"/>
      <c r="H91" s="120"/>
      <c r="I91" s="120"/>
      <c r="J91" s="120"/>
      <c r="K91" s="120"/>
      <c r="L91" s="120"/>
      <c r="M91" s="120"/>
      <c r="N91" s="120"/>
    </row>
    <row r="92" spans="1:14" s="111" customFormat="1" ht="13.5" thickBot="1" x14ac:dyDescent="0.25">
      <c r="A92" s="108"/>
      <c r="B92" s="109"/>
      <c r="C92" s="109"/>
      <c r="D92" s="109"/>
      <c r="E92" s="110"/>
      <c r="F92" s="110"/>
      <c r="G92" s="110"/>
      <c r="H92" s="110"/>
      <c r="I92" s="110"/>
      <c r="J92" s="110"/>
      <c r="K92" s="110"/>
      <c r="L92" s="110"/>
      <c r="M92" s="110"/>
      <c r="N92" s="110"/>
    </row>
    <row r="93" spans="1:14" s="111" customFormat="1" ht="13.5" thickBot="1" x14ac:dyDescent="0.25">
      <c r="A93" s="112"/>
      <c r="B93" s="113"/>
      <c r="C93" s="113"/>
      <c r="D93" s="113"/>
      <c r="E93" s="114"/>
      <c r="F93" s="114"/>
      <c r="G93" s="114"/>
      <c r="H93" s="114"/>
      <c r="I93" s="114"/>
      <c r="J93" s="114"/>
      <c r="K93" s="114"/>
      <c r="L93" s="114"/>
      <c r="M93" s="114"/>
      <c r="N93" s="115"/>
    </row>
    <row r="94" spans="1:14" s="111" customFormat="1" ht="15.75" thickBot="1" x14ac:dyDescent="0.25">
      <c r="A94" s="116"/>
      <c r="B94" s="484" t="s">
        <v>344</v>
      </c>
      <c r="C94" s="485"/>
      <c r="D94" s="485"/>
      <c r="E94" s="485"/>
      <c r="F94" s="485"/>
      <c r="G94" s="485"/>
      <c r="H94" s="485"/>
      <c r="I94" s="485"/>
      <c r="J94" s="485"/>
      <c r="K94" s="485"/>
      <c r="L94" s="485"/>
      <c r="M94" s="486"/>
      <c r="N94" s="117" t="s">
        <v>91</v>
      </c>
    </row>
    <row r="95" spans="1:14" s="111" customFormat="1" x14ac:dyDescent="0.2">
      <c r="A95" s="116"/>
      <c r="B95" s="118" t="s">
        <v>428</v>
      </c>
      <c r="C95" s="119" t="s">
        <v>345</v>
      </c>
      <c r="D95" s="119"/>
      <c r="E95" s="120"/>
      <c r="F95" s="120"/>
      <c r="G95" s="120"/>
      <c r="H95" s="120"/>
      <c r="I95" s="120"/>
      <c r="J95" s="120"/>
      <c r="K95" s="120"/>
      <c r="L95" s="120"/>
      <c r="M95" s="120"/>
      <c r="N95" s="101"/>
    </row>
    <row r="96" spans="1:14" s="111" customFormat="1" x14ac:dyDescent="0.2">
      <c r="A96" s="116"/>
      <c r="B96" s="118" t="s">
        <v>429</v>
      </c>
      <c r="C96" s="119" t="s">
        <v>733</v>
      </c>
      <c r="D96" s="119"/>
      <c r="E96" s="120"/>
      <c r="F96" s="120"/>
      <c r="G96" s="120"/>
      <c r="H96" s="120"/>
      <c r="I96" s="120"/>
      <c r="J96" s="120"/>
      <c r="K96" s="120"/>
      <c r="L96" s="120"/>
      <c r="M96" s="120"/>
      <c r="N96" s="101"/>
    </row>
    <row r="97" spans="1:14" s="111" customFormat="1" x14ac:dyDescent="0.2">
      <c r="A97" s="116"/>
      <c r="B97" s="118" t="s">
        <v>427</v>
      </c>
      <c r="C97" s="480" t="s">
        <v>1612</v>
      </c>
      <c r="D97" s="480"/>
      <c r="E97" s="480"/>
      <c r="F97" s="480"/>
      <c r="G97" s="480"/>
      <c r="H97" s="480"/>
      <c r="I97" s="480"/>
      <c r="J97" s="480"/>
      <c r="K97" s="480"/>
      <c r="L97" s="480"/>
      <c r="M97" s="480"/>
      <c r="N97" s="481"/>
    </row>
    <row r="98" spans="1:14" s="111" customFormat="1" x14ac:dyDescent="0.2">
      <c r="A98" s="116"/>
      <c r="B98" s="118"/>
      <c r="C98" s="480"/>
      <c r="D98" s="480"/>
      <c r="E98" s="480"/>
      <c r="F98" s="480"/>
      <c r="G98" s="480"/>
      <c r="H98" s="480"/>
      <c r="I98" s="480"/>
      <c r="J98" s="480"/>
      <c r="K98" s="480"/>
      <c r="L98" s="480"/>
      <c r="M98" s="480"/>
      <c r="N98" s="481"/>
    </row>
    <row r="99" spans="1:14" s="111" customFormat="1" x14ac:dyDescent="0.2">
      <c r="A99" s="116"/>
      <c r="B99" s="118"/>
      <c r="C99" s="480"/>
      <c r="D99" s="480"/>
      <c r="E99" s="480"/>
      <c r="F99" s="480"/>
      <c r="G99" s="480"/>
      <c r="H99" s="480"/>
      <c r="I99" s="480"/>
      <c r="J99" s="480"/>
      <c r="K99" s="480"/>
      <c r="L99" s="480"/>
      <c r="M99" s="480"/>
      <c r="N99" s="481"/>
    </row>
    <row r="100" spans="1:14" s="111" customFormat="1" x14ac:dyDescent="0.2">
      <c r="A100" s="116"/>
      <c r="B100" s="118"/>
      <c r="C100" s="480"/>
      <c r="D100" s="480"/>
      <c r="E100" s="480"/>
      <c r="F100" s="480"/>
      <c r="G100" s="480"/>
      <c r="H100" s="480"/>
      <c r="I100" s="480"/>
      <c r="J100" s="480"/>
      <c r="K100" s="480"/>
      <c r="L100" s="480"/>
      <c r="M100" s="480"/>
      <c r="N100" s="481"/>
    </row>
    <row r="101" spans="1:14" s="111" customFormat="1" x14ac:dyDescent="0.2">
      <c r="A101" s="116"/>
      <c r="B101" s="119"/>
      <c r="C101" s="480"/>
      <c r="D101" s="480"/>
      <c r="E101" s="480"/>
      <c r="F101" s="480"/>
      <c r="G101" s="480"/>
      <c r="H101" s="480"/>
      <c r="I101" s="480"/>
      <c r="J101" s="480"/>
      <c r="K101" s="480"/>
      <c r="L101" s="480"/>
      <c r="M101" s="480"/>
      <c r="N101" s="481"/>
    </row>
    <row r="102" spans="1:14" s="111" customFormat="1" x14ac:dyDescent="0.2">
      <c r="A102" s="116"/>
      <c r="B102" s="119"/>
      <c r="C102" s="480"/>
      <c r="D102" s="480"/>
      <c r="E102" s="480"/>
      <c r="F102" s="480"/>
      <c r="G102" s="480"/>
      <c r="H102" s="480"/>
      <c r="I102" s="480"/>
      <c r="J102" s="480"/>
      <c r="K102" s="480"/>
      <c r="L102" s="480"/>
      <c r="M102" s="480"/>
      <c r="N102" s="481"/>
    </row>
    <row r="103" spans="1:14" s="111" customFormat="1" x14ac:dyDescent="0.2">
      <c r="A103" s="116"/>
      <c r="B103" s="118" t="s">
        <v>426</v>
      </c>
      <c r="C103" s="119" t="s">
        <v>834</v>
      </c>
      <c r="D103" s="119"/>
      <c r="E103" s="120"/>
      <c r="F103" s="120"/>
      <c r="G103" s="120"/>
      <c r="H103" s="120"/>
      <c r="I103" s="120"/>
      <c r="J103" s="120"/>
      <c r="K103" s="120"/>
      <c r="L103" s="120"/>
      <c r="M103" s="120"/>
      <c r="N103" s="101"/>
    </row>
    <row r="104" spans="1:14" s="111" customFormat="1" ht="13.5" thickBot="1" x14ac:dyDescent="0.25">
      <c r="A104" s="121"/>
      <c r="B104" s="118" t="s">
        <v>430</v>
      </c>
      <c r="C104" s="122"/>
      <c r="D104" s="122"/>
      <c r="E104" s="123"/>
      <c r="F104" s="123"/>
      <c r="G104" s="123"/>
      <c r="H104" s="123"/>
      <c r="I104" s="123"/>
      <c r="J104" s="123"/>
      <c r="K104" s="123"/>
      <c r="L104" s="123"/>
      <c r="M104" s="123"/>
      <c r="N104" s="104"/>
    </row>
    <row r="105" spans="1:14" s="111" customFormat="1" x14ac:dyDescent="0.2">
      <c r="A105" s="112"/>
      <c r="B105" s="113" t="s">
        <v>263</v>
      </c>
      <c r="C105" s="113"/>
      <c r="D105" s="113"/>
      <c r="E105" s="114"/>
      <c r="F105" s="114"/>
      <c r="G105" s="114"/>
      <c r="H105" s="114"/>
      <c r="I105" s="114"/>
      <c r="J105" s="127" t="s">
        <v>1971</v>
      </c>
      <c r="K105" s="126" t="s">
        <v>2208</v>
      </c>
      <c r="L105" s="126" t="s">
        <v>2210</v>
      </c>
      <c r="M105" s="126"/>
      <c r="N105" s="126"/>
    </row>
    <row r="106" spans="1:14" s="111" customFormat="1" ht="13.5" thickBot="1" x14ac:dyDescent="0.25">
      <c r="A106" s="121"/>
      <c r="B106" s="122"/>
      <c r="C106" s="122"/>
      <c r="D106" s="122"/>
      <c r="E106" s="123"/>
      <c r="F106" s="123"/>
      <c r="G106" s="123"/>
      <c r="H106" s="123"/>
      <c r="I106" s="123"/>
      <c r="J106" s="125" t="s">
        <v>2139</v>
      </c>
      <c r="K106" s="105" t="s">
        <v>2209</v>
      </c>
      <c r="L106" s="105" t="s">
        <v>2211</v>
      </c>
      <c r="M106" s="105" t="s">
        <v>88</v>
      </c>
      <c r="N106" s="105"/>
    </row>
    <row r="107" spans="1:14" s="111" customFormat="1" x14ac:dyDescent="0.2">
      <c r="A107" s="112"/>
      <c r="B107" s="467" t="s">
        <v>226</v>
      </c>
      <c r="C107" s="467"/>
      <c r="D107" s="467"/>
      <c r="E107" s="114"/>
      <c r="F107" s="114" t="s">
        <v>1180</v>
      </c>
      <c r="G107" s="114" t="s">
        <v>1484</v>
      </c>
      <c r="H107" s="114" t="s">
        <v>702</v>
      </c>
      <c r="I107" s="114"/>
      <c r="J107" s="100">
        <f>83/ATHENS!O1*ATHENS!O2</f>
        <v>150.90909090909091</v>
      </c>
      <c r="K107" s="100">
        <f>104/ATHENS!O1*ATHENS!O2</f>
        <v>189.09090909090907</v>
      </c>
      <c r="L107" s="100">
        <f>147/ATHENS!O1*ATHENS!O2</f>
        <v>267.27272727272725</v>
      </c>
      <c r="M107" s="100">
        <f>176/ATHENS!O1*ATHENS!O2</f>
        <v>320</v>
      </c>
      <c r="N107" s="126"/>
    </row>
    <row r="108" spans="1:14" s="111" customFormat="1" x14ac:dyDescent="0.2">
      <c r="A108" s="116"/>
      <c r="B108" s="461" t="s">
        <v>226</v>
      </c>
      <c r="C108" s="461"/>
      <c r="D108" s="461"/>
      <c r="E108" s="120"/>
      <c r="F108" s="120" t="s">
        <v>1181</v>
      </c>
      <c r="G108" s="120" t="s">
        <v>1484</v>
      </c>
      <c r="H108" s="120" t="s">
        <v>702</v>
      </c>
      <c r="I108" s="120"/>
      <c r="J108" s="100">
        <f>52/ATHENS!O1*ATHENS!O2</f>
        <v>94.545454545454533</v>
      </c>
      <c r="K108" s="100">
        <f>65/ATHENS!O1*ATHENS!O2</f>
        <v>118.18181818181817</v>
      </c>
      <c r="L108" s="100">
        <f>92/ATHENS!O1*ATHENS!O2</f>
        <v>167.27272727272725</v>
      </c>
      <c r="M108" s="100">
        <f>109.5/ATHENS!O1*ATHENS!O2</f>
        <v>199.09090909090907</v>
      </c>
      <c r="N108" s="100"/>
    </row>
    <row r="109" spans="1:14" s="111" customFormat="1" x14ac:dyDescent="0.2">
      <c r="A109" s="116"/>
      <c r="B109" s="461" t="s">
        <v>226</v>
      </c>
      <c r="C109" s="461"/>
      <c r="D109" s="461"/>
      <c r="E109" s="120"/>
      <c r="F109" s="120" t="s">
        <v>1182</v>
      </c>
      <c r="G109" s="120" t="s">
        <v>1484</v>
      </c>
      <c r="H109" s="120" t="s">
        <v>702</v>
      </c>
      <c r="I109" s="120"/>
      <c r="J109" s="100">
        <f>46.6/ATHENS!O1*ATHENS!O2</f>
        <v>84.72727272727272</v>
      </c>
      <c r="K109" s="100">
        <f>58.5/ATHENS!O1*ATHENS!O2</f>
        <v>106.36363636363636</v>
      </c>
      <c r="L109" s="100">
        <f>83/ATHENS!O1*ATHENS!O2</f>
        <v>150.90909090909091</v>
      </c>
      <c r="M109" s="100">
        <f>98.6/ATHENS!O1*ATHENS!O2</f>
        <v>179.27272727272725</v>
      </c>
      <c r="N109" s="100"/>
    </row>
    <row r="110" spans="1:14" s="111" customFormat="1" x14ac:dyDescent="0.2">
      <c r="A110" s="116"/>
      <c r="B110" s="461" t="s">
        <v>227</v>
      </c>
      <c r="C110" s="461"/>
      <c r="D110" s="461"/>
      <c r="E110" s="120"/>
      <c r="F110" s="120" t="s">
        <v>1180</v>
      </c>
      <c r="G110" s="120" t="s">
        <v>1484</v>
      </c>
      <c r="H110" s="120" t="s">
        <v>702</v>
      </c>
      <c r="I110" s="120"/>
      <c r="J110" s="100">
        <f>91/ATHENS!O1*ATHENS!O2</f>
        <v>165.45454545454544</v>
      </c>
      <c r="K110" s="100">
        <f>118/ATHENS!O1*ATHENS!O2</f>
        <v>214.54545454545453</v>
      </c>
      <c r="L110" s="100">
        <f>166/ATHENS!O1*ATHENS!O2</f>
        <v>301.81818181818181</v>
      </c>
      <c r="M110" s="100">
        <f>194/ATHENS!O1*ATHENS!O2</f>
        <v>352.72727272727269</v>
      </c>
      <c r="N110" s="100"/>
    </row>
    <row r="111" spans="1:14" s="111" customFormat="1" x14ac:dyDescent="0.2">
      <c r="A111" s="116"/>
      <c r="B111" s="461" t="s">
        <v>227</v>
      </c>
      <c r="C111" s="461"/>
      <c r="D111" s="461"/>
      <c r="E111" s="120"/>
      <c r="F111" s="120" t="s">
        <v>1181</v>
      </c>
      <c r="G111" s="120" t="s">
        <v>1484</v>
      </c>
      <c r="H111" s="120" t="s">
        <v>702</v>
      </c>
      <c r="I111" s="120"/>
      <c r="J111" s="100">
        <f>56.5/ATHENS!O1*ATHENS!O2</f>
        <v>102.72727272727272</v>
      </c>
      <c r="K111" s="100">
        <f>74/ATHENS!O1*ATHENS!O2</f>
        <v>134.54545454545453</v>
      </c>
      <c r="L111" s="100">
        <f>104/ATHENS!O1*ATHENS!O2</f>
        <v>189.09090909090907</v>
      </c>
      <c r="M111" s="100">
        <f>121.5/ATHENS!O1*ATHENS!O2</f>
        <v>220.90909090909088</v>
      </c>
      <c r="N111" s="100"/>
    </row>
    <row r="112" spans="1:14" s="111" customFormat="1" ht="13.5" thickBot="1" x14ac:dyDescent="0.25">
      <c r="A112" s="121"/>
      <c r="B112" s="460" t="s">
        <v>227</v>
      </c>
      <c r="C112" s="460"/>
      <c r="D112" s="460"/>
      <c r="E112" s="123"/>
      <c r="F112" s="123" t="s">
        <v>1182</v>
      </c>
      <c r="G112" s="123" t="s">
        <v>1484</v>
      </c>
      <c r="H112" s="123" t="s">
        <v>702</v>
      </c>
      <c r="I112" s="123"/>
      <c r="J112" s="105">
        <f>51/ATHENS!O1*ATHENS!O2</f>
        <v>92.72727272727272</v>
      </c>
      <c r="K112" s="105">
        <f>66.5/ATHENS!O1*ATHENS!O2</f>
        <v>120.90909090909089</v>
      </c>
      <c r="L112" s="105">
        <f>93.5/ATHENS!O1*ATHENS!O2</f>
        <v>170</v>
      </c>
      <c r="M112" s="105">
        <f>109.5/ATHENS!O1*ATHENS!O2</f>
        <v>199.09090909090907</v>
      </c>
      <c r="N112" s="105"/>
    </row>
    <row r="113" spans="1:14" s="111" customFormat="1" ht="13.5" thickBot="1" x14ac:dyDescent="0.25">
      <c r="A113" s="108"/>
      <c r="B113" s="109"/>
      <c r="C113" s="109"/>
      <c r="D113" s="109"/>
      <c r="E113" s="110"/>
      <c r="F113" s="110"/>
      <c r="G113" s="110"/>
      <c r="H113" s="110"/>
      <c r="I113" s="110"/>
      <c r="J113" s="110"/>
      <c r="K113" s="110"/>
      <c r="L113" s="110"/>
      <c r="M113" s="110"/>
      <c r="N113" s="110"/>
    </row>
    <row r="114" spans="1:14" s="111" customFormat="1" ht="13.5" thickBot="1" x14ac:dyDescent="0.25">
      <c r="A114" s="112"/>
      <c r="B114" s="113"/>
      <c r="C114" s="113"/>
      <c r="D114" s="113"/>
      <c r="E114" s="114"/>
      <c r="F114" s="114"/>
      <c r="G114" s="114"/>
      <c r="H114" s="114"/>
      <c r="I114" s="114"/>
      <c r="J114" s="114"/>
      <c r="K114" s="114"/>
      <c r="L114" s="114"/>
      <c r="M114" s="114"/>
      <c r="N114" s="115"/>
    </row>
    <row r="115" spans="1:14" s="111" customFormat="1" ht="15.75" thickBot="1" x14ac:dyDescent="0.25">
      <c r="A115" s="116"/>
      <c r="B115" s="484" t="s">
        <v>835</v>
      </c>
      <c r="C115" s="485"/>
      <c r="D115" s="485"/>
      <c r="E115" s="485"/>
      <c r="F115" s="485"/>
      <c r="G115" s="485"/>
      <c r="H115" s="485"/>
      <c r="I115" s="485"/>
      <c r="J115" s="485"/>
      <c r="K115" s="485"/>
      <c r="L115" s="485"/>
      <c r="M115" s="486"/>
      <c r="N115" s="117" t="s">
        <v>91</v>
      </c>
    </row>
    <row r="116" spans="1:14" s="111" customFormat="1" x14ac:dyDescent="0.2">
      <c r="A116" s="116"/>
      <c r="B116" s="118" t="s">
        <v>428</v>
      </c>
      <c r="C116" s="119" t="s">
        <v>836</v>
      </c>
      <c r="D116" s="119"/>
      <c r="E116" s="120"/>
      <c r="F116" s="120"/>
      <c r="G116" s="120"/>
      <c r="H116" s="120"/>
      <c r="I116" s="120"/>
      <c r="J116" s="120"/>
      <c r="K116" s="120"/>
      <c r="L116" s="120"/>
      <c r="M116" s="120"/>
      <c r="N116" s="101"/>
    </row>
    <row r="117" spans="1:14" s="111" customFormat="1" x14ac:dyDescent="0.2">
      <c r="A117" s="116"/>
      <c r="B117" s="118" t="s">
        <v>429</v>
      </c>
      <c r="C117" s="119" t="s">
        <v>734</v>
      </c>
      <c r="D117" s="119"/>
      <c r="E117" s="120"/>
      <c r="F117" s="120"/>
      <c r="G117" s="120"/>
      <c r="H117" s="120"/>
      <c r="I117" s="120"/>
      <c r="J117" s="120"/>
      <c r="K117" s="120"/>
      <c r="L117" s="120"/>
      <c r="M117" s="120"/>
      <c r="N117" s="101"/>
    </row>
    <row r="118" spans="1:14" s="111" customFormat="1" x14ac:dyDescent="0.2">
      <c r="A118" s="116"/>
      <c r="B118" s="118" t="s">
        <v>427</v>
      </c>
      <c r="C118" s="480" t="s">
        <v>1229</v>
      </c>
      <c r="D118" s="480"/>
      <c r="E118" s="480"/>
      <c r="F118" s="480"/>
      <c r="G118" s="480"/>
      <c r="H118" s="480"/>
      <c r="I118" s="480"/>
      <c r="J118" s="480"/>
      <c r="K118" s="480"/>
      <c r="L118" s="480"/>
      <c r="M118" s="480"/>
      <c r="N118" s="481"/>
    </row>
    <row r="119" spans="1:14" s="111" customFormat="1" x14ac:dyDescent="0.2">
      <c r="A119" s="116"/>
      <c r="B119" s="118"/>
      <c r="C119" s="480"/>
      <c r="D119" s="480"/>
      <c r="E119" s="480"/>
      <c r="F119" s="480"/>
      <c r="G119" s="480"/>
      <c r="H119" s="480"/>
      <c r="I119" s="480"/>
      <c r="J119" s="480"/>
      <c r="K119" s="480"/>
      <c r="L119" s="480"/>
      <c r="M119" s="480"/>
      <c r="N119" s="481"/>
    </row>
    <row r="120" spans="1:14" s="111" customFormat="1" x14ac:dyDescent="0.2">
      <c r="A120" s="116"/>
      <c r="B120" s="118"/>
      <c r="C120" s="480"/>
      <c r="D120" s="480"/>
      <c r="E120" s="480"/>
      <c r="F120" s="480"/>
      <c r="G120" s="480"/>
      <c r="H120" s="480"/>
      <c r="I120" s="480"/>
      <c r="J120" s="480"/>
      <c r="K120" s="480"/>
      <c r="L120" s="480"/>
      <c r="M120" s="480"/>
      <c r="N120" s="481"/>
    </row>
    <row r="121" spans="1:14" s="111" customFormat="1" x14ac:dyDescent="0.2">
      <c r="A121" s="116"/>
      <c r="B121" s="118"/>
      <c r="C121" s="480"/>
      <c r="D121" s="480"/>
      <c r="E121" s="480"/>
      <c r="F121" s="480"/>
      <c r="G121" s="480"/>
      <c r="H121" s="480"/>
      <c r="I121" s="480"/>
      <c r="J121" s="480"/>
      <c r="K121" s="480"/>
      <c r="L121" s="480"/>
      <c r="M121" s="480"/>
      <c r="N121" s="481"/>
    </row>
    <row r="122" spans="1:14" s="111" customFormat="1" x14ac:dyDescent="0.2">
      <c r="A122" s="116"/>
      <c r="B122" s="118"/>
      <c r="C122" s="480"/>
      <c r="D122" s="480"/>
      <c r="E122" s="480"/>
      <c r="F122" s="480"/>
      <c r="G122" s="480"/>
      <c r="H122" s="480"/>
      <c r="I122" s="480"/>
      <c r="J122" s="480"/>
      <c r="K122" s="480"/>
      <c r="L122" s="480"/>
      <c r="M122" s="480"/>
      <c r="N122" s="481"/>
    </row>
    <row r="123" spans="1:14" s="111" customFormat="1" x14ac:dyDescent="0.2">
      <c r="A123" s="116"/>
      <c r="B123" s="118" t="s">
        <v>426</v>
      </c>
      <c r="C123" s="119" t="s">
        <v>740</v>
      </c>
      <c r="D123" s="119"/>
      <c r="E123" s="120"/>
      <c r="F123" s="120"/>
      <c r="G123" s="120"/>
      <c r="H123" s="120"/>
      <c r="I123" s="120"/>
      <c r="J123" s="120"/>
      <c r="K123" s="120"/>
      <c r="L123" s="120"/>
      <c r="M123" s="120"/>
      <c r="N123" s="101"/>
    </row>
    <row r="124" spans="1:14" s="111" customFormat="1" ht="13.5" thickBot="1" x14ac:dyDescent="0.25">
      <c r="A124" s="121"/>
      <c r="B124" s="133" t="s">
        <v>430</v>
      </c>
      <c r="C124" s="122"/>
      <c r="D124" s="122"/>
      <c r="E124" s="123"/>
      <c r="F124" s="123"/>
      <c r="G124" s="123"/>
      <c r="H124" s="123"/>
      <c r="I124" s="123"/>
      <c r="J124" s="123"/>
      <c r="K124" s="123"/>
      <c r="L124" s="123"/>
      <c r="M124" s="123"/>
      <c r="N124" s="104"/>
    </row>
    <row r="125" spans="1:14" s="111" customFormat="1" x14ac:dyDescent="0.2">
      <c r="A125" s="112"/>
      <c r="B125" s="113" t="s">
        <v>263</v>
      </c>
      <c r="C125" s="113"/>
      <c r="D125" s="113"/>
      <c r="E125" s="114"/>
      <c r="F125" s="114"/>
      <c r="G125" s="114"/>
      <c r="H125" s="114"/>
      <c r="I125" s="114"/>
      <c r="J125" s="127" t="s">
        <v>1413</v>
      </c>
      <c r="K125" s="126" t="s">
        <v>2008</v>
      </c>
      <c r="L125" s="126"/>
      <c r="M125" s="126"/>
      <c r="N125" s="126"/>
    </row>
    <row r="126" spans="1:14" s="111" customFormat="1" ht="13.5" thickBot="1" x14ac:dyDescent="0.25">
      <c r="A126" s="121"/>
      <c r="B126" s="122"/>
      <c r="C126" s="122"/>
      <c r="D126" s="122"/>
      <c r="E126" s="123"/>
      <c r="F126" s="123"/>
      <c r="G126" s="123"/>
      <c r="H126" s="123"/>
      <c r="I126" s="123"/>
      <c r="J126" s="125" t="s">
        <v>798</v>
      </c>
      <c r="K126" s="105" t="s">
        <v>1415</v>
      </c>
      <c r="L126" s="105" t="s">
        <v>579</v>
      </c>
      <c r="M126" s="105"/>
      <c r="N126" s="105"/>
    </row>
    <row r="127" spans="1:14" s="111" customFormat="1" x14ac:dyDescent="0.2">
      <c r="A127" s="112"/>
      <c r="B127" s="467" t="s">
        <v>67</v>
      </c>
      <c r="C127" s="467"/>
      <c r="D127" s="467"/>
      <c r="E127" s="114"/>
      <c r="F127" s="114" t="s">
        <v>1180</v>
      </c>
      <c r="G127" s="114" t="s">
        <v>68</v>
      </c>
      <c r="H127" s="114" t="s">
        <v>702</v>
      </c>
      <c r="I127" s="114"/>
      <c r="J127" s="100">
        <f>134.02/ATHENS!O1*ATHENS!O2</f>
        <v>243.67272727272726</v>
      </c>
      <c r="K127" s="100">
        <f>182.5/ATHENS!O1*ATHENS!O2</f>
        <v>331.81818181818181</v>
      </c>
      <c r="L127" s="100">
        <f>195/ATHENS!O1*ATHENS!O2</f>
        <v>354.5454545454545</v>
      </c>
      <c r="M127" s="100"/>
      <c r="N127" s="126"/>
    </row>
    <row r="128" spans="1:14" s="111" customFormat="1" x14ac:dyDescent="0.2">
      <c r="A128" s="116"/>
      <c r="B128" s="461" t="s">
        <v>67</v>
      </c>
      <c r="C128" s="461"/>
      <c r="D128" s="461"/>
      <c r="E128" s="120"/>
      <c r="F128" s="120" t="s">
        <v>1181</v>
      </c>
      <c r="G128" s="120" t="s">
        <v>68</v>
      </c>
      <c r="H128" s="120" t="s">
        <v>702</v>
      </c>
      <c r="I128" s="120"/>
      <c r="J128" s="100">
        <f>75.5/ATHENS!O1*ATHENS!O2</f>
        <v>137.27272727272725</v>
      </c>
      <c r="K128" s="100">
        <f>99.5/ATHENS!O1*ATHENS!O2</f>
        <v>180.90909090909091</v>
      </c>
      <c r="L128" s="100">
        <f>106.7/ATHENS!O1*ATHENS!O2</f>
        <v>194</v>
      </c>
      <c r="M128" s="100"/>
      <c r="N128" s="100"/>
    </row>
    <row r="129" spans="1:14" s="111" customFormat="1" x14ac:dyDescent="0.2">
      <c r="A129" s="116"/>
      <c r="B129" s="461" t="s">
        <v>901</v>
      </c>
      <c r="C129" s="461"/>
      <c r="D129" s="461"/>
      <c r="E129" s="120"/>
      <c r="F129" s="120" t="s">
        <v>518</v>
      </c>
      <c r="G129" s="120" t="s">
        <v>68</v>
      </c>
      <c r="H129" s="120" t="s">
        <v>702</v>
      </c>
      <c r="I129" s="120"/>
      <c r="J129" s="100">
        <f>145.5/ATHENS!O1*ATHENS!O2</f>
        <v>264.5454545454545</v>
      </c>
      <c r="K129" s="100">
        <f>175.77/ATHENS!O1*ATHENS!O2</f>
        <v>319.58181818181816</v>
      </c>
      <c r="L129" s="100">
        <f>198.1/ATHENS!O1*ATHENS!O2</f>
        <v>360.18181818181813</v>
      </c>
      <c r="M129" s="100"/>
      <c r="N129" s="100"/>
    </row>
    <row r="130" spans="1:14" s="111" customFormat="1" x14ac:dyDescent="0.2">
      <c r="A130" s="116"/>
      <c r="B130" s="461" t="s">
        <v>901</v>
      </c>
      <c r="C130" s="461"/>
      <c r="D130" s="461"/>
      <c r="E130" s="120"/>
      <c r="F130" s="120" t="s">
        <v>705</v>
      </c>
      <c r="G130" s="120" t="s">
        <v>68</v>
      </c>
      <c r="H130" s="120" t="s">
        <v>702</v>
      </c>
      <c r="I130" s="120"/>
      <c r="J130" s="100">
        <f>96.7/ATHENS!O1*ATHENS!O2</f>
        <v>175.81818181818181</v>
      </c>
      <c r="K130" s="100">
        <f>117.5/ATHENS!O1*ATHENS!O2</f>
        <v>213.63636363636363</v>
      </c>
      <c r="L130" s="100">
        <f>132.05/ATHENS!O1*ATHENS!O2</f>
        <v>240.09090909090909</v>
      </c>
      <c r="M130" s="100"/>
      <c r="N130" s="100"/>
    </row>
    <row r="131" spans="1:14" s="111" customFormat="1" ht="13.5" thickBot="1" x14ac:dyDescent="0.25">
      <c r="A131" s="121"/>
      <c r="B131" s="460" t="s">
        <v>902</v>
      </c>
      <c r="C131" s="460"/>
      <c r="D131" s="460"/>
      <c r="E131" s="123"/>
      <c r="F131" s="123"/>
      <c r="G131" s="123"/>
      <c r="H131" s="123" t="s">
        <v>702</v>
      </c>
      <c r="I131" s="123"/>
      <c r="J131" s="105">
        <f>38/ATHENS!O1*ATHENS!O2</f>
        <v>69.090909090909079</v>
      </c>
      <c r="K131" s="105">
        <f>38/ATHENS!O1*ATHENS!O2</f>
        <v>69.090909090909079</v>
      </c>
      <c r="L131" s="105">
        <f>38/ATHENS!O1*ATHENS!O2</f>
        <v>69.090909090909079</v>
      </c>
      <c r="M131" s="105"/>
      <c r="N131" s="105"/>
    </row>
    <row r="132" spans="1:14" s="111" customFormat="1" ht="13.5" thickBot="1" x14ac:dyDescent="0.25">
      <c r="A132" s="108"/>
      <c r="B132" s="109"/>
      <c r="C132" s="109"/>
      <c r="D132" s="109"/>
      <c r="E132" s="110"/>
      <c r="F132" s="110"/>
      <c r="G132" s="110"/>
      <c r="H132" s="110"/>
      <c r="I132" s="110"/>
      <c r="J132" s="110"/>
      <c r="K132" s="110"/>
      <c r="L132" s="110"/>
      <c r="M132" s="110"/>
      <c r="N132" s="110"/>
    </row>
    <row r="133" spans="1:14" s="111" customFormat="1" ht="13.5" thickBot="1" x14ac:dyDescent="0.25">
      <c r="A133" s="112"/>
      <c r="B133" s="113"/>
      <c r="C133" s="113"/>
      <c r="D133" s="113"/>
      <c r="E133" s="114"/>
      <c r="F133" s="114"/>
      <c r="G133" s="114"/>
      <c r="H133" s="114"/>
      <c r="I133" s="114"/>
      <c r="J133" s="114"/>
      <c r="K133" s="114"/>
      <c r="L133" s="114"/>
      <c r="M133" s="114"/>
      <c r="N133" s="115"/>
    </row>
    <row r="134" spans="1:14" s="111" customFormat="1" ht="15.75" thickBot="1" x14ac:dyDescent="0.25">
      <c r="A134" s="116"/>
      <c r="B134" s="484" t="s">
        <v>736</v>
      </c>
      <c r="C134" s="485"/>
      <c r="D134" s="485"/>
      <c r="E134" s="485"/>
      <c r="F134" s="485"/>
      <c r="G134" s="485"/>
      <c r="H134" s="485"/>
      <c r="I134" s="485"/>
      <c r="J134" s="485"/>
      <c r="K134" s="485"/>
      <c r="L134" s="485"/>
      <c r="M134" s="486"/>
      <c r="N134" s="117" t="s">
        <v>91</v>
      </c>
    </row>
    <row r="135" spans="1:14" s="111" customFormat="1" x14ac:dyDescent="0.2">
      <c r="A135" s="116"/>
      <c r="B135" s="118" t="s">
        <v>428</v>
      </c>
      <c r="C135" s="119" t="s">
        <v>383</v>
      </c>
      <c r="D135" s="119"/>
      <c r="E135" s="120"/>
      <c r="F135" s="120"/>
      <c r="G135" s="120"/>
      <c r="H135" s="120"/>
      <c r="I135" s="120"/>
      <c r="J135" s="120"/>
      <c r="K135" s="120"/>
      <c r="L135" s="120"/>
      <c r="M135" s="120"/>
      <c r="N135" s="101"/>
    </row>
    <row r="136" spans="1:14" s="111" customFormat="1" x14ac:dyDescent="0.2">
      <c r="A136" s="116"/>
      <c r="B136" s="118" t="s">
        <v>429</v>
      </c>
      <c r="C136" s="119" t="s">
        <v>1067</v>
      </c>
      <c r="D136" s="119"/>
      <c r="E136" s="120"/>
      <c r="F136" s="120"/>
      <c r="G136" s="120"/>
      <c r="H136" s="120"/>
      <c r="I136" s="120"/>
      <c r="J136" s="120"/>
      <c r="K136" s="120"/>
      <c r="L136" s="120"/>
      <c r="M136" s="120"/>
      <c r="N136" s="101"/>
    </row>
    <row r="137" spans="1:14" s="111" customFormat="1" x14ac:dyDescent="0.2">
      <c r="A137" s="116"/>
      <c r="B137" s="118" t="s">
        <v>427</v>
      </c>
      <c r="C137" s="480" t="s">
        <v>156</v>
      </c>
      <c r="D137" s="480"/>
      <c r="E137" s="480"/>
      <c r="F137" s="480"/>
      <c r="G137" s="480"/>
      <c r="H137" s="480"/>
      <c r="I137" s="480"/>
      <c r="J137" s="480"/>
      <c r="K137" s="480"/>
      <c r="L137" s="480"/>
      <c r="M137" s="480"/>
      <c r="N137" s="481"/>
    </row>
    <row r="138" spans="1:14" s="111" customFormat="1" x14ac:dyDescent="0.2">
      <c r="A138" s="116"/>
      <c r="B138" s="118"/>
      <c r="C138" s="480"/>
      <c r="D138" s="480"/>
      <c r="E138" s="480"/>
      <c r="F138" s="480"/>
      <c r="G138" s="480"/>
      <c r="H138" s="480"/>
      <c r="I138" s="480"/>
      <c r="J138" s="480"/>
      <c r="K138" s="480"/>
      <c r="L138" s="480"/>
      <c r="M138" s="480"/>
      <c r="N138" s="481"/>
    </row>
    <row r="139" spans="1:14" s="111" customFormat="1" x14ac:dyDescent="0.2">
      <c r="A139" s="116"/>
      <c r="B139" s="118"/>
      <c r="C139" s="480"/>
      <c r="D139" s="480"/>
      <c r="E139" s="480"/>
      <c r="F139" s="480"/>
      <c r="G139" s="480"/>
      <c r="H139" s="480"/>
      <c r="I139" s="480"/>
      <c r="J139" s="480"/>
      <c r="K139" s="480"/>
      <c r="L139" s="480"/>
      <c r="M139" s="480"/>
      <c r="N139" s="481"/>
    </row>
    <row r="140" spans="1:14" s="111" customFormat="1" x14ac:dyDescent="0.2">
      <c r="A140" s="116"/>
      <c r="B140" s="118" t="s">
        <v>426</v>
      </c>
      <c r="C140" s="119"/>
      <c r="D140" s="119"/>
      <c r="E140" s="120"/>
      <c r="F140" s="120"/>
      <c r="G140" s="120"/>
      <c r="H140" s="120"/>
      <c r="I140" s="120"/>
      <c r="J140" s="120"/>
      <c r="K140" s="120"/>
      <c r="L140" s="120"/>
      <c r="M140" s="120"/>
      <c r="N140" s="101"/>
    </row>
    <row r="141" spans="1:14" s="111" customFormat="1" ht="13.5" thickBot="1" x14ac:dyDescent="0.25">
      <c r="A141" s="121"/>
      <c r="B141" s="133" t="s">
        <v>430</v>
      </c>
      <c r="C141" s="122"/>
      <c r="D141" s="122"/>
      <c r="E141" s="123"/>
      <c r="F141" s="123"/>
      <c r="G141" s="123"/>
      <c r="H141" s="123"/>
      <c r="I141" s="123"/>
      <c r="J141" s="123"/>
      <c r="K141" s="123"/>
      <c r="L141" s="123"/>
      <c r="M141" s="123"/>
      <c r="N141" s="104"/>
    </row>
    <row r="142" spans="1:14" s="111" customFormat="1" x14ac:dyDescent="0.2">
      <c r="A142" s="112"/>
      <c r="B142" s="113" t="s">
        <v>263</v>
      </c>
      <c r="C142" s="113"/>
      <c r="D142" s="113"/>
      <c r="E142" s="114"/>
      <c r="F142" s="114"/>
      <c r="G142" s="114"/>
      <c r="H142" s="114"/>
      <c r="I142" s="114"/>
      <c r="J142" s="127" t="s">
        <v>800</v>
      </c>
      <c r="K142" s="126" t="s">
        <v>198</v>
      </c>
      <c r="L142" s="126" t="s">
        <v>934</v>
      </c>
      <c r="M142" s="126"/>
      <c r="N142" s="126"/>
    </row>
    <row r="143" spans="1:14" s="111" customFormat="1" ht="13.5" thickBot="1" x14ac:dyDescent="0.25">
      <c r="A143" s="121"/>
      <c r="B143" s="122"/>
      <c r="C143" s="122"/>
      <c r="D143" s="122"/>
      <c r="E143" s="123"/>
      <c r="F143" s="123"/>
      <c r="G143" s="123"/>
      <c r="H143" s="123"/>
      <c r="I143" s="123"/>
      <c r="J143" s="125" t="s">
        <v>1568</v>
      </c>
      <c r="K143" s="105" t="s">
        <v>1223</v>
      </c>
      <c r="L143" s="105" t="s">
        <v>801</v>
      </c>
      <c r="M143" s="105" t="s">
        <v>935</v>
      </c>
      <c r="N143" s="105"/>
    </row>
    <row r="144" spans="1:14" s="111" customFormat="1" x14ac:dyDescent="0.2">
      <c r="A144" s="112"/>
      <c r="B144" s="467" t="s">
        <v>67</v>
      </c>
      <c r="C144" s="467"/>
      <c r="D144" s="467"/>
      <c r="E144" s="114"/>
      <c r="F144" s="114" t="s">
        <v>1180</v>
      </c>
      <c r="G144" s="114" t="s">
        <v>68</v>
      </c>
      <c r="H144" s="114" t="s">
        <v>702</v>
      </c>
      <c r="I144" s="114"/>
      <c r="J144" s="100">
        <f>79/ATHENS!O1*ATHENS!O2</f>
        <v>143.63636363636363</v>
      </c>
      <c r="K144" s="100">
        <f>106/ATHENS!O1*ATHENS!O2</f>
        <v>192.72727272727272</v>
      </c>
      <c r="L144" s="100">
        <f>127/ATHENS!O1*ATHENS!O2</f>
        <v>230.90909090909088</v>
      </c>
      <c r="M144" s="100">
        <f>148/ATHENS!O1*ATHENS!O2</f>
        <v>269.09090909090907</v>
      </c>
      <c r="N144" s="126"/>
    </row>
    <row r="145" spans="1:14" s="111" customFormat="1" x14ac:dyDescent="0.2">
      <c r="A145" s="116"/>
      <c r="B145" s="461" t="s">
        <v>67</v>
      </c>
      <c r="C145" s="461"/>
      <c r="D145" s="461"/>
      <c r="E145" s="120"/>
      <c r="F145" s="120" t="s">
        <v>1181</v>
      </c>
      <c r="G145" s="120" t="s">
        <v>68</v>
      </c>
      <c r="H145" s="120" t="s">
        <v>702</v>
      </c>
      <c r="I145" s="120"/>
      <c r="J145" s="100">
        <f>50/ATHENS!O1*ATHENS!O2</f>
        <v>90.909090909090907</v>
      </c>
      <c r="K145" s="100">
        <f>66/ATHENS!O1*ATHENS!O2</f>
        <v>119.99999999999999</v>
      </c>
      <c r="L145" s="100">
        <f>79/ATHENS!O1*ATHENS!O2</f>
        <v>143.63636363636363</v>
      </c>
      <c r="M145" s="100">
        <f>93/ATHENS!O1*ATHENS!O2</f>
        <v>169.09090909090907</v>
      </c>
      <c r="N145" s="100"/>
    </row>
    <row r="146" spans="1:14" s="111" customFormat="1" ht="13.5" thickBot="1" x14ac:dyDescent="0.25">
      <c r="A146" s="121"/>
      <c r="B146" s="460" t="s">
        <v>67</v>
      </c>
      <c r="C146" s="460"/>
      <c r="D146" s="460"/>
      <c r="E146" s="123"/>
      <c r="F146" s="123" t="s">
        <v>1182</v>
      </c>
      <c r="G146" s="123" t="s">
        <v>68</v>
      </c>
      <c r="H146" s="123" t="s">
        <v>702</v>
      </c>
      <c r="I146" s="123"/>
      <c r="J146" s="105">
        <f>42/ATHENS!O1*ATHENS!O2</f>
        <v>76.36363636363636</v>
      </c>
      <c r="K146" s="105">
        <f>55/ATHENS!O1*ATHENS!O2</f>
        <v>99.999999999999986</v>
      </c>
      <c r="L146" s="105">
        <f>66/ATHENS!O1*ATHENS!O2</f>
        <v>119.99999999999999</v>
      </c>
      <c r="M146" s="105">
        <f>77/ATHENS!O1*ATHENS!O2</f>
        <v>140</v>
      </c>
      <c r="N146" s="105"/>
    </row>
    <row r="147" spans="1:14" s="111" customFormat="1" ht="13.5" thickBot="1" x14ac:dyDescent="0.25">
      <c r="A147" s="108"/>
      <c r="B147" s="109"/>
      <c r="C147" s="109"/>
      <c r="D147" s="109"/>
      <c r="E147" s="110"/>
      <c r="F147" s="110"/>
      <c r="G147" s="110"/>
      <c r="H147" s="110"/>
      <c r="I147" s="110"/>
      <c r="J147" s="110"/>
      <c r="K147" s="110"/>
      <c r="L147" s="110"/>
      <c r="M147" s="110"/>
      <c r="N147" s="110"/>
    </row>
    <row r="148" spans="1:14" s="111" customFormat="1" ht="13.5" thickBot="1" x14ac:dyDescent="0.25">
      <c r="A148" s="112"/>
      <c r="B148" s="113"/>
      <c r="C148" s="113"/>
      <c r="D148" s="113"/>
      <c r="E148" s="114"/>
      <c r="F148" s="114"/>
      <c r="G148" s="114"/>
      <c r="H148" s="114"/>
      <c r="I148" s="114"/>
      <c r="J148" s="114"/>
      <c r="K148" s="114"/>
      <c r="L148" s="114"/>
      <c r="M148" s="114"/>
      <c r="N148" s="115"/>
    </row>
    <row r="149" spans="1:14" s="111" customFormat="1" ht="15.75" thickBot="1" x14ac:dyDescent="0.25">
      <c r="A149" s="116"/>
      <c r="B149" s="484" t="s">
        <v>293</v>
      </c>
      <c r="C149" s="485"/>
      <c r="D149" s="485"/>
      <c r="E149" s="485"/>
      <c r="F149" s="485"/>
      <c r="G149" s="485"/>
      <c r="H149" s="485"/>
      <c r="I149" s="485"/>
      <c r="J149" s="485"/>
      <c r="K149" s="485"/>
      <c r="L149" s="485"/>
      <c r="M149" s="486"/>
      <c r="N149" s="117" t="s">
        <v>96</v>
      </c>
    </row>
    <row r="150" spans="1:14" s="111" customFormat="1" x14ac:dyDescent="0.2">
      <c r="A150" s="116"/>
      <c r="B150" s="118" t="s">
        <v>428</v>
      </c>
      <c r="C150" s="119" t="s">
        <v>1068</v>
      </c>
      <c r="D150" s="119"/>
      <c r="E150" s="120"/>
      <c r="F150" s="120"/>
      <c r="G150" s="120"/>
      <c r="H150" s="120"/>
      <c r="I150" s="120"/>
      <c r="J150" s="120"/>
      <c r="K150" s="120"/>
      <c r="L150" s="120"/>
      <c r="M150" s="120"/>
      <c r="N150" s="101"/>
    </row>
    <row r="151" spans="1:14" s="111" customFormat="1" x14ac:dyDescent="0.2">
      <c r="A151" s="116"/>
      <c r="B151" s="118" t="s">
        <v>429</v>
      </c>
      <c r="C151" s="119" t="s">
        <v>1069</v>
      </c>
      <c r="D151" s="119"/>
      <c r="E151" s="120"/>
      <c r="F151" s="120"/>
      <c r="G151" s="120"/>
      <c r="H151" s="120"/>
      <c r="I151" s="120"/>
      <c r="J151" s="120"/>
      <c r="K151" s="120"/>
      <c r="L151" s="120"/>
      <c r="M151" s="120"/>
      <c r="N151" s="101"/>
    </row>
    <row r="152" spans="1:14" s="111" customFormat="1" x14ac:dyDescent="0.2">
      <c r="A152" s="116"/>
      <c r="B152" s="118" t="s">
        <v>427</v>
      </c>
      <c r="C152" s="480" t="s">
        <v>1230</v>
      </c>
      <c r="D152" s="480"/>
      <c r="E152" s="480"/>
      <c r="F152" s="480"/>
      <c r="G152" s="480"/>
      <c r="H152" s="480"/>
      <c r="I152" s="480"/>
      <c r="J152" s="480"/>
      <c r="K152" s="480"/>
      <c r="L152" s="480"/>
      <c r="M152" s="480"/>
      <c r="N152" s="481"/>
    </row>
    <row r="153" spans="1:14" s="111" customFormat="1" x14ac:dyDescent="0.2">
      <c r="A153" s="116"/>
      <c r="B153" s="118"/>
      <c r="C153" s="480"/>
      <c r="D153" s="480"/>
      <c r="E153" s="480"/>
      <c r="F153" s="480"/>
      <c r="G153" s="480"/>
      <c r="H153" s="480"/>
      <c r="I153" s="480"/>
      <c r="J153" s="480"/>
      <c r="K153" s="480"/>
      <c r="L153" s="480"/>
      <c r="M153" s="480"/>
      <c r="N153" s="481"/>
    </row>
    <row r="154" spans="1:14" s="111" customFormat="1" x14ac:dyDescent="0.2">
      <c r="A154" s="116"/>
      <c r="B154" s="118"/>
      <c r="C154" s="480"/>
      <c r="D154" s="480"/>
      <c r="E154" s="480"/>
      <c r="F154" s="480"/>
      <c r="G154" s="480"/>
      <c r="H154" s="480"/>
      <c r="I154" s="480"/>
      <c r="J154" s="480"/>
      <c r="K154" s="480"/>
      <c r="L154" s="480"/>
      <c r="M154" s="480"/>
      <c r="N154" s="481"/>
    </row>
    <row r="155" spans="1:14" s="111" customFormat="1" x14ac:dyDescent="0.2">
      <c r="A155" s="116"/>
      <c r="B155" s="118" t="s">
        <v>426</v>
      </c>
      <c r="C155" s="119" t="s">
        <v>457</v>
      </c>
      <c r="D155" s="119"/>
      <c r="E155" s="120"/>
      <c r="F155" s="120"/>
      <c r="G155" s="120"/>
      <c r="H155" s="120"/>
      <c r="I155" s="120"/>
      <c r="J155" s="120"/>
      <c r="K155" s="120"/>
      <c r="L155" s="120"/>
      <c r="M155" s="120"/>
      <c r="N155" s="101"/>
    </row>
    <row r="156" spans="1:14" s="111" customFormat="1" ht="13.5" thickBot="1" x14ac:dyDescent="0.25">
      <c r="A156" s="121"/>
      <c r="B156" s="133" t="s">
        <v>430</v>
      </c>
      <c r="C156" s="122"/>
      <c r="D156" s="122"/>
      <c r="E156" s="123"/>
      <c r="F156" s="123"/>
      <c r="G156" s="123"/>
      <c r="H156" s="123"/>
      <c r="I156" s="123"/>
      <c r="J156" s="123"/>
      <c r="K156" s="123"/>
      <c r="L156" s="123"/>
      <c r="M156" s="123"/>
      <c r="N156" s="104"/>
    </row>
    <row r="157" spans="1:14" s="111" customFormat="1" x14ac:dyDescent="0.2">
      <c r="A157" s="112"/>
      <c r="B157" s="113" t="s">
        <v>263</v>
      </c>
      <c r="C157" s="113"/>
      <c r="D157" s="113"/>
      <c r="E157" s="114"/>
      <c r="F157" s="114"/>
      <c r="G157" s="114"/>
      <c r="H157" s="114"/>
      <c r="I157" s="114"/>
      <c r="J157" s="126" t="s">
        <v>1983</v>
      </c>
      <c r="K157" s="126"/>
      <c r="L157" s="126" t="s">
        <v>1341</v>
      </c>
      <c r="M157" s="126"/>
      <c r="N157" s="126"/>
    </row>
    <row r="158" spans="1:14" s="111" customFormat="1" ht="13.5" thickBot="1" x14ac:dyDescent="0.25">
      <c r="A158" s="121"/>
      <c r="B158" s="122"/>
      <c r="C158" s="122"/>
      <c r="D158" s="122"/>
      <c r="E158" s="123"/>
      <c r="F158" s="123"/>
      <c r="I158" s="123"/>
      <c r="J158" s="105" t="s">
        <v>481</v>
      </c>
      <c r="K158" s="105" t="s">
        <v>279</v>
      </c>
      <c r="L158" s="105" t="s">
        <v>832</v>
      </c>
      <c r="M158" s="105" t="s">
        <v>123</v>
      </c>
      <c r="N158" s="105"/>
    </row>
    <row r="159" spans="1:14" s="111" customFormat="1" x14ac:dyDescent="0.2">
      <c r="A159" s="112"/>
      <c r="B159" s="113" t="s">
        <v>67</v>
      </c>
      <c r="C159" s="113"/>
      <c r="D159" s="113"/>
      <c r="E159" s="114"/>
      <c r="F159" s="114" t="s">
        <v>1180</v>
      </c>
      <c r="G159" s="114" t="s">
        <v>68</v>
      </c>
      <c r="H159" s="114" t="s">
        <v>702</v>
      </c>
      <c r="I159" s="115"/>
      <c r="J159" s="100">
        <f>43/ATHENS!O1*ATHENS!O2</f>
        <v>78.181818181818173</v>
      </c>
      <c r="K159" s="100">
        <f>55/ATHENS!O1*ATHENS!O2</f>
        <v>99.999999999999986</v>
      </c>
      <c r="L159" s="100">
        <f>80/ATHENS!O1*ATHENS!O2</f>
        <v>145.45454545454544</v>
      </c>
      <c r="M159" s="100">
        <f>95/ATHENS!O1*ATHENS!O2</f>
        <v>172.72727272727272</v>
      </c>
      <c r="N159" s="100"/>
    </row>
    <row r="160" spans="1:14" s="111" customFormat="1" x14ac:dyDescent="0.2">
      <c r="A160" s="116"/>
      <c r="B160" s="461" t="s">
        <v>67</v>
      </c>
      <c r="C160" s="461"/>
      <c r="D160" s="461"/>
      <c r="E160" s="120"/>
      <c r="F160" s="120" t="s">
        <v>1181</v>
      </c>
      <c r="G160" s="120" t="s">
        <v>68</v>
      </c>
      <c r="H160" s="120" t="s">
        <v>702</v>
      </c>
      <c r="I160" s="120"/>
      <c r="J160" s="100">
        <f>27/ATHENS!O1*ATHENS!O2</f>
        <v>49.090909090909086</v>
      </c>
      <c r="K160" s="100">
        <f>35/ATHENS!O1*ATHENS!O2</f>
        <v>63.636363636363633</v>
      </c>
      <c r="L160" s="100">
        <f>50/ATHENS!O1*ATHENS!O2</f>
        <v>90.909090909090907</v>
      </c>
      <c r="M160" s="100">
        <f>60/ATHENS!O1*ATHENS!O2</f>
        <v>109.09090909090908</v>
      </c>
      <c r="N160" s="100"/>
    </row>
    <row r="161" spans="1:14" s="111" customFormat="1" x14ac:dyDescent="0.2">
      <c r="A161" s="116"/>
      <c r="B161" s="461" t="s">
        <v>67</v>
      </c>
      <c r="C161" s="461"/>
      <c r="D161" s="461"/>
      <c r="E161" s="120"/>
      <c r="F161" s="120" t="s">
        <v>1182</v>
      </c>
      <c r="G161" s="120" t="s">
        <v>68</v>
      </c>
      <c r="H161" s="120" t="s">
        <v>702</v>
      </c>
      <c r="I161" s="120"/>
      <c r="J161" s="100">
        <f>23.5/ATHENS!O1*ATHENS!O2</f>
        <v>42.727272727272727</v>
      </c>
      <c r="K161" s="100">
        <f>31.6/ATHENS!O1*ATHENS!O2</f>
        <v>57.454545454545453</v>
      </c>
      <c r="L161" s="100">
        <f>46.6/ATHENS!O1*ATHENS!O2</f>
        <v>84.72727272727272</v>
      </c>
      <c r="M161" s="100">
        <f>53.5/ATHENS!O1*ATHENS!O2</f>
        <v>97.272727272727266</v>
      </c>
      <c r="N161" s="100"/>
    </row>
    <row r="162" spans="1:14" s="111" customFormat="1" x14ac:dyDescent="0.2">
      <c r="A162" s="116"/>
      <c r="B162" s="119" t="s">
        <v>829</v>
      </c>
      <c r="C162" s="119"/>
      <c r="D162" s="119"/>
      <c r="E162" s="120"/>
      <c r="F162" s="120" t="s">
        <v>1180</v>
      </c>
      <c r="G162" s="120" t="s">
        <v>68</v>
      </c>
      <c r="H162" s="120" t="s">
        <v>702</v>
      </c>
      <c r="I162" s="120"/>
      <c r="J162" s="100">
        <f>48/ATHENS!O1*ATHENS!O2</f>
        <v>87.272727272727266</v>
      </c>
      <c r="K162" s="100">
        <f>60/ATHENS!O1*ATHENS!O2</f>
        <v>109.09090909090908</v>
      </c>
      <c r="L162" s="100">
        <f>85/ATHENS!O1*ATHENS!O2</f>
        <v>154.54545454545453</v>
      </c>
      <c r="M162" s="100">
        <f>100/ATHENS!O1*ATHENS!O2</f>
        <v>181.81818181818181</v>
      </c>
      <c r="N162" s="100"/>
    </row>
    <row r="163" spans="1:14" s="111" customFormat="1" x14ac:dyDescent="0.2">
      <c r="A163" s="116"/>
      <c r="B163" s="119" t="s">
        <v>829</v>
      </c>
      <c r="C163" s="119"/>
      <c r="D163" s="119"/>
      <c r="E163" s="120"/>
      <c r="F163" s="120" t="s">
        <v>1181</v>
      </c>
      <c r="G163" s="120" t="s">
        <v>68</v>
      </c>
      <c r="H163" s="120" t="s">
        <v>702</v>
      </c>
      <c r="I163" s="120"/>
      <c r="J163" s="100">
        <f>29.5/ATHENS!O1*ATHENS!O2</f>
        <v>53.636363636363633</v>
      </c>
      <c r="K163" s="100">
        <f>37.5/ATHENS!O1*ATHENS!O2</f>
        <v>68.181818181818173</v>
      </c>
      <c r="L163" s="100">
        <f>52.5/ATHENS!O1*ATHENS!O2</f>
        <v>95.454545454545453</v>
      </c>
      <c r="M163" s="100">
        <f>62.5/ATHENS!O1*ATHENS!O2</f>
        <v>113.63636363636363</v>
      </c>
      <c r="N163" s="100"/>
    </row>
    <row r="164" spans="1:14" s="111" customFormat="1" ht="13.5" thickBot="1" x14ac:dyDescent="0.25">
      <c r="A164" s="121"/>
      <c r="B164" s="460" t="s">
        <v>829</v>
      </c>
      <c r="C164" s="460"/>
      <c r="D164" s="460"/>
      <c r="E164" s="123"/>
      <c r="F164" s="123" t="s">
        <v>1182</v>
      </c>
      <c r="G164" s="123" t="s">
        <v>68</v>
      </c>
      <c r="H164" s="123" t="s">
        <v>702</v>
      </c>
      <c r="I164" s="123"/>
      <c r="J164" s="105">
        <f>26.6/ATHENS!O1*ATHENS!O2</f>
        <v>48.36363636363636</v>
      </c>
      <c r="K164" s="105">
        <f>33.5/ATHENS!O1*ATHENS!O2</f>
        <v>60.909090909090907</v>
      </c>
      <c r="L164" s="105">
        <f>48.5/ATHENS!O1*ATHENS!O2</f>
        <v>88.181818181818173</v>
      </c>
      <c r="M164" s="105">
        <f>55/ATHENS!O1*ATHENS!O2</f>
        <v>99.999999999999986</v>
      </c>
      <c r="N164" s="105"/>
    </row>
    <row r="165" spans="1:14" s="111" customFormat="1" ht="13.5" thickBot="1" x14ac:dyDescent="0.25">
      <c r="A165" s="108"/>
      <c r="B165" s="109"/>
      <c r="C165" s="109"/>
      <c r="D165" s="109"/>
      <c r="E165" s="110"/>
      <c r="F165" s="110"/>
      <c r="G165" s="110"/>
      <c r="H165" s="110"/>
      <c r="I165" s="110"/>
      <c r="J165" s="110"/>
      <c r="K165" s="110"/>
      <c r="L165" s="110"/>
      <c r="M165" s="110"/>
      <c r="N165" s="110"/>
    </row>
    <row r="166" spans="1:14" s="111" customFormat="1" ht="13.5" thickBot="1" x14ac:dyDescent="0.25">
      <c r="A166" s="112"/>
      <c r="B166" s="113"/>
      <c r="C166" s="113"/>
      <c r="D166" s="113"/>
      <c r="E166" s="114"/>
      <c r="F166" s="114"/>
      <c r="G166" s="114"/>
      <c r="H166" s="114"/>
      <c r="I166" s="114"/>
      <c r="J166" s="114"/>
      <c r="K166" s="114"/>
      <c r="L166" s="114"/>
      <c r="M166" s="114"/>
      <c r="N166" s="115"/>
    </row>
    <row r="167" spans="1:14" s="111" customFormat="1" ht="15.75" thickBot="1" x14ac:dyDescent="0.25">
      <c r="A167" s="116"/>
      <c r="B167" s="484" t="s">
        <v>741</v>
      </c>
      <c r="C167" s="485"/>
      <c r="D167" s="485"/>
      <c r="E167" s="485"/>
      <c r="F167" s="485"/>
      <c r="G167" s="485"/>
      <c r="H167" s="485"/>
      <c r="I167" s="485"/>
      <c r="J167" s="485"/>
      <c r="K167" s="485"/>
      <c r="L167" s="485"/>
      <c r="M167" s="486"/>
      <c r="N167" s="117" t="s">
        <v>96</v>
      </c>
    </row>
    <row r="168" spans="1:14" s="111" customFormat="1" x14ac:dyDescent="0.2">
      <c r="A168" s="116"/>
      <c r="B168" s="118" t="s">
        <v>428</v>
      </c>
      <c r="C168" s="119" t="s">
        <v>1168</v>
      </c>
      <c r="D168" s="119"/>
      <c r="E168" s="120"/>
      <c r="F168" s="120"/>
      <c r="G168" s="120"/>
      <c r="H168" s="120"/>
      <c r="I168" s="120"/>
      <c r="J168" s="120"/>
      <c r="K168" s="120"/>
      <c r="L168" s="120"/>
      <c r="M168" s="120"/>
      <c r="N168" s="101"/>
    </row>
    <row r="169" spans="1:14" s="111" customFormat="1" x14ac:dyDescent="0.2">
      <c r="A169" s="116"/>
      <c r="B169" s="118" t="s">
        <v>429</v>
      </c>
      <c r="C169" s="119" t="s">
        <v>1007</v>
      </c>
      <c r="D169" s="119"/>
      <c r="E169" s="120"/>
      <c r="F169" s="120"/>
      <c r="G169" s="120"/>
      <c r="H169" s="120"/>
      <c r="I169" s="120"/>
      <c r="J169" s="120"/>
      <c r="K169" s="120"/>
      <c r="L169" s="120"/>
      <c r="M169" s="120"/>
      <c r="N169" s="101"/>
    </row>
    <row r="170" spans="1:14" s="111" customFormat="1" x14ac:dyDescent="0.2">
      <c r="A170" s="116"/>
      <c r="B170" s="118" t="s">
        <v>427</v>
      </c>
      <c r="C170" s="480" t="s">
        <v>1231</v>
      </c>
      <c r="D170" s="480"/>
      <c r="E170" s="480"/>
      <c r="F170" s="480"/>
      <c r="G170" s="480"/>
      <c r="H170" s="480"/>
      <c r="I170" s="480"/>
      <c r="J170" s="480"/>
      <c r="K170" s="480"/>
      <c r="L170" s="480"/>
      <c r="M170" s="480"/>
      <c r="N170" s="481"/>
    </row>
    <row r="171" spans="1:14" s="111" customFormat="1" x14ac:dyDescent="0.2">
      <c r="A171" s="116"/>
      <c r="B171" s="118"/>
      <c r="C171" s="480"/>
      <c r="D171" s="480"/>
      <c r="E171" s="480"/>
      <c r="F171" s="480"/>
      <c r="G171" s="480"/>
      <c r="H171" s="480"/>
      <c r="I171" s="480"/>
      <c r="J171" s="480"/>
      <c r="K171" s="480"/>
      <c r="L171" s="480"/>
      <c r="M171" s="480"/>
      <c r="N171" s="481"/>
    </row>
    <row r="172" spans="1:14" s="111" customFormat="1" x14ac:dyDescent="0.2">
      <c r="A172" s="116"/>
      <c r="B172" s="118"/>
      <c r="C172" s="480"/>
      <c r="D172" s="480"/>
      <c r="E172" s="480"/>
      <c r="F172" s="480"/>
      <c r="G172" s="480"/>
      <c r="H172" s="480"/>
      <c r="I172" s="480"/>
      <c r="J172" s="480"/>
      <c r="K172" s="480"/>
      <c r="L172" s="480"/>
      <c r="M172" s="480"/>
      <c r="N172" s="481"/>
    </row>
    <row r="173" spans="1:14" s="111" customFormat="1" x14ac:dyDescent="0.2">
      <c r="A173" s="116"/>
      <c r="B173" s="118"/>
      <c r="C173" s="480"/>
      <c r="D173" s="480"/>
      <c r="E173" s="480"/>
      <c r="F173" s="480"/>
      <c r="G173" s="480"/>
      <c r="H173" s="480"/>
      <c r="I173" s="480"/>
      <c r="J173" s="480"/>
      <c r="K173" s="480"/>
      <c r="L173" s="480"/>
      <c r="M173" s="480"/>
      <c r="N173" s="481"/>
    </row>
    <row r="174" spans="1:14" s="111" customFormat="1" x14ac:dyDescent="0.2">
      <c r="A174" s="116"/>
      <c r="B174" s="109"/>
      <c r="C174" s="480"/>
      <c r="D174" s="480"/>
      <c r="E174" s="480"/>
      <c r="F174" s="480"/>
      <c r="G174" s="480"/>
      <c r="H174" s="480"/>
      <c r="I174" s="480"/>
      <c r="J174" s="480"/>
      <c r="K174" s="480"/>
      <c r="L174" s="480"/>
      <c r="M174" s="480"/>
      <c r="N174" s="481"/>
    </row>
    <row r="175" spans="1:14" s="111" customFormat="1" x14ac:dyDescent="0.2">
      <c r="A175" s="116"/>
      <c r="B175" s="118" t="s">
        <v>426</v>
      </c>
      <c r="C175" s="119" t="s">
        <v>542</v>
      </c>
      <c r="D175" s="119"/>
      <c r="E175" s="120"/>
      <c r="F175" s="120"/>
      <c r="G175" s="120"/>
      <c r="H175" s="120"/>
      <c r="I175" s="120"/>
      <c r="J175" s="120"/>
      <c r="K175" s="120"/>
      <c r="L175" s="120"/>
      <c r="M175" s="120"/>
      <c r="N175" s="101"/>
    </row>
    <row r="176" spans="1:14" s="111" customFormat="1" ht="13.5" thickBot="1" x14ac:dyDescent="0.25">
      <c r="A176" s="121"/>
      <c r="B176" s="133" t="s">
        <v>430</v>
      </c>
      <c r="C176" s="122"/>
      <c r="D176" s="122"/>
      <c r="E176" s="123"/>
      <c r="F176" s="123"/>
      <c r="G176" s="123"/>
      <c r="H176" s="123"/>
      <c r="I176" s="123"/>
      <c r="J176" s="123"/>
      <c r="K176" s="123"/>
      <c r="L176" s="123"/>
      <c r="M176" s="123"/>
      <c r="N176" s="104"/>
    </row>
    <row r="177" spans="1:14" s="111" customFormat="1" x14ac:dyDescent="0.2">
      <c r="A177" s="112"/>
      <c r="B177" s="113" t="s">
        <v>263</v>
      </c>
      <c r="C177" s="113"/>
      <c r="D177" s="113"/>
      <c r="E177" s="114"/>
      <c r="F177" s="114"/>
      <c r="G177" s="114"/>
      <c r="H177" s="114"/>
      <c r="I177" s="114"/>
      <c r="J177" s="126" t="s">
        <v>281</v>
      </c>
      <c r="K177" s="126"/>
      <c r="L177" s="126" t="s">
        <v>228</v>
      </c>
      <c r="M177" s="126"/>
      <c r="N177" s="126"/>
    </row>
    <row r="178" spans="1:14" s="111" customFormat="1" ht="13.5" thickBot="1" x14ac:dyDescent="0.25">
      <c r="A178" s="121"/>
      <c r="B178" s="122"/>
      <c r="C178" s="122"/>
      <c r="D178" s="122"/>
      <c r="E178" s="123"/>
      <c r="F178" s="123"/>
      <c r="G178" s="123"/>
      <c r="H178" s="123"/>
      <c r="I178" s="123"/>
      <c r="J178" s="105" t="s">
        <v>481</v>
      </c>
      <c r="K178" s="105" t="s">
        <v>279</v>
      </c>
      <c r="L178" s="105" t="s">
        <v>81</v>
      </c>
      <c r="M178" s="105" t="s">
        <v>82</v>
      </c>
      <c r="N178" s="105"/>
    </row>
    <row r="179" spans="1:14" s="111" customFormat="1" x14ac:dyDescent="0.2">
      <c r="A179" s="112"/>
      <c r="B179" s="467" t="s">
        <v>67</v>
      </c>
      <c r="C179" s="467"/>
      <c r="D179" s="467"/>
      <c r="E179" s="114"/>
      <c r="F179" s="114" t="s">
        <v>1180</v>
      </c>
      <c r="G179" s="114" t="s">
        <v>1484</v>
      </c>
      <c r="H179" s="114" t="s">
        <v>702</v>
      </c>
      <c r="I179" s="114"/>
      <c r="J179" s="100">
        <f>35.67/ATHENS!O1*ATHENS!O2</f>
        <v>64.854545454545459</v>
      </c>
      <c r="K179" s="100">
        <f>61.89/ATHENS!O1*ATHENS!O2</f>
        <v>112.52727272727272</v>
      </c>
      <c r="L179" s="100">
        <f>72.5/ATHENS!O1*ATHENS!O2</f>
        <v>131.81818181818181</v>
      </c>
      <c r="M179" s="100">
        <f>91.8/ATHENS!O1*ATHENS!O2</f>
        <v>166.90909090909088</v>
      </c>
      <c r="N179" s="126"/>
    </row>
    <row r="180" spans="1:14" s="111" customFormat="1" x14ac:dyDescent="0.2">
      <c r="A180" s="116"/>
      <c r="B180" s="461" t="s">
        <v>67</v>
      </c>
      <c r="C180" s="461"/>
      <c r="D180" s="461"/>
      <c r="E180" s="120"/>
      <c r="F180" s="120" t="s">
        <v>1181</v>
      </c>
      <c r="G180" s="120" t="s">
        <v>1484</v>
      </c>
      <c r="H180" s="120" t="s">
        <v>702</v>
      </c>
      <c r="I180" s="120"/>
      <c r="J180" s="100">
        <f>23.5/ATHENS!O1*ATHENS!O2</f>
        <v>42.727272727272727</v>
      </c>
      <c r="K180" s="100">
        <f>38.5/ATHENS!O1*ATHENS!O2</f>
        <v>70</v>
      </c>
      <c r="L180" s="100">
        <f>44.69/ATHENS!O1*ATHENS!O2</f>
        <v>81.25454545454545</v>
      </c>
      <c r="M180" s="100">
        <f>58.6/ATHENS!O1*ATHENS!O2</f>
        <v>106.54545454545453</v>
      </c>
      <c r="N180" s="100"/>
    </row>
    <row r="181" spans="1:14" s="111" customFormat="1" ht="13.5" thickBot="1" x14ac:dyDescent="0.25">
      <c r="A181" s="121"/>
      <c r="B181" s="460" t="s">
        <v>67</v>
      </c>
      <c r="C181" s="460"/>
      <c r="D181" s="460"/>
      <c r="E181" s="123"/>
      <c r="F181" s="123" t="s">
        <v>1182</v>
      </c>
      <c r="G181" s="123" t="s">
        <v>1484</v>
      </c>
      <c r="H181" s="123" t="s">
        <v>702</v>
      </c>
      <c r="I181" s="123"/>
      <c r="J181" s="105">
        <f>21.5/ATHENS!O1*ATHENS!O2</f>
        <v>39.090909090909086</v>
      </c>
      <c r="K181" s="105">
        <f>34.65/ATHENS!O1*ATHENS!O2</f>
        <v>62.999999999999993</v>
      </c>
      <c r="L181" s="105">
        <f>40.5/ATHENS!O1*ATHENS!O2</f>
        <v>73.636363636363626</v>
      </c>
      <c r="M181" s="105">
        <f>53.5/ATHENS!O1*ATHENS!O2</f>
        <v>97.272727272727266</v>
      </c>
      <c r="N181" s="105"/>
    </row>
    <row r="182" spans="1:14" s="111" customFormat="1" x14ac:dyDescent="0.2">
      <c r="A182" s="108"/>
      <c r="B182" s="109"/>
      <c r="C182" s="109"/>
      <c r="D182" s="109"/>
      <c r="E182" s="110"/>
      <c r="F182" s="110"/>
      <c r="G182" s="110"/>
      <c r="H182" s="110"/>
      <c r="I182" s="110"/>
      <c r="J182" s="110"/>
      <c r="K182" s="110"/>
      <c r="L182" s="110"/>
      <c r="M182" s="110"/>
      <c r="N182" s="110"/>
    </row>
    <row r="183" spans="1:14" s="111" customFormat="1" ht="13.5" thickBot="1" x14ac:dyDescent="0.25">
      <c r="A183" s="108"/>
      <c r="B183" s="109"/>
      <c r="C183" s="109"/>
      <c r="D183" s="109"/>
      <c r="E183" s="110"/>
      <c r="F183" s="110"/>
      <c r="G183" s="110"/>
      <c r="H183" s="110"/>
      <c r="I183" s="110"/>
      <c r="J183" s="110"/>
      <c r="K183" s="110"/>
      <c r="L183" s="110"/>
      <c r="M183" s="110"/>
      <c r="N183" s="110"/>
    </row>
    <row r="184" spans="1:14" s="111" customFormat="1" ht="13.5" thickBot="1" x14ac:dyDescent="0.25">
      <c r="A184" s="112"/>
      <c r="B184" s="113"/>
      <c r="C184" s="113"/>
      <c r="D184" s="113"/>
      <c r="E184" s="114"/>
      <c r="F184" s="114"/>
      <c r="G184" s="114"/>
      <c r="H184" s="114"/>
      <c r="I184" s="114"/>
      <c r="J184" s="114"/>
      <c r="K184" s="114"/>
      <c r="L184" s="114"/>
      <c r="M184" s="114"/>
      <c r="N184" s="115"/>
    </row>
    <row r="185" spans="1:14" s="111" customFormat="1" ht="15.75" thickBot="1" x14ac:dyDescent="0.25">
      <c r="A185" s="116"/>
      <c r="B185" s="484" t="s">
        <v>194</v>
      </c>
      <c r="C185" s="485"/>
      <c r="D185" s="485"/>
      <c r="E185" s="485"/>
      <c r="F185" s="485"/>
      <c r="G185" s="485"/>
      <c r="H185" s="485"/>
      <c r="I185" s="485"/>
      <c r="J185" s="485"/>
      <c r="K185" s="485"/>
      <c r="L185" s="485"/>
      <c r="M185" s="486"/>
      <c r="N185" s="117" t="s">
        <v>96</v>
      </c>
    </row>
    <row r="186" spans="1:14" s="111" customFormat="1" x14ac:dyDescent="0.2">
      <c r="A186" s="116"/>
      <c r="B186" s="118" t="s">
        <v>428</v>
      </c>
      <c r="C186" s="119" t="s">
        <v>1168</v>
      </c>
      <c r="D186" s="119"/>
      <c r="E186" s="120"/>
      <c r="F186" s="120"/>
      <c r="G186" s="120"/>
      <c r="H186" s="120"/>
      <c r="I186" s="120"/>
      <c r="J186" s="120"/>
      <c r="K186" s="120"/>
      <c r="L186" s="120"/>
      <c r="M186" s="120"/>
      <c r="N186" s="101"/>
    </row>
    <row r="187" spans="1:14" s="111" customFormat="1" x14ac:dyDescent="0.2">
      <c r="A187" s="116"/>
      <c r="B187" s="118" t="s">
        <v>429</v>
      </c>
      <c r="C187" s="119" t="s">
        <v>1070</v>
      </c>
      <c r="D187" s="119"/>
      <c r="E187" s="120"/>
      <c r="F187" s="120"/>
      <c r="G187" s="120"/>
      <c r="H187" s="120"/>
      <c r="I187" s="120"/>
      <c r="J187" s="120"/>
      <c r="K187" s="120"/>
      <c r="L187" s="120"/>
      <c r="M187" s="120"/>
      <c r="N187" s="101"/>
    </row>
    <row r="188" spans="1:14" s="111" customFormat="1" x14ac:dyDescent="0.2">
      <c r="A188" s="116"/>
      <c r="B188" s="118" t="s">
        <v>427</v>
      </c>
      <c r="C188" s="480" t="s">
        <v>1232</v>
      </c>
      <c r="D188" s="480"/>
      <c r="E188" s="480"/>
      <c r="F188" s="480"/>
      <c r="G188" s="480"/>
      <c r="H188" s="480"/>
      <c r="I188" s="480"/>
      <c r="J188" s="480"/>
      <c r="K188" s="480"/>
      <c r="L188" s="480"/>
      <c r="M188" s="480"/>
      <c r="N188" s="481"/>
    </row>
    <row r="189" spans="1:14" s="111" customFormat="1" x14ac:dyDescent="0.2">
      <c r="A189" s="116"/>
      <c r="B189" s="118"/>
      <c r="C189" s="480"/>
      <c r="D189" s="480"/>
      <c r="E189" s="480"/>
      <c r="F189" s="480"/>
      <c r="G189" s="480"/>
      <c r="H189" s="480"/>
      <c r="I189" s="480"/>
      <c r="J189" s="480"/>
      <c r="K189" s="480"/>
      <c r="L189" s="480"/>
      <c r="M189" s="480"/>
      <c r="N189" s="481"/>
    </row>
    <row r="190" spans="1:14" s="111" customFormat="1" x14ac:dyDescent="0.2">
      <c r="A190" s="116"/>
      <c r="B190" s="118"/>
      <c r="C190" s="480"/>
      <c r="D190" s="480"/>
      <c r="E190" s="480"/>
      <c r="F190" s="480"/>
      <c r="G190" s="480"/>
      <c r="H190" s="480"/>
      <c r="I190" s="480"/>
      <c r="J190" s="480"/>
      <c r="K190" s="480"/>
      <c r="L190" s="480"/>
      <c r="M190" s="480"/>
      <c r="N190" s="481"/>
    </row>
    <row r="191" spans="1:14" s="111" customFormat="1" x14ac:dyDescent="0.2">
      <c r="A191" s="116"/>
      <c r="B191" s="118"/>
      <c r="C191" s="480"/>
      <c r="D191" s="480"/>
      <c r="E191" s="480"/>
      <c r="F191" s="480"/>
      <c r="G191" s="480"/>
      <c r="H191" s="480"/>
      <c r="I191" s="480"/>
      <c r="J191" s="480"/>
      <c r="K191" s="480"/>
      <c r="L191" s="480"/>
      <c r="M191" s="480"/>
      <c r="N191" s="481"/>
    </row>
    <row r="192" spans="1:14" s="111" customFormat="1" x14ac:dyDescent="0.2">
      <c r="A192" s="116"/>
      <c r="B192" s="118"/>
      <c r="C192" s="480"/>
      <c r="D192" s="480"/>
      <c r="E192" s="480"/>
      <c r="F192" s="480"/>
      <c r="G192" s="480"/>
      <c r="H192" s="480"/>
      <c r="I192" s="480"/>
      <c r="J192" s="480"/>
      <c r="K192" s="480"/>
      <c r="L192" s="480"/>
      <c r="M192" s="480"/>
      <c r="N192" s="481"/>
    </row>
    <row r="193" spans="1:14" s="111" customFormat="1" x14ac:dyDescent="0.2">
      <c r="A193" s="116"/>
      <c r="B193" s="118" t="s">
        <v>426</v>
      </c>
      <c r="C193" s="119" t="s">
        <v>1209</v>
      </c>
      <c r="D193" s="119"/>
      <c r="E193" s="120"/>
      <c r="F193" s="120"/>
      <c r="G193" s="120"/>
      <c r="H193" s="120"/>
      <c r="I193" s="120"/>
      <c r="J193" s="120"/>
      <c r="K193" s="120"/>
      <c r="L193" s="120"/>
      <c r="M193" s="120"/>
      <c r="N193" s="101"/>
    </row>
    <row r="194" spans="1:14" s="111" customFormat="1" ht="13.5" thickBot="1" x14ac:dyDescent="0.25">
      <c r="A194" s="121"/>
      <c r="B194" s="133" t="s">
        <v>430</v>
      </c>
      <c r="C194" s="122"/>
      <c r="D194" s="122"/>
      <c r="E194" s="123"/>
      <c r="F194" s="123"/>
      <c r="G194" s="123"/>
      <c r="H194" s="123"/>
      <c r="I194" s="123"/>
      <c r="J194" s="123"/>
      <c r="K194" s="123"/>
      <c r="L194" s="123"/>
      <c r="M194" s="123"/>
      <c r="N194" s="104"/>
    </row>
    <row r="195" spans="1:14" s="111" customFormat="1" x14ac:dyDescent="0.2">
      <c r="A195" s="112"/>
      <c r="B195" s="113" t="s">
        <v>263</v>
      </c>
      <c r="C195" s="113"/>
      <c r="D195" s="113"/>
      <c r="E195" s="114"/>
      <c r="F195" s="114"/>
      <c r="G195" s="114"/>
      <c r="H195" s="114"/>
      <c r="I195" s="114"/>
      <c r="J195" s="127" t="s">
        <v>2013</v>
      </c>
      <c r="K195" s="126" t="s">
        <v>2014</v>
      </c>
      <c r="L195" s="126" t="s">
        <v>2016</v>
      </c>
      <c r="M195" s="126" t="s">
        <v>1878</v>
      </c>
      <c r="N195" s="126"/>
    </row>
    <row r="196" spans="1:14" s="111" customFormat="1" ht="13.5" thickBot="1" x14ac:dyDescent="0.25">
      <c r="A196" s="121"/>
      <c r="B196" s="122"/>
      <c r="C196" s="122"/>
      <c r="D196" s="122"/>
      <c r="E196" s="123"/>
      <c r="F196" s="123"/>
      <c r="G196" s="123"/>
      <c r="H196" s="123"/>
      <c r="I196" s="123"/>
      <c r="J196" s="125" t="s">
        <v>2015</v>
      </c>
      <c r="K196" s="105" t="s">
        <v>509</v>
      </c>
      <c r="L196" s="105" t="s">
        <v>1397</v>
      </c>
      <c r="M196" s="105" t="s">
        <v>1398</v>
      </c>
      <c r="N196" s="105" t="s">
        <v>2017</v>
      </c>
    </row>
    <row r="197" spans="1:14" s="111" customFormat="1" x14ac:dyDescent="0.2">
      <c r="A197" s="112"/>
      <c r="B197" s="467" t="s">
        <v>67</v>
      </c>
      <c r="C197" s="467"/>
      <c r="D197" s="467"/>
      <c r="E197" s="114"/>
      <c r="F197" s="114" t="s">
        <v>1180</v>
      </c>
      <c r="G197" s="114" t="s">
        <v>68</v>
      </c>
      <c r="H197" s="114" t="s">
        <v>702</v>
      </c>
      <c r="I197" s="114"/>
      <c r="J197" s="100">
        <f>27.5/ATHENS!O1*ATHENS!O2</f>
        <v>49.999999999999993</v>
      </c>
      <c r="K197" s="100">
        <f>30.87/ATHENS!O1*ATHENS!O2</f>
        <v>56.127272727272725</v>
      </c>
      <c r="L197" s="100">
        <f>44.85/ATHENS!O1*ATHENS!O2</f>
        <v>81.545454545454547</v>
      </c>
      <c r="M197" s="100">
        <f>57.5/ATHENS!O1*ATHENS!O2</f>
        <v>104.54545454545453</v>
      </c>
      <c r="N197" s="126">
        <f>83.5/ATHENS!O1*ATHENS!O2</f>
        <v>151.81818181818181</v>
      </c>
    </row>
    <row r="198" spans="1:14" s="111" customFormat="1" x14ac:dyDescent="0.2">
      <c r="A198" s="116"/>
      <c r="B198" s="461" t="s">
        <v>67</v>
      </c>
      <c r="C198" s="461"/>
      <c r="D198" s="461"/>
      <c r="E198" s="120"/>
      <c r="F198" s="120" t="s">
        <v>1181</v>
      </c>
      <c r="G198" s="120" t="s">
        <v>68</v>
      </c>
      <c r="H198" s="120" t="s">
        <v>702</v>
      </c>
      <c r="I198" s="120"/>
      <c r="J198" s="100">
        <f>15.75/ATHENS!O1*ATHENS!O2</f>
        <v>28.636363636363633</v>
      </c>
      <c r="K198" s="100">
        <f>19.5/ATHENS!O1*ATHENS!O2</f>
        <v>35.454545454545453</v>
      </c>
      <c r="L198" s="100">
        <f>28.5/ATHENS!O1*ATHENS!O2</f>
        <v>51.818181818181813</v>
      </c>
      <c r="M198" s="100">
        <f>35.9/ATHENS!O1*ATHENS!O2</f>
        <v>65.272727272727266</v>
      </c>
      <c r="N198" s="100">
        <f>52/ATHENS!O1*ATHENS!O2</f>
        <v>94.545454545454533</v>
      </c>
    </row>
    <row r="199" spans="1:14" s="111" customFormat="1" ht="13.5" thickBot="1" x14ac:dyDescent="0.25">
      <c r="A199" s="121"/>
      <c r="B199" s="460" t="s">
        <v>67</v>
      </c>
      <c r="C199" s="460"/>
      <c r="D199" s="460"/>
      <c r="E199" s="123"/>
      <c r="F199" s="123" t="s">
        <v>1182</v>
      </c>
      <c r="G199" s="123" t="s">
        <v>68</v>
      </c>
      <c r="H199" s="123" t="s">
        <v>702</v>
      </c>
      <c r="I199" s="123"/>
      <c r="J199" s="105">
        <f>15.75/ATHENS!O1*ATHENS!O2</f>
        <v>28.636363636363633</v>
      </c>
      <c r="K199" s="105">
        <f>18/ATHENS!O1*ATHENS!O2</f>
        <v>32.727272727272727</v>
      </c>
      <c r="L199" s="105">
        <f>26.5/ATHENS!O1*ATHENS!O2</f>
        <v>48.18181818181818</v>
      </c>
      <c r="M199" s="105">
        <f>32.5/ATHENS!O1*ATHENS!O2</f>
        <v>59.090909090909086</v>
      </c>
      <c r="N199" s="105">
        <f>46.8/ATHENS!O1*ATHENS!O2</f>
        <v>85.090909090909079</v>
      </c>
    </row>
    <row r="200" spans="1:14" s="111" customFormat="1" x14ac:dyDescent="0.2">
      <c r="A200" s="108"/>
      <c r="B200" s="109"/>
      <c r="C200" s="109"/>
      <c r="D200" s="109"/>
      <c r="E200" s="110"/>
      <c r="F200" s="110"/>
      <c r="G200" s="110"/>
      <c r="H200" s="110"/>
      <c r="I200" s="110"/>
      <c r="J200" s="110"/>
      <c r="K200" s="110"/>
      <c r="L200" s="110"/>
      <c r="M200" s="110"/>
      <c r="N200" s="110"/>
    </row>
    <row r="201" spans="1:14" s="111" customFormat="1" ht="13.5" thickBot="1" x14ac:dyDescent="0.25">
      <c r="A201" s="108"/>
      <c r="B201" s="109"/>
      <c r="C201" s="109"/>
      <c r="D201" s="109"/>
      <c r="E201" s="110"/>
      <c r="F201" s="110"/>
      <c r="G201" s="110"/>
      <c r="H201" s="110"/>
      <c r="I201" s="110"/>
      <c r="J201" s="110"/>
      <c r="K201" s="110"/>
      <c r="L201" s="110"/>
      <c r="M201" s="110"/>
      <c r="N201" s="110"/>
    </row>
    <row r="202" spans="1:14" s="111" customFormat="1" ht="13.5" thickBot="1" x14ac:dyDescent="0.25">
      <c r="A202" s="112"/>
      <c r="B202" s="113"/>
      <c r="C202" s="113"/>
      <c r="D202" s="113"/>
      <c r="E202" s="114"/>
      <c r="F202" s="114"/>
      <c r="G202" s="114"/>
      <c r="H202" s="114"/>
      <c r="I202" s="114"/>
      <c r="J202" s="114"/>
      <c r="K202" s="114"/>
      <c r="L202" s="114"/>
      <c r="M202" s="114"/>
      <c r="N202" s="115"/>
    </row>
    <row r="203" spans="1:14" s="111" customFormat="1" ht="15.75" thickBot="1" x14ac:dyDescent="0.25">
      <c r="A203" s="116"/>
      <c r="B203" s="484" t="s">
        <v>772</v>
      </c>
      <c r="C203" s="485"/>
      <c r="D203" s="485"/>
      <c r="E203" s="485"/>
      <c r="F203" s="485"/>
      <c r="G203" s="485"/>
      <c r="H203" s="485"/>
      <c r="I203" s="485"/>
      <c r="J203" s="485"/>
      <c r="K203" s="485"/>
      <c r="L203" s="485"/>
      <c r="M203" s="486"/>
      <c r="N203" s="117" t="s">
        <v>96</v>
      </c>
    </row>
    <row r="204" spans="1:14" s="111" customFormat="1" x14ac:dyDescent="0.2">
      <c r="A204" s="116"/>
      <c r="B204" s="118" t="s">
        <v>428</v>
      </c>
      <c r="C204" s="119" t="s">
        <v>773</v>
      </c>
      <c r="D204" s="119"/>
      <c r="E204" s="120"/>
      <c r="F204" s="120"/>
      <c r="G204" s="120"/>
      <c r="H204" s="120"/>
      <c r="I204" s="120"/>
      <c r="J204" s="120"/>
      <c r="K204" s="120"/>
      <c r="L204" s="120"/>
      <c r="M204" s="120"/>
      <c r="N204" s="101"/>
    </row>
    <row r="205" spans="1:14" s="111" customFormat="1" x14ac:dyDescent="0.2">
      <c r="A205" s="116"/>
      <c r="B205" s="118" t="s">
        <v>429</v>
      </c>
      <c r="C205" s="119" t="s">
        <v>1009</v>
      </c>
      <c r="D205" s="119"/>
      <c r="E205" s="120"/>
      <c r="F205" s="120"/>
      <c r="G205" s="120"/>
      <c r="H205" s="120"/>
      <c r="I205" s="120"/>
      <c r="J205" s="120"/>
      <c r="K205" s="120"/>
      <c r="L205" s="120"/>
      <c r="M205" s="120"/>
      <c r="N205" s="101"/>
    </row>
    <row r="206" spans="1:14" s="111" customFormat="1" x14ac:dyDescent="0.2">
      <c r="A206" s="116"/>
      <c r="B206" s="118" t="s">
        <v>427</v>
      </c>
      <c r="C206" s="480" t="s">
        <v>1233</v>
      </c>
      <c r="D206" s="480"/>
      <c r="E206" s="480"/>
      <c r="F206" s="480"/>
      <c r="G206" s="480"/>
      <c r="H206" s="480"/>
      <c r="I206" s="480"/>
      <c r="J206" s="480"/>
      <c r="K206" s="480"/>
      <c r="L206" s="480"/>
      <c r="M206" s="480"/>
      <c r="N206" s="481"/>
    </row>
    <row r="207" spans="1:14" s="111" customFormat="1" x14ac:dyDescent="0.2">
      <c r="A207" s="116"/>
      <c r="B207" s="118"/>
      <c r="C207" s="480"/>
      <c r="D207" s="480"/>
      <c r="E207" s="480"/>
      <c r="F207" s="480"/>
      <c r="G207" s="480"/>
      <c r="H207" s="480"/>
      <c r="I207" s="480"/>
      <c r="J207" s="480"/>
      <c r="K207" s="480"/>
      <c r="L207" s="480"/>
      <c r="M207" s="480"/>
      <c r="N207" s="481"/>
    </row>
    <row r="208" spans="1:14" s="111" customFormat="1" x14ac:dyDescent="0.2">
      <c r="A208" s="116"/>
      <c r="B208" s="109"/>
      <c r="C208" s="480"/>
      <c r="D208" s="480"/>
      <c r="E208" s="480"/>
      <c r="F208" s="480"/>
      <c r="G208" s="480"/>
      <c r="H208" s="480"/>
      <c r="I208" s="480"/>
      <c r="J208" s="480"/>
      <c r="K208" s="480"/>
      <c r="L208" s="480"/>
      <c r="M208" s="480"/>
      <c r="N208" s="481"/>
    </row>
    <row r="209" spans="1:14" s="111" customFormat="1" x14ac:dyDescent="0.2">
      <c r="A209" s="116"/>
      <c r="B209" s="118" t="s">
        <v>426</v>
      </c>
      <c r="C209" s="119" t="s">
        <v>774</v>
      </c>
      <c r="D209" s="119"/>
      <c r="E209" s="120"/>
      <c r="F209" s="120"/>
      <c r="G209" s="120"/>
      <c r="H209" s="120"/>
      <c r="I209" s="120"/>
      <c r="J209" s="120"/>
      <c r="K209" s="120"/>
      <c r="L209" s="120"/>
      <c r="M209" s="120"/>
      <c r="N209" s="101"/>
    </row>
    <row r="210" spans="1:14" s="111" customFormat="1" x14ac:dyDescent="0.2">
      <c r="A210" s="116"/>
      <c r="B210" s="118"/>
      <c r="C210" s="119" t="s">
        <v>1455</v>
      </c>
      <c r="D210" s="119"/>
      <c r="E210" s="120"/>
      <c r="F210" s="120"/>
      <c r="G210" s="120"/>
      <c r="H210" s="120"/>
      <c r="I210" s="120"/>
      <c r="J210" s="120"/>
      <c r="K210" s="120"/>
      <c r="L210" s="120"/>
      <c r="M210" s="120"/>
      <c r="N210" s="101"/>
    </row>
    <row r="211" spans="1:14" s="111" customFormat="1" ht="13.5" thickBot="1" x14ac:dyDescent="0.25">
      <c r="A211" s="121"/>
      <c r="B211" s="118" t="s">
        <v>430</v>
      </c>
      <c r="C211" s="122"/>
      <c r="D211" s="122"/>
      <c r="E211" s="123"/>
      <c r="F211" s="123"/>
      <c r="G211" s="123"/>
      <c r="H211" s="123"/>
      <c r="I211" s="123"/>
      <c r="J211" s="123"/>
      <c r="K211" s="123"/>
      <c r="L211" s="123"/>
      <c r="M211" s="123"/>
      <c r="N211" s="104"/>
    </row>
    <row r="212" spans="1:14" s="111" customFormat="1" x14ac:dyDescent="0.2">
      <c r="A212" s="112"/>
      <c r="B212" s="113" t="s">
        <v>263</v>
      </c>
      <c r="C212" s="113"/>
      <c r="D212" s="113"/>
      <c r="E212" s="114"/>
      <c r="F212" s="114"/>
      <c r="G212" s="114"/>
      <c r="H212" s="114"/>
      <c r="I212" s="114"/>
      <c r="J212" s="127" t="s">
        <v>2207</v>
      </c>
      <c r="K212" s="126" t="s">
        <v>2183</v>
      </c>
      <c r="L212" s="126"/>
      <c r="M212" s="126" t="s">
        <v>820</v>
      </c>
      <c r="N212" s="126"/>
    </row>
    <row r="213" spans="1:14" s="111" customFormat="1" ht="13.5" thickBot="1" x14ac:dyDescent="0.25">
      <c r="A213" s="121"/>
      <c r="B213" s="122"/>
      <c r="C213" s="122"/>
      <c r="D213" s="122"/>
      <c r="E213" s="123"/>
      <c r="F213" s="123"/>
      <c r="G213" s="123"/>
      <c r="H213" s="123"/>
      <c r="I213" s="123"/>
      <c r="J213" s="125" t="s">
        <v>756</v>
      </c>
      <c r="K213" s="105" t="s">
        <v>282</v>
      </c>
      <c r="L213" s="105" t="s">
        <v>279</v>
      </c>
      <c r="M213" s="105" t="s">
        <v>832</v>
      </c>
      <c r="N213" s="105" t="s">
        <v>1923</v>
      </c>
    </row>
    <row r="214" spans="1:14" s="111" customFormat="1" x14ac:dyDescent="0.2">
      <c r="A214" s="112"/>
      <c r="B214" s="467" t="s">
        <v>67</v>
      </c>
      <c r="C214" s="467"/>
      <c r="D214" s="467"/>
      <c r="E214" s="114"/>
      <c r="F214" s="114" t="s">
        <v>1180</v>
      </c>
      <c r="G214" s="114" t="s">
        <v>68</v>
      </c>
      <c r="H214" s="114" t="s">
        <v>702</v>
      </c>
      <c r="I214" s="114"/>
      <c r="J214" s="100">
        <f>61/ATHENS!O1*ATHENS!O2</f>
        <v>110.90909090909091</v>
      </c>
      <c r="K214" s="100">
        <f>88/ATHENS!O1*ATHENS!O2</f>
        <v>160</v>
      </c>
      <c r="L214" s="100">
        <f>115/ATHENS!O1*ATHENS!O2</f>
        <v>209.09090909090907</v>
      </c>
      <c r="M214" s="100">
        <f>133/ATHENS!O1*ATHENS!O2</f>
        <v>241.81818181818178</v>
      </c>
      <c r="N214" s="126">
        <f>150/ATHENS!O1*ATHENS!O2</f>
        <v>272.72727272727269</v>
      </c>
    </row>
    <row r="215" spans="1:14" s="111" customFormat="1" x14ac:dyDescent="0.2">
      <c r="A215" s="116"/>
      <c r="B215" s="461" t="s">
        <v>67</v>
      </c>
      <c r="C215" s="461"/>
      <c r="D215" s="461"/>
      <c r="E215" s="120"/>
      <c r="F215" s="120" t="s">
        <v>1181</v>
      </c>
      <c r="G215" s="120" t="s">
        <v>68</v>
      </c>
      <c r="H215" s="120" t="s">
        <v>702</v>
      </c>
      <c r="I215" s="120"/>
      <c r="J215" s="100">
        <f>36.5/ATHENS!O1*ATHENS!O2</f>
        <v>66.36363636363636</v>
      </c>
      <c r="K215" s="100">
        <f>49/ATHENS!O1*ATHENS!O2</f>
        <v>89.090909090909079</v>
      </c>
      <c r="L215" s="100">
        <f>63.5/ATHENS!O1*ATHENS!O2</f>
        <v>115.45454545454544</v>
      </c>
      <c r="M215" s="100">
        <f>74.5/ATHENS!O1*ATHENS!O2</f>
        <v>135.45454545454544</v>
      </c>
      <c r="N215" s="100">
        <f>84.5/ATHENS!O1*ATHENS!O2</f>
        <v>153.63636363636363</v>
      </c>
    </row>
    <row r="216" spans="1:14" s="111" customFormat="1" ht="13.5" thickBot="1" x14ac:dyDescent="0.25">
      <c r="A216" s="121"/>
      <c r="B216" s="460" t="s">
        <v>67</v>
      </c>
      <c r="C216" s="460"/>
      <c r="D216" s="460"/>
      <c r="E216" s="123"/>
      <c r="F216" s="123" t="s">
        <v>1182</v>
      </c>
      <c r="G216" s="123" t="s">
        <v>68</v>
      </c>
      <c r="H216" s="123" t="s">
        <v>702</v>
      </c>
      <c r="I216" s="123"/>
      <c r="J216" s="105">
        <f>33/ATHENS!O1*ATHENS!O2</f>
        <v>59.999999999999993</v>
      </c>
      <c r="K216" s="105">
        <f>44/ATHENS!O1*ATHENS!O2</f>
        <v>80</v>
      </c>
      <c r="L216" s="105">
        <f>57.5/ATHENS!O1*ATHENS!O2</f>
        <v>104.54545454545453</v>
      </c>
      <c r="M216" s="105">
        <f>67/ATHENS!O1*ATHENS!O2</f>
        <v>121.81818181818181</v>
      </c>
      <c r="N216" s="105">
        <f>76/ATHENS!O1*ATHENS!O2</f>
        <v>138.18181818181816</v>
      </c>
    </row>
    <row r="217" spans="1:14" s="111" customFormat="1" ht="13.5" thickBot="1" x14ac:dyDescent="0.25">
      <c r="A217" s="108"/>
      <c r="B217" s="109"/>
      <c r="C217" s="109"/>
      <c r="D217" s="109"/>
      <c r="E217" s="110"/>
      <c r="F217" s="110"/>
      <c r="G217" s="110"/>
      <c r="H217" s="110"/>
      <c r="I217" s="110"/>
      <c r="J217" s="110"/>
      <c r="K217" s="110"/>
      <c r="L217" s="110"/>
      <c r="M217" s="110"/>
      <c r="N217" s="110"/>
    </row>
    <row r="218" spans="1:14" s="111" customFormat="1" ht="13.5" thickBot="1" x14ac:dyDescent="0.25">
      <c r="A218" s="112"/>
      <c r="B218" s="113"/>
      <c r="C218" s="113"/>
      <c r="D218" s="113"/>
      <c r="E218" s="114"/>
      <c r="F218" s="114"/>
      <c r="G218" s="114"/>
      <c r="H218" s="114"/>
      <c r="I218" s="114"/>
      <c r="J218" s="114"/>
      <c r="K218" s="114"/>
      <c r="L218" s="114"/>
      <c r="M218" s="114"/>
      <c r="N218" s="115"/>
    </row>
    <row r="219" spans="1:14" s="111" customFormat="1" ht="15.75" thickBot="1" x14ac:dyDescent="0.25">
      <c r="A219" s="116"/>
      <c r="B219" s="484" t="s">
        <v>346</v>
      </c>
      <c r="C219" s="485"/>
      <c r="D219" s="485"/>
      <c r="E219" s="485"/>
      <c r="F219" s="485"/>
      <c r="G219" s="485"/>
      <c r="H219" s="485"/>
      <c r="I219" s="485"/>
      <c r="J219" s="485"/>
      <c r="K219" s="485"/>
      <c r="L219" s="485"/>
      <c r="M219" s="486"/>
      <c r="N219" s="117" t="s">
        <v>96</v>
      </c>
    </row>
    <row r="220" spans="1:14" s="111" customFormat="1" x14ac:dyDescent="0.2">
      <c r="A220" s="116"/>
      <c r="B220" s="118" t="s">
        <v>428</v>
      </c>
      <c r="C220" s="119" t="s">
        <v>1456</v>
      </c>
      <c r="D220" s="119"/>
      <c r="E220" s="120"/>
      <c r="F220" s="120"/>
      <c r="G220" s="120"/>
      <c r="H220" s="120"/>
      <c r="I220" s="120"/>
      <c r="J220" s="120"/>
      <c r="K220" s="120"/>
      <c r="L220" s="120"/>
      <c r="M220" s="120"/>
      <c r="N220" s="101"/>
    </row>
    <row r="221" spans="1:14" s="111" customFormat="1" x14ac:dyDescent="0.2">
      <c r="A221" s="116"/>
      <c r="B221" s="118" t="s">
        <v>429</v>
      </c>
      <c r="C221" s="119" t="s">
        <v>1010</v>
      </c>
      <c r="D221" s="119"/>
      <c r="E221" s="120"/>
      <c r="F221" s="120"/>
      <c r="G221" s="120"/>
      <c r="H221" s="120"/>
      <c r="I221" s="120"/>
      <c r="J221" s="120"/>
      <c r="K221" s="120"/>
      <c r="L221" s="120"/>
      <c r="M221" s="120"/>
      <c r="N221" s="101"/>
    </row>
    <row r="222" spans="1:14" s="111" customFormat="1" x14ac:dyDescent="0.2">
      <c r="A222" s="116"/>
      <c r="B222" s="118" t="s">
        <v>427</v>
      </c>
      <c r="C222" s="480" t="s">
        <v>1234</v>
      </c>
      <c r="D222" s="480"/>
      <c r="E222" s="480"/>
      <c r="F222" s="480"/>
      <c r="G222" s="480"/>
      <c r="H222" s="480"/>
      <c r="I222" s="480"/>
      <c r="J222" s="480"/>
      <c r="K222" s="480"/>
      <c r="L222" s="480"/>
      <c r="M222" s="480"/>
      <c r="N222" s="481"/>
    </row>
    <row r="223" spans="1:14" s="111" customFormat="1" x14ac:dyDescent="0.2">
      <c r="A223" s="116"/>
      <c r="B223" s="118"/>
      <c r="C223" s="480"/>
      <c r="D223" s="480"/>
      <c r="E223" s="480"/>
      <c r="F223" s="480"/>
      <c r="G223" s="480"/>
      <c r="H223" s="480"/>
      <c r="I223" s="480"/>
      <c r="J223" s="480"/>
      <c r="K223" s="480"/>
      <c r="L223" s="480"/>
      <c r="M223" s="480"/>
      <c r="N223" s="481"/>
    </row>
    <row r="224" spans="1:14" s="111" customFormat="1" x14ac:dyDescent="0.2">
      <c r="A224" s="116"/>
      <c r="B224" s="118"/>
      <c r="C224" s="480"/>
      <c r="D224" s="480"/>
      <c r="E224" s="480"/>
      <c r="F224" s="480"/>
      <c r="G224" s="480"/>
      <c r="H224" s="480"/>
      <c r="I224" s="480"/>
      <c r="J224" s="480"/>
      <c r="K224" s="480"/>
      <c r="L224" s="480"/>
      <c r="M224" s="480"/>
      <c r="N224" s="481"/>
    </row>
    <row r="225" spans="1:14" s="111" customFormat="1" x14ac:dyDescent="0.2">
      <c r="A225" s="116"/>
      <c r="B225" s="118"/>
      <c r="C225" s="480"/>
      <c r="D225" s="480"/>
      <c r="E225" s="480"/>
      <c r="F225" s="480"/>
      <c r="G225" s="480"/>
      <c r="H225" s="480"/>
      <c r="I225" s="480"/>
      <c r="J225" s="480"/>
      <c r="K225" s="480"/>
      <c r="L225" s="480"/>
      <c r="M225" s="480"/>
      <c r="N225" s="481"/>
    </row>
    <row r="226" spans="1:14" s="111" customFormat="1" x14ac:dyDescent="0.2">
      <c r="A226" s="116"/>
      <c r="B226" s="119"/>
      <c r="C226" s="480"/>
      <c r="D226" s="480"/>
      <c r="E226" s="480"/>
      <c r="F226" s="480"/>
      <c r="G226" s="480"/>
      <c r="H226" s="480"/>
      <c r="I226" s="480"/>
      <c r="J226" s="480"/>
      <c r="K226" s="480"/>
      <c r="L226" s="480"/>
      <c r="M226" s="480"/>
      <c r="N226" s="481"/>
    </row>
    <row r="227" spans="1:14" s="111" customFormat="1" x14ac:dyDescent="0.2">
      <c r="A227" s="116"/>
      <c r="B227" s="119"/>
      <c r="C227" s="480"/>
      <c r="D227" s="480"/>
      <c r="E227" s="480"/>
      <c r="F227" s="480"/>
      <c r="G227" s="480"/>
      <c r="H227" s="480"/>
      <c r="I227" s="480"/>
      <c r="J227" s="480"/>
      <c r="K227" s="480"/>
      <c r="L227" s="480"/>
      <c r="M227" s="480"/>
      <c r="N227" s="481"/>
    </row>
    <row r="228" spans="1:14" s="111" customFormat="1" x14ac:dyDescent="0.2">
      <c r="A228" s="116"/>
      <c r="B228" s="118" t="s">
        <v>426</v>
      </c>
      <c r="C228" s="119" t="s">
        <v>209</v>
      </c>
      <c r="D228" s="119"/>
      <c r="E228" s="120"/>
      <c r="F228" s="120"/>
      <c r="G228" s="120"/>
      <c r="H228" s="120"/>
      <c r="I228" s="120"/>
      <c r="J228" s="120"/>
      <c r="K228" s="120"/>
      <c r="L228" s="120"/>
      <c r="M228" s="120"/>
      <c r="N228" s="101"/>
    </row>
    <row r="229" spans="1:14" s="111" customFormat="1" ht="13.5" thickBot="1" x14ac:dyDescent="0.25">
      <c r="A229" s="121"/>
      <c r="B229" s="118" t="s">
        <v>430</v>
      </c>
      <c r="C229" s="122" t="s">
        <v>1004</v>
      </c>
      <c r="D229" s="122"/>
      <c r="E229" s="123"/>
      <c r="F229" s="123"/>
      <c r="G229" s="123"/>
      <c r="H229" s="123"/>
      <c r="I229" s="123"/>
      <c r="J229" s="123"/>
      <c r="K229" s="123"/>
      <c r="L229" s="123"/>
      <c r="M229" s="123"/>
      <c r="N229" s="104"/>
    </row>
    <row r="230" spans="1:14" s="111" customFormat="1" x14ac:dyDescent="0.2">
      <c r="A230" s="112"/>
      <c r="B230" s="113" t="s">
        <v>263</v>
      </c>
      <c r="C230" s="113"/>
      <c r="D230" s="113"/>
      <c r="E230" s="114"/>
      <c r="F230" s="114"/>
      <c r="G230" s="114"/>
      <c r="H230" s="114"/>
      <c r="I230" s="114"/>
      <c r="J230" s="127" t="s">
        <v>339</v>
      </c>
      <c r="K230" s="126" t="s">
        <v>2018</v>
      </c>
      <c r="L230" s="126" t="s">
        <v>2020</v>
      </c>
      <c r="M230" s="126"/>
      <c r="N230" s="126"/>
    </row>
    <row r="231" spans="1:14" s="111" customFormat="1" ht="13.5" thickBot="1" x14ac:dyDescent="0.25">
      <c r="A231" s="121"/>
      <c r="B231" s="122"/>
      <c r="C231" s="122"/>
      <c r="D231" s="122"/>
      <c r="E231" s="123"/>
      <c r="F231" s="123"/>
      <c r="G231" s="123"/>
      <c r="H231" s="123"/>
      <c r="I231" s="123"/>
      <c r="J231" s="125" t="s">
        <v>2012</v>
      </c>
      <c r="K231" s="105" t="s">
        <v>2019</v>
      </c>
      <c r="L231" s="105" t="s">
        <v>2021</v>
      </c>
      <c r="M231" s="105" t="s">
        <v>2022</v>
      </c>
      <c r="N231" s="105"/>
    </row>
    <row r="232" spans="1:14" s="111" customFormat="1" x14ac:dyDescent="0.2">
      <c r="A232" s="112"/>
      <c r="B232" s="467" t="s">
        <v>84</v>
      </c>
      <c r="C232" s="467"/>
      <c r="D232" s="467"/>
      <c r="E232" s="114"/>
      <c r="F232" s="114" t="s">
        <v>1180</v>
      </c>
      <c r="G232" s="114" t="s">
        <v>1484</v>
      </c>
      <c r="H232" s="114" t="s">
        <v>702</v>
      </c>
      <c r="I232" s="114"/>
      <c r="J232" s="100">
        <f>57.5/ATHENS!O1*ATHENS!O2</f>
        <v>104.54545454545453</v>
      </c>
      <c r="K232" s="100">
        <f>81.5/ATHENS!O1*ATHENS!O2</f>
        <v>148.18181818181816</v>
      </c>
      <c r="L232" s="100">
        <f>95.8/ATHENS!O1*ATHENS!O2</f>
        <v>174.18181818181816</v>
      </c>
      <c r="M232" s="100">
        <f>133.95/ATHENS!O1*ATHENS!O2</f>
        <v>243.5454545454545</v>
      </c>
      <c r="N232" s="126"/>
    </row>
    <row r="233" spans="1:14" s="111" customFormat="1" x14ac:dyDescent="0.2">
      <c r="A233" s="116"/>
      <c r="B233" s="461" t="s">
        <v>84</v>
      </c>
      <c r="C233" s="461"/>
      <c r="D233" s="461"/>
      <c r="E233" s="120"/>
      <c r="F233" s="120" t="s">
        <v>1181</v>
      </c>
      <c r="G233" s="120" t="s">
        <v>1484</v>
      </c>
      <c r="H233" s="120" t="s">
        <v>702</v>
      </c>
      <c r="I233" s="120"/>
      <c r="J233" s="100">
        <f>39.5/ATHENS!O1*ATHENS!O2</f>
        <v>71.818181818181813</v>
      </c>
      <c r="K233" s="100">
        <f>55.5/ATHENS!O1*ATHENS!O2</f>
        <v>100.90909090909091</v>
      </c>
      <c r="L233" s="100">
        <f>64.5/ATHENS!O1*ATHENS!O2</f>
        <v>117.27272727272727</v>
      </c>
      <c r="M233" s="100">
        <f>88.5/ATHENS!O1*ATHENS!O2</f>
        <v>160.90909090909091</v>
      </c>
      <c r="N233" s="100"/>
    </row>
    <row r="234" spans="1:14" s="111" customFormat="1" x14ac:dyDescent="0.2">
      <c r="A234" s="116"/>
      <c r="B234" s="461" t="s">
        <v>84</v>
      </c>
      <c r="C234" s="461"/>
      <c r="D234" s="461"/>
      <c r="E234" s="120"/>
      <c r="F234" s="120" t="s">
        <v>1182</v>
      </c>
      <c r="G234" s="120" t="s">
        <v>1484</v>
      </c>
      <c r="H234" s="120" t="s">
        <v>702</v>
      </c>
      <c r="I234" s="120"/>
      <c r="J234" s="100">
        <f>36/ATHENS!O1*ATHENS!O2</f>
        <v>65.454545454545453</v>
      </c>
      <c r="K234" s="100">
        <f>50.5/ATHENS!O1*ATHENS!O2</f>
        <v>91.818181818181813</v>
      </c>
      <c r="L234" s="100">
        <f>58.5/ATHENS!O1*ATHENS!O2</f>
        <v>106.36363636363636</v>
      </c>
      <c r="M234" s="100">
        <f>80.5/ATHENS!O1*ATHENS!O2</f>
        <v>146.36363636363635</v>
      </c>
      <c r="N234" s="100"/>
    </row>
    <row r="235" spans="1:14" s="111" customFormat="1" x14ac:dyDescent="0.2">
      <c r="A235" s="116"/>
      <c r="B235" s="461" t="s">
        <v>829</v>
      </c>
      <c r="C235" s="461"/>
      <c r="D235" s="461"/>
      <c r="E235" s="120"/>
      <c r="F235" s="120" t="s">
        <v>1181</v>
      </c>
      <c r="G235" s="120" t="s">
        <v>1484</v>
      </c>
      <c r="H235" s="120" t="s">
        <v>702</v>
      </c>
      <c r="I235" s="120"/>
      <c r="J235" s="100">
        <f>42.5/ATHENS!O1*ATHENS!O2</f>
        <v>77.272727272727266</v>
      </c>
      <c r="K235" s="100">
        <f>58.7/ATHENS!O1*ATHENS!O2</f>
        <v>106.72727272727272</v>
      </c>
      <c r="L235" s="100">
        <f>67.7/ATHENS!O1*ATHENS!O2</f>
        <v>123.09090909090908</v>
      </c>
      <c r="M235" s="100">
        <f>91.88/ATHENS!O1*ATHENS!O2</f>
        <v>167.05454545454543</v>
      </c>
      <c r="N235" s="100"/>
    </row>
    <row r="236" spans="1:14" s="111" customFormat="1" ht="13.5" thickBot="1" x14ac:dyDescent="0.25">
      <c r="A236" s="121"/>
      <c r="B236" s="460" t="s">
        <v>829</v>
      </c>
      <c r="C236" s="460"/>
      <c r="D236" s="460"/>
      <c r="E236" s="123"/>
      <c r="F236" s="123" t="s">
        <v>1182</v>
      </c>
      <c r="G236" s="123" t="s">
        <v>1484</v>
      </c>
      <c r="H236" s="123" t="s">
        <v>702</v>
      </c>
      <c r="I236" s="123"/>
      <c r="J236" s="105">
        <f>38.5/ATHENS!O1*ATHENS!O2</f>
        <v>70</v>
      </c>
      <c r="K236" s="105">
        <f>53.5/ATHENS!O1*ATHENS!O2</f>
        <v>97.272727272727266</v>
      </c>
      <c r="L236" s="105">
        <f>61.5/ATHENS!O1*ATHENS!O2</f>
        <v>111.81818181818181</v>
      </c>
      <c r="M236" s="105">
        <f>82.8/ATHENS!O1*ATHENS!O2</f>
        <v>150.54545454545453</v>
      </c>
      <c r="N236" s="105"/>
    </row>
    <row r="237" spans="1:14" s="111" customFormat="1" ht="13.5" thickBot="1" x14ac:dyDescent="0.25">
      <c r="A237" s="108"/>
      <c r="B237" s="109"/>
      <c r="C237" s="109"/>
      <c r="D237" s="109"/>
      <c r="E237" s="110"/>
      <c r="F237" s="110"/>
      <c r="G237" s="110"/>
      <c r="H237" s="110"/>
      <c r="I237" s="110"/>
      <c r="J237" s="110"/>
      <c r="K237" s="110"/>
      <c r="L237" s="110"/>
      <c r="M237" s="110"/>
      <c r="N237" s="110"/>
    </row>
    <row r="238" spans="1:14" s="111" customFormat="1" ht="13.5" thickBot="1" x14ac:dyDescent="0.25">
      <c r="A238" s="112"/>
      <c r="B238" s="113"/>
      <c r="C238" s="113"/>
      <c r="D238" s="113"/>
      <c r="E238" s="114"/>
      <c r="F238" s="114"/>
      <c r="G238" s="114"/>
      <c r="H238" s="114"/>
      <c r="I238" s="114"/>
      <c r="J238" s="114"/>
      <c r="K238" s="114"/>
      <c r="L238" s="114"/>
      <c r="M238" s="114"/>
      <c r="N238" s="115"/>
    </row>
    <row r="239" spans="1:14" s="111" customFormat="1" ht="15.75" thickBot="1" x14ac:dyDescent="0.25">
      <c r="A239" s="116"/>
      <c r="B239" s="484" t="s">
        <v>1006</v>
      </c>
      <c r="C239" s="485"/>
      <c r="D239" s="485"/>
      <c r="E239" s="485"/>
      <c r="F239" s="485"/>
      <c r="G239" s="485"/>
      <c r="H239" s="485"/>
      <c r="I239" s="485"/>
      <c r="J239" s="485"/>
      <c r="K239" s="485"/>
      <c r="L239" s="485"/>
      <c r="M239" s="486"/>
      <c r="N239" s="117" t="s">
        <v>96</v>
      </c>
    </row>
    <row r="240" spans="1:14" s="111" customFormat="1" x14ac:dyDescent="0.2">
      <c r="A240" s="116"/>
      <c r="B240" s="118" t="s">
        <v>428</v>
      </c>
      <c r="C240" s="119" t="s">
        <v>1005</v>
      </c>
      <c r="D240" s="119"/>
      <c r="E240" s="120"/>
      <c r="F240" s="120"/>
      <c r="G240" s="120"/>
      <c r="H240" s="120"/>
      <c r="I240" s="120"/>
      <c r="J240" s="120"/>
      <c r="K240" s="120"/>
      <c r="L240" s="120"/>
      <c r="M240" s="120"/>
      <c r="N240" s="101"/>
    </row>
    <row r="241" spans="1:14" s="111" customFormat="1" x14ac:dyDescent="0.2">
      <c r="A241" s="116"/>
      <c r="B241" s="118" t="s">
        <v>429</v>
      </c>
      <c r="C241" s="119" t="s">
        <v>1011</v>
      </c>
      <c r="D241" s="119"/>
      <c r="E241" s="120"/>
      <c r="F241" s="120"/>
      <c r="G241" s="120"/>
      <c r="H241" s="120"/>
      <c r="I241" s="120"/>
      <c r="J241" s="120"/>
      <c r="K241" s="120"/>
      <c r="L241" s="120"/>
      <c r="M241" s="120"/>
      <c r="N241" s="101"/>
    </row>
    <row r="242" spans="1:14" s="111" customFormat="1" x14ac:dyDescent="0.2">
      <c r="A242" s="116"/>
      <c r="B242" s="118" t="s">
        <v>427</v>
      </c>
      <c r="C242" s="480" t="s">
        <v>1235</v>
      </c>
      <c r="D242" s="480"/>
      <c r="E242" s="480"/>
      <c r="F242" s="480"/>
      <c r="G242" s="480"/>
      <c r="H242" s="480"/>
      <c r="I242" s="480"/>
      <c r="J242" s="480"/>
      <c r="K242" s="480"/>
      <c r="L242" s="480"/>
      <c r="M242" s="480"/>
      <c r="N242" s="481"/>
    </row>
    <row r="243" spans="1:14" s="111" customFormat="1" x14ac:dyDescent="0.2">
      <c r="A243" s="116"/>
      <c r="B243" s="109"/>
      <c r="C243" s="480"/>
      <c r="D243" s="480"/>
      <c r="E243" s="480"/>
      <c r="F243" s="480"/>
      <c r="G243" s="480"/>
      <c r="H243" s="480"/>
      <c r="I243" s="480"/>
      <c r="J243" s="480"/>
      <c r="K243" s="480"/>
      <c r="L243" s="480"/>
      <c r="M243" s="480"/>
      <c r="N243" s="481"/>
    </row>
    <row r="244" spans="1:14" s="111" customFormat="1" x14ac:dyDescent="0.2">
      <c r="A244" s="116"/>
      <c r="B244" s="109"/>
      <c r="C244" s="480"/>
      <c r="D244" s="480"/>
      <c r="E244" s="480"/>
      <c r="F244" s="480"/>
      <c r="G244" s="480"/>
      <c r="H244" s="480"/>
      <c r="I244" s="480"/>
      <c r="J244" s="480"/>
      <c r="K244" s="480"/>
      <c r="L244" s="480"/>
      <c r="M244" s="480"/>
      <c r="N244" s="481"/>
    </row>
    <row r="245" spans="1:14" s="111" customFormat="1" ht="13.5" thickBot="1" x14ac:dyDescent="0.25">
      <c r="A245" s="116"/>
      <c r="B245" s="118" t="s">
        <v>426</v>
      </c>
      <c r="C245" s="119" t="s">
        <v>1137</v>
      </c>
      <c r="D245" s="119"/>
      <c r="E245" s="120"/>
      <c r="F245" s="120"/>
      <c r="G245" s="120"/>
      <c r="H245" s="120"/>
      <c r="I245" s="120"/>
      <c r="J245" s="120"/>
      <c r="K245" s="120"/>
      <c r="L245" s="120"/>
      <c r="M245" s="120"/>
      <c r="N245" s="101"/>
    </row>
    <row r="246" spans="1:14" s="111" customFormat="1" x14ac:dyDescent="0.2">
      <c r="A246" s="112"/>
      <c r="B246" s="113" t="s">
        <v>263</v>
      </c>
      <c r="C246" s="113"/>
      <c r="D246" s="113"/>
      <c r="E246" s="114"/>
      <c r="F246" s="114"/>
      <c r="G246" s="114"/>
      <c r="H246" s="114"/>
      <c r="I246" s="114"/>
      <c r="J246" s="127" t="s">
        <v>2023</v>
      </c>
      <c r="K246" s="126" t="s">
        <v>2024</v>
      </c>
      <c r="L246" s="126" t="s">
        <v>2026</v>
      </c>
      <c r="M246" s="126" t="s">
        <v>2028</v>
      </c>
      <c r="N246" s="126"/>
    </row>
    <row r="247" spans="1:14" s="111" customFormat="1" ht="13.5" thickBot="1" x14ac:dyDescent="0.25">
      <c r="A247" s="121"/>
      <c r="B247" s="122"/>
      <c r="C247" s="122"/>
      <c r="D247" s="122"/>
      <c r="E247" s="123"/>
      <c r="F247" s="123"/>
      <c r="G247" s="123"/>
      <c r="H247" s="123"/>
      <c r="I247" s="123"/>
      <c r="J247" s="125" t="s">
        <v>1564</v>
      </c>
      <c r="K247" s="105" t="s">
        <v>2025</v>
      </c>
      <c r="L247" s="105" t="s">
        <v>2027</v>
      </c>
      <c r="M247" s="105" t="s">
        <v>2029</v>
      </c>
      <c r="N247" s="105" t="s">
        <v>2030</v>
      </c>
    </row>
    <row r="248" spans="1:14" s="111" customFormat="1" x14ac:dyDescent="0.2">
      <c r="A248" s="112"/>
      <c r="B248" s="467" t="s">
        <v>67</v>
      </c>
      <c r="C248" s="467"/>
      <c r="D248" s="467"/>
      <c r="E248" s="114"/>
      <c r="F248" s="114" t="s">
        <v>1180</v>
      </c>
      <c r="G248" s="114" t="s">
        <v>1484</v>
      </c>
      <c r="H248" s="114" t="s">
        <v>702</v>
      </c>
      <c r="I248" s="114"/>
      <c r="J248" s="100">
        <f>96.7/ATHENS!O1*ATHENS!O2</f>
        <v>175.81818181818181</v>
      </c>
      <c r="K248" s="100">
        <f>124.5/ATHENS!O1*ATHENS!O2</f>
        <v>226.36363636363635</v>
      </c>
      <c r="L248" s="100">
        <f>164.63/ATHENS!O1*ATHENS!O2</f>
        <v>299.32727272727271</v>
      </c>
      <c r="M248" s="100">
        <f>188.5/ATHENS!O1*ATHENS!O2</f>
        <v>342.72727272727269</v>
      </c>
      <c r="N248" s="126">
        <f>198.5/ATHENS!O1*ATHENS!O2</f>
        <v>360.90909090909088</v>
      </c>
    </row>
    <row r="249" spans="1:14" s="111" customFormat="1" x14ac:dyDescent="0.2">
      <c r="A249" s="116"/>
      <c r="B249" s="461" t="s">
        <v>67</v>
      </c>
      <c r="C249" s="461"/>
      <c r="D249" s="461"/>
      <c r="E249" s="120"/>
      <c r="F249" s="120" t="s">
        <v>1181</v>
      </c>
      <c r="G249" s="120" t="s">
        <v>1484</v>
      </c>
      <c r="H249" s="120" t="s">
        <v>702</v>
      </c>
      <c r="I249" s="120"/>
      <c r="J249" s="100">
        <f>53.7/ATHENS!O1*ATHENS!O2</f>
        <v>97.63636363636364</v>
      </c>
      <c r="K249" s="100">
        <f>69.5/ATHENS!O1*ATHENS!O2</f>
        <v>126.36363636363636</v>
      </c>
      <c r="L249" s="100">
        <f>91.5/ATHENS!O1*ATHENS!O2</f>
        <v>166.36363636363635</v>
      </c>
      <c r="M249" s="100">
        <f>104.5/ATHENS!O1*ATHENS!O2</f>
        <v>189.99999999999997</v>
      </c>
      <c r="N249" s="100">
        <f>110.5/ATHENS!O1*ATHENS!O2</f>
        <v>200.90909090909091</v>
      </c>
    </row>
    <row r="250" spans="1:14" s="111" customFormat="1" ht="13.5" thickBot="1" x14ac:dyDescent="0.25">
      <c r="A250" s="121"/>
      <c r="B250" s="460" t="s">
        <v>1446</v>
      </c>
      <c r="C250" s="460"/>
      <c r="D250" s="460"/>
      <c r="E250" s="123"/>
      <c r="F250" s="123"/>
      <c r="G250" s="123"/>
      <c r="H250" s="123" t="s">
        <v>702</v>
      </c>
      <c r="I250" s="123"/>
      <c r="J250" s="105">
        <f>30/ATHENS!O1*ATHENS!O2</f>
        <v>54.54545454545454</v>
      </c>
      <c r="K250" s="105">
        <f>30/ATHENS!O1*ATHENS!O2</f>
        <v>54.54545454545454</v>
      </c>
      <c r="L250" s="105">
        <f>30/ATHENS!O1*ATHENS!O2</f>
        <v>54.54545454545454</v>
      </c>
      <c r="M250" s="105">
        <f>30/ATHENS!O1*ATHENS!O2</f>
        <v>54.54545454545454</v>
      </c>
      <c r="N250" s="105">
        <f>30/ATHENS!O1*ATHENS!O2</f>
        <v>54.54545454545454</v>
      </c>
    </row>
    <row r="251" spans="1:14" s="111" customFormat="1" ht="13.5" thickBot="1" x14ac:dyDescent="0.25">
      <c r="A251" s="108"/>
      <c r="B251" s="109"/>
      <c r="C251" s="109"/>
      <c r="D251" s="109"/>
      <c r="E251" s="110"/>
      <c r="F251" s="110"/>
      <c r="G251" s="110"/>
      <c r="H251" s="110"/>
      <c r="I251" s="110"/>
      <c r="J251" s="110"/>
      <c r="K251" s="110"/>
      <c r="L251" s="110"/>
      <c r="M251" s="110"/>
      <c r="N251" s="110"/>
    </row>
    <row r="252" spans="1:14" s="111" customFormat="1" ht="13.5" thickBot="1" x14ac:dyDescent="0.25">
      <c r="A252" s="112"/>
      <c r="B252" s="113"/>
      <c r="C252" s="113"/>
      <c r="D252" s="113"/>
      <c r="E252" s="114"/>
      <c r="F252" s="114"/>
      <c r="G252" s="114"/>
      <c r="H252" s="114"/>
      <c r="I252" s="114"/>
      <c r="J252" s="114"/>
      <c r="K252" s="114"/>
      <c r="L252" s="114"/>
      <c r="M252" s="114"/>
      <c r="N252" s="115"/>
    </row>
    <row r="253" spans="1:14" s="111" customFormat="1" ht="15.75" thickBot="1" x14ac:dyDescent="0.25">
      <c r="A253" s="116"/>
      <c r="B253" s="484" t="s">
        <v>1138</v>
      </c>
      <c r="C253" s="485"/>
      <c r="D253" s="485"/>
      <c r="E253" s="485"/>
      <c r="F253" s="485"/>
      <c r="G253" s="485"/>
      <c r="H253" s="485"/>
      <c r="I253" s="485"/>
      <c r="J253" s="485"/>
      <c r="K253" s="485"/>
      <c r="L253" s="485"/>
      <c r="M253" s="486"/>
      <c r="N253" s="117" t="s">
        <v>96</v>
      </c>
    </row>
    <row r="254" spans="1:14" s="111" customFormat="1" x14ac:dyDescent="0.2">
      <c r="A254" s="116"/>
      <c r="B254" s="118" t="s">
        <v>428</v>
      </c>
      <c r="C254" s="119" t="s">
        <v>1139</v>
      </c>
      <c r="D254" s="119"/>
      <c r="E254" s="120"/>
      <c r="F254" s="120"/>
      <c r="G254" s="120"/>
      <c r="H254" s="120"/>
      <c r="I254" s="120"/>
      <c r="J254" s="120"/>
      <c r="K254" s="120"/>
      <c r="L254" s="120"/>
      <c r="M254" s="120"/>
      <c r="N254" s="101"/>
    </row>
    <row r="255" spans="1:14" s="111" customFormat="1" x14ac:dyDescent="0.2">
      <c r="A255" s="116"/>
      <c r="B255" s="118" t="s">
        <v>429</v>
      </c>
      <c r="C255" s="119" t="s">
        <v>1012</v>
      </c>
      <c r="D255" s="119"/>
      <c r="E255" s="120"/>
      <c r="F255" s="120"/>
      <c r="G255" s="120"/>
      <c r="H255" s="120"/>
      <c r="I255" s="120"/>
      <c r="J255" s="120"/>
      <c r="K255" s="120"/>
      <c r="L255" s="120"/>
      <c r="M255" s="120"/>
      <c r="N255" s="101"/>
    </row>
    <row r="256" spans="1:14" s="111" customFormat="1" x14ac:dyDescent="0.2">
      <c r="A256" s="116"/>
      <c r="B256" s="118" t="s">
        <v>427</v>
      </c>
      <c r="C256" s="480" t="s">
        <v>1236</v>
      </c>
      <c r="D256" s="480"/>
      <c r="E256" s="480"/>
      <c r="F256" s="480"/>
      <c r="G256" s="480"/>
      <c r="H256" s="480"/>
      <c r="I256" s="480"/>
      <c r="J256" s="480"/>
      <c r="K256" s="480"/>
      <c r="L256" s="480"/>
      <c r="M256" s="480"/>
      <c r="N256" s="481"/>
    </row>
    <row r="257" spans="1:14" s="111" customFormat="1" x14ac:dyDescent="0.2">
      <c r="A257" s="116"/>
      <c r="B257" s="118"/>
      <c r="C257" s="480"/>
      <c r="D257" s="480"/>
      <c r="E257" s="480"/>
      <c r="F257" s="480"/>
      <c r="G257" s="480"/>
      <c r="H257" s="480"/>
      <c r="I257" s="480"/>
      <c r="J257" s="480"/>
      <c r="K257" s="480"/>
      <c r="L257" s="480"/>
      <c r="M257" s="480"/>
      <c r="N257" s="481"/>
    </row>
    <row r="258" spans="1:14" s="111" customFormat="1" x14ac:dyDescent="0.2">
      <c r="A258" s="116"/>
      <c r="B258" s="118"/>
      <c r="C258" s="480"/>
      <c r="D258" s="480"/>
      <c r="E258" s="480"/>
      <c r="F258" s="480"/>
      <c r="G258" s="480"/>
      <c r="H258" s="480"/>
      <c r="I258" s="480"/>
      <c r="J258" s="480"/>
      <c r="K258" s="480"/>
      <c r="L258" s="480"/>
      <c r="M258" s="480"/>
      <c r="N258" s="481"/>
    </row>
    <row r="259" spans="1:14" s="111" customFormat="1" x14ac:dyDescent="0.2">
      <c r="A259" s="116"/>
      <c r="B259" s="118"/>
      <c r="C259" s="480"/>
      <c r="D259" s="480"/>
      <c r="E259" s="480"/>
      <c r="F259" s="480"/>
      <c r="G259" s="480"/>
      <c r="H259" s="480"/>
      <c r="I259" s="480"/>
      <c r="J259" s="480"/>
      <c r="K259" s="480"/>
      <c r="L259" s="480"/>
      <c r="M259" s="480"/>
      <c r="N259" s="481"/>
    </row>
    <row r="260" spans="1:14" s="111" customFormat="1" ht="13.5" thickBot="1" x14ac:dyDescent="0.25">
      <c r="A260" s="116"/>
      <c r="B260" s="118" t="s">
        <v>426</v>
      </c>
      <c r="C260" s="119" t="s">
        <v>1140</v>
      </c>
      <c r="D260" s="119"/>
      <c r="E260" s="120"/>
      <c r="F260" s="120"/>
      <c r="G260" s="120"/>
      <c r="H260" s="120"/>
      <c r="I260" s="120"/>
      <c r="J260" s="120"/>
      <c r="K260" s="120"/>
      <c r="L260" s="120"/>
      <c r="M260" s="120"/>
      <c r="N260" s="101"/>
    </row>
    <row r="261" spans="1:14" s="111" customFormat="1" x14ac:dyDescent="0.2">
      <c r="A261" s="112"/>
      <c r="B261" s="113" t="s">
        <v>263</v>
      </c>
      <c r="C261" s="113"/>
      <c r="D261" s="113"/>
      <c r="E261" s="114"/>
      <c r="F261" s="114"/>
      <c r="G261" s="114"/>
      <c r="H261" s="114"/>
      <c r="I261" s="114"/>
      <c r="J261" s="126" t="s">
        <v>521</v>
      </c>
      <c r="K261" s="126" t="s">
        <v>291</v>
      </c>
      <c r="L261" s="126" t="s">
        <v>1150</v>
      </c>
      <c r="M261" s="126" t="s">
        <v>757</v>
      </c>
      <c r="N261" s="126"/>
    </row>
    <row r="262" spans="1:14" s="111" customFormat="1" ht="13.5" thickBot="1" x14ac:dyDescent="0.25">
      <c r="A262" s="121"/>
      <c r="B262" s="122"/>
      <c r="C262" s="122"/>
      <c r="D262" s="122"/>
      <c r="E262" s="123"/>
      <c r="F262" s="123"/>
      <c r="G262" s="123"/>
      <c r="H262" s="123"/>
      <c r="I262" s="123"/>
      <c r="J262" s="105" t="s">
        <v>756</v>
      </c>
      <c r="K262" s="105" t="s">
        <v>282</v>
      </c>
      <c r="L262" s="105" t="s">
        <v>292</v>
      </c>
      <c r="M262" s="105"/>
      <c r="N262" s="105"/>
    </row>
    <row r="263" spans="1:14" s="111" customFormat="1" x14ac:dyDescent="0.2">
      <c r="A263" s="112"/>
      <c r="B263" s="467" t="s">
        <v>829</v>
      </c>
      <c r="C263" s="467"/>
      <c r="D263" s="467"/>
      <c r="E263" s="114"/>
      <c r="F263" s="114" t="s">
        <v>1180</v>
      </c>
      <c r="G263" s="114" t="s">
        <v>68</v>
      </c>
      <c r="H263" s="114" t="s">
        <v>702</v>
      </c>
      <c r="I263" s="114"/>
      <c r="J263" s="100">
        <f>63.5/ATHENS!O1*ATHENS!O2</f>
        <v>115.45454545454544</v>
      </c>
      <c r="K263" s="100">
        <f>93.5/ATHENS!O1*ATHENS!O2</f>
        <v>170</v>
      </c>
      <c r="L263" s="100">
        <f>131.9/ATHENS!O1*ATHENS!O2</f>
        <v>239.81818181818181</v>
      </c>
      <c r="M263" s="100">
        <f>149.8/ATHENS!O1*ATHENS!O2</f>
        <v>272.36363636363637</v>
      </c>
      <c r="N263" s="100"/>
    </row>
    <row r="264" spans="1:14" s="111" customFormat="1" x14ac:dyDescent="0.2">
      <c r="A264" s="116"/>
      <c r="B264" s="461" t="s">
        <v>829</v>
      </c>
      <c r="C264" s="461"/>
      <c r="D264" s="461"/>
      <c r="E264" s="120"/>
      <c r="F264" s="120" t="s">
        <v>1181</v>
      </c>
      <c r="G264" s="120" t="s">
        <v>68</v>
      </c>
      <c r="H264" s="120" t="s">
        <v>702</v>
      </c>
      <c r="I264" s="120"/>
      <c r="J264" s="100">
        <f>39.7/ATHENS!O1*ATHENS!O2</f>
        <v>72.181818181818187</v>
      </c>
      <c r="K264" s="100">
        <f>58.5/ATHENS!O1*ATHENS!O2</f>
        <v>106.36363636363636</v>
      </c>
      <c r="L264" s="100">
        <f>82.5/ATHENS!O1*ATHENS!O2</f>
        <v>150</v>
      </c>
      <c r="M264" s="100">
        <f>93.6/ATHENS!O1*ATHENS!O2</f>
        <v>170.18181818181816</v>
      </c>
      <c r="N264" s="100"/>
    </row>
    <row r="265" spans="1:14" s="111" customFormat="1" ht="13.5" thickBot="1" x14ac:dyDescent="0.25">
      <c r="A265" s="121"/>
      <c r="B265" s="460" t="s">
        <v>829</v>
      </c>
      <c r="C265" s="460"/>
      <c r="D265" s="460"/>
      <c r="E265" s="123"/>
      <c r="F265" s="123" t="s">
        <v>1182</v>
      </c>
      <c r="G265" s="123" t="s">
        <v>68</v>
      </c>
      <c r="H265" s="123" t="s">
        <v>702</v>
      </c>
      <c r="I265" s="123"/>
      <c r="J265" s="105">
        <f>36/ATHENS!O1*ATHENS!O2</f>
        <v>65.454545454545453</v>
      </c>
      <c r="K265" s="105">
        <f>52.6/ATHENS!O1*ATHENS!O2</f>
        <v>95.636363636363626</v>
      </c>
      <c r="L265" s="105">
        <f>74.5/ATHENS!O1*ATHENS!O2</f>
        <v>135.45454545454544</v>
      </c>
      <c r="M265" s="105">
        <f>84.6/ATHENS!O1*ATHENS!O2</f>
        <v>153.81818181818178</v>
      </c>
      <c r="N265" s="105"/>
    </row>
    <row r="266" spans="1:14" s="111" customFormat="1" ht="13.5" thickBot="1" x14ac:dyDescent="0.25">
      <c r="A266" s="108"/>
      <c r="B266" s="109"/>
      <c r="C266" s="109"/>
      <c r="D266" s="109"/>
      <c r="E266" s="110"/>
      <c r="F266" s="110"/>
      <c r="G266" s="110"/>
      <c r="H266" s="110"/>
      <c r="I266" s="110"/>
      <c r="J266" s="110"/>
      <c r="K266" s="110"/>
      <c r="L266" s="110"/>
      <c r="M266" s="110"/>
      <c r="N266" s="110"/>
    </row>
    <row r="267" spans="1:14" s="111" customFormat="1" ht="13.5" thickBot="1" x14ac:dyDescent="0.25">
      <c r="A267" s="112"/>
      <c r="B267" s="113"/>
      <c r="C267" s="113"/>
      <c r="D267" s="113"/>
      <c r="E267" s="114"/>
      <c r="F267" s="114"/>
      <c r="G267" s="114"/>
      <c r="H267" s="114"/>
      <c r="I267" s="114"/>
      <c r="J267" s="114"/>
      <c r="K267" s="114"/>
      <c r="L267" s="114"/>
      <c r="M267" s="114"/>
      <c r="N267" s="115"/>
    </row>
    <row r="268" spans="1:14" s="111" customFormat="1" ht="15.75" thickBot="1" x14ac:dyDescent="0.25">
      <c r="A268" s="116"/>
      <c r="B268" s="484" t="s">
        <v>1013</v>
      </c>
      <c r="C268" s="485"/>
      <c r="D268" s="485"/>
      <c r="E268" s="485"/>
      <c r="F268" s="485"/>
      <c r="G268" s="485"/>
      <c r="H268" s="485"/>
      <c r="I268" s="485"/>
      <c r="J268" s="485"/>
      <c r="K268" s="485"/>
      <c r="L268" s="485"/>
      <c r="M268" s="486"/>
      <c r="N268" s="117" t="s">
        <v>96</v>
      </c>
    </row>
    <row r="269" spans="1:14" s="111" customFormat="1" x14ac:dyDescent="0.2">
      <c r="A269" s="116"/>
      <c r="B269" s="118" t="s">
        <v>428</v>
      </c>
      <c r="C269" s="119" t="s">
        <v>1014</v>
      </c>
      <c r="D269" s="119"/>
      <c r="E269" s="120"/>
      <c r="F269" s="120"/>
      <c r="G269" s="120"/>
      <c r="H269" s="120"/>
      <c r="I269" s="120"/>
      <c r="J269" s="120"/>
      <c r="K269" s="120"/>
      <c r="L269" s="120"/>
      <c r="M269" s="120"/>
      <c r="N269" s="101"/>
    </row>
    <row r="270" spans="1:14" s="111" customFormat="1" x14ac:dyDescent="0.2">
      <c r="A270" s="116"/>
      <c r="B270" s="118" t="s">
        <v>429</v>
      </c>
      <c r="C270" s="119" t="s">
        <v>425</v>
      </c>
      <c r="D270" s="119"/>
      <c r="E270" s="120"/>
      <c r="F270" s="120"/>
      <c r="G270" s="120"/>
      <c r="H270" s="120"/>
      <c r="I270" s="120"/>
      <c r="J270" s="120"/>
      <c r="K270" s="120"/>
      <c r="L270" s="120"/>
      <c r="M270" s="120"/>
      <c r="N270" s="101"/>
    </row>
    <row r="271" spans="1:14" s="111" customFormat="1" x14ac:dyDescent="0.2">
      <c r="A271" s="116"/>
      <c r="B271" s="118" t="s">
        <v>427</v>
      </c>
      <c r="C271" s="480" t="s">
        <v>952</v>
      </c>
      <c r="D271" s="480"/>
      <c r="E271" s="480"/>
      <c r="F271" s="480"/>
      <c r="G271" s="480"/>
      <c r="H271" s="480"/>
      <c r="I271" s="480"/>
      <c r="J271" s="480"/>
      <c r="K271" s="480"/>
      <c r="L271" s="480"/>
      <c r="M271" s="480"/>
      <c r="N271" s="481"/>
    </row>
    <row r="272" spans="1:14" s="111" customFormat="1" x14ac:dyDescent="0.2">
      <c r="A272" s="116"/>
      <c r="B272" s="118"/>
      <c r="C272" s="480"/>
      <c r="D272" s="480"/>
      <c r="E272" s="480"/>
      <c r="F272" s="480"/>
      <c r="G272" s="480"/>
      <c r="H272" s="480"/>
      <c r="I272" s="480"/>
      <c r="J272" s="480"/>
      <c r="K272" s="480"/>
      <c r="L272" s="480"/>
      <c r="M272" s="480"/>
      <c r="N272" s="481"/>
    </row>
    <row r="273" spans="1:14" s="111" customFormat="1" x14ac:dyDescent="0.2">
      <c r="A273" s="116"/>
      <c r="B273" s="109"/>
      <c r="C273" s="480"/>
      <c r="D273" s="480"/>
      <c r="E273" s="480"/>
      <c r="F273" s="480"/>
      <c r="G273" s="480"/>
      <c r="H273" s="480"/>
      <c r="I273" s="480"/>
      <c r="J273" s="480"/>
      <c r="K273" s="480"/>
      <c r="L273" s="480"/>
      <c r="M273" s="480"/>
      <c r="N273" s="481"/>
    </row>
    <row r="274" spans="1:14" s="111" customFormat="1" ht="13.5" thickBot="1" x14ac:dyDescent="0.25">
      <c r="A274" s="116"/>
      <c r="B274" s="118" t="s">
        <v>426</v>
      </c>
      <c r="C274" s="119" t="s">
        <v>1015</v>
      </c>
      <c r="D274" s="119"/>
      <c r="E274" s="120"/>
      <c r="F274" s="120"/>
      <c r="G274" s="120"/>
      <c r="H274" s="120"/>
      <c r="I274" s="120"/>
      <c r="J274" s="120"/>
      <c r="K274" s="120"/>
      <c r="L274" s="120"/>
      <c r="M274" s="120"/>
      <c r="N274" s="101"/>
    </row>
    <row r="275" spans="1:14" s="111" customFormat="1" x14ac:dyDescent="0.2">
      <c r="A275" s="112"/>
      <c r="B275" s="113" t="s">
        <v>263</v>
      </c>
      <c r="C275" s="113"/>
      <c r="D275" s="113"/>
      <c r="E275" s="114"/>
      <c r="F275" s="114"/>
      <c r="G275" s="114"/>
      <c r="H275" s="114"/>
      <c r="I275" s="114"/>
      <c r="J275" s="127" t="s">
        <v>521</v>
      </c>
      <c r="K275" s="126" t="s">
        <v>246</v>
      </c>
      <c r="L275" s="126" t="s">
        <v>751</v>
      </c>
      <c r="M275" s="126" t="s">
        <v>1150</v>
      </c>
      <c r="N275" s="126"/>
    </row>
    <row r="276" spans="1:14" s="111" customFormat="1" ht="13.5" thickBot="1" x14ac:dyDescent="0.25">
      <c r="A276" s="121"/>
      <c r="B276" s="122"/>
      <c r="C276" s="122"/>
      <c r="D276" s="122"/>
      <c r="E276" s="123"/>
      <c r="F276" s="123"/>
      <c r="G276" s="123"/>
      <c r="H276" s="123"/>
      <c r="I276" s="123"/>
      <c r="J276" s="125" t="s">
        <v>833</v>
      </c>
      <c r="K276" s="105" t="s">
        <v>1222</v>
      </c>
      <c r="L276" s="105" t="s">
        <v>341</v>
      </c>
      <c r="M276" s="105" t="s">
        <v>520</v>
      </c>
      <c r="N276" s="105" t="s">
        <v>123</v>
      </c>
    </row>
    <row r="277" spans="1:14" s="111" customFormat="1" x14ac:dyDescent="0.2">
      <c r="A277" s="112"/>
      <c r="B277" s="467" t="s">
        <v>67</v>
      </c>
      <c r="C277" s="467"/>
      <c r="D277" s="467"/>
      <c r="E277" s="114"/>
      <c r="F277" s="114" t="s">
        <v>1180</v>
      </c>
      <c r="G277" s="114" t="s">
        <v>68</v>
      </c>
      <c r="H277" s="114" t="s">
        <v>702</v>
      </c>
      <c r="I277" s="114"/>
      <c r="J277" s="100">
        <f>55.5/ATHENS!O1*ATHENS!O2</f>
        <v>100.90909090909091</v>
      </c>
      <c r="K277" s="100">
        <f>68.8/ATHENS!O1*ATHENS!O2</f>
        <v>125.09090909090908</v>
      </c>
      <c r="L277" s="100">
        <f>90.5/ATHENS!O1*ATHENS!O2</f>
        <v>164.54545454545453</v>
      </c>
      <c r="M277" s="100">
        <f>105.5/ATHENS!O1*ATHENS!O2</f>
        <v>191.81818181818181</v>
      </c>
      <c r="N277" s="126">
        <f>136/ATHENS!O1*ATHENS!O2</f>
        <v>247.27272727272725</v>
      </c>
    </row>
    <row r="278" spans="1:14" s="111" customFormat="1" x14ac:dyDescent="0.2">
      <c r="A278" s="116"/>
      <c r="B278" s="461" t="s">
        <v>67</v>
      </c>
      <c r="C278" s="461"/>
      <c r="D278" s="461"/>
      <c r="E278" s="120"/>
      <c r="F278" s="120" t="s">
        <v>1181</v>
      </c>
      <c r="G278" s="120" t="s">
        <v>68</v>
      </c>
      <c r="H278" s="120" t="s">
        <v>702</v>
      </c>
      <c r="I278" s="120"/>
      <c r="J278" s="100">
        <f>48.5/ATHENS!O1*ATHENS!O2</f>
        <v>88.181818181818173</v>
      </c>
      <c r="K278" s="100">
        <f>59.5/ATHENS!O1*ATHENS!O2</f>
        <v>108.18181818181817</v>
      </c>
      <c r="L278" s="100">
        <f>75.5/ATHENS!O1*ATHENS!O2</f>
        <v>137.27272727272725</v>
      </c>
      <c r="M278" s="100">
        <f>87.5/ATHENS!O1*ATHENS!O2</f>
        <v>159.09090909090907</v>
      </c>
      <c r="N278" s="100">
        <f>111/ATHENS!O1*ATHENS!O2</f>
        <v>201.81818181818181</v>
      </c>
    </row>
    <row r="279" spans="1:14" s="111" customFormat="1" ht="13.5" thickBot="1" x14ac:dyDescent="0.25">
      <c r="A279" s="121"/>
      <c r="B279" s="460" t="s">
        <v>67</v>
      </c>
      <c r="C279" s="460"/>
      <c r="D279" s="460"/>
      <c r="E279" s="123"/>
      <c r="F279" s="123" t="s">
        <v>1182</v>
      </c>
      <c r="G279" s="123" t="s">
        <v>68</v>
      </c>
      <c r="H279" s="123" t="s">
        <v>702</v>
      </c>
      <c r="I279" s="123"/>
      <c r="J279" s="105">
        <f>44.5/ATHENS!O1*ATHENS!O2</f>
        <v>80.909090909090907</v>
      </c>
      <c r="K279" s="105">
        <f>54/ATHENS!O1*ATHENS!O2</f>
        <v>98.181818181818173</v>
      </c>
      <c r="L279" s="105">
        <f>68.5/ATHENS!O1*ATHENS!O2</f>
        <v>124.54545454545453</v>
      </c>
      <c r="M279" s="105">
        <f>79.5/ATHENS!O1*ATHENS!O2</f>
        <v>144.54545454545453</v>
      </c>
      <c r="N279" s="105">
        <f>99.9/ATHENS!O1*ATHENS!O2</f>
        <v>181.63636363636363</v>
      </c>
    </row>
    <row r="280" spans="1:14" s="111" customFormat="1" x14ac:dyDescent="0.2">
      <c r="A280" s="239"/>
      <c r="B280" s="119"/>
      <c r="C280" s="119"/>
      <c r="D280" s="119"/>
      <c r="E280" s="120"/>
      <c r="F280" s="120"/>
      <c r="G280" s="120"/>
      <c r="H280" s="120"/>
      <c r="I280" s="120"/>
      <c r="J280" s="120"/>
      <c r="K280" s="120"/>
      <c r="L280" s="120"/>
      <c r="M280" s="120"/>
      <c r="N280" s="120"/>
    </row>
    <row r="281" spans="1:14" s="111" customFormat="1" x14ac:dyDescent="0.2">
      <c r="A281" s="239"/>
      <c r="B281" s="119"/>
      <c r="C281" s="119"/>
      <c r="D281" s="119"/>
      <c r="E281" s="120"/>
      <c r="F281" s="120"/>
      <c r="G281" s="120"/>
      <c r="H281" s="120"/>
      <c r="I281" s="120"/>
      <c r="J281" s="120"/>
      <c r="K281" s="120"/>
      <c r="L281" s="120"/>
      <c r="M281" s="120"/>
      <c r="N281" s="120"/>
    </row>
    <row r="282" spans="1:14" s="111" customFormat="1" x14ac:dyDescent="0.2">
      <c r="A282" s="239"/>
      <c r="B282" s="119"/>
      <c r="C282" s="119"/>
      <c r="D282" s="119"/>
      <c r="E282" s="120"/>
      <c r="F282" s="120"/>
      <c r="G282" s="120"/>
      <c r="H282" s="120"/>
      <c r="I282" s="120"/>
      <c r="J282" s="120"/>
      <c r="K282" s="120"/>
      <c r="L282" s="120"/>
      <c r="M282" s="120"/>
      <c r="N282" s="120"/>
    </row>
    <row r="283" spans="1:14" s="111" customFormat="1" x14ac:dyDescent="0.2">
      <c r="A283" s="239"/>
      <c r="B283" s="119"/>
      <c r="C283" s="119"/>
      <c r="D283" s="119"/>
      <c r="E283" s="120"/>
      <c r="F283" s="120"/>
      <c r="G283" s="120"/>
      <c r="H283" s="120"/>
      <c r="I283" s="120"/>
      <c r="J283" s="120"/>
      <c r="K283" s="120"/>
      <c r="L283" s="120"/>
      <c r="M283" s="120"/>
      <c r="N283" s="120"/>
    </row>
    <row r="284" spans="1:14" s="111" customFormat="1" x14ac:dyDescent="0.2">
      <c r="A284" s="239"/>
      <c r="B284" s="119"/>
      <c r="C284" s="119"/>
      <c r="D284" s="119"/>
      <c r="E284" s="120"/>
      <c r="F284" s="120"/>
      <c r="G284" s="120"/>
      <c r="H284" s="120"/>
      <c r="I284" s="120"/>
      <c r="J284" s="120"/>
      <c r="K284" s="120"/>
      <c r="L284" s="120"/>
      <c r="M284" s="120"/>
      <c r="N284" s="120"/>
    </row>
    <row r="285" spans="1:14" s="111" customFormat="1" x14ac:dyDescent="0.2">
      <c r="A285" s="239"/>
      <c r="B285" s="119"/>
      <c r="C285" s="119"/>
      <c r="D285" s="119"/>
      <c r="E285" s="120"/>
      <c r="F285" s="120"/>
      <c r="G285" s="120"/>
      <c r="H285" s="120"/>
      <c r="I285" s="120"/>
      <c r="J285" s="120"/>
      <c r="K285" s="120"/>
      <c r="L285" s="120"/>
      <c r="M285" s="120"/>
      <c r="N285" s="120"/>
    </row>
    <row r="286" spans="1:14" s="111" customFormat="1" x14ac:dyDescent="0.2">
      <c r="A286" s="239"/>
      <c r="B286" s="119"/>
      <c r="C286" s="119"/>
      <c r="D286" s="119"/>
      <c r="E286" s="120"/>
      <c r="F286" s="120"/>
      <c r="G286" s="120"/>
      <c r="H286" s="120"/>
      <c r="I286" s="120"/>
      <c r="J286" s="120"/>
      <c r="K286" s="120"/>
      <c r="L286" s="120"/>
      <c r="M286" s="120"/>
      <c r="N286" s="120"/>
    </row>
    <row r="287" spans="1:14" s="111" customFormat="1" x14ac:dyDescent="0.2">
      <c r="A287" s="239"/>
      <c r="B287" s="119"/>
      <c r="C287" s="119"/>
      <c r="D287" s="119"/>
      <c r="E287" s="120"/>
      <c r="F287" s="120"/>
      <c r="G287" s="120"/>
      <c r="H287" s="120"/>
      <c r="I287" s="120"/>
      <c r="J287" s="120"/>
      <c r="K287" s="120"/>
      <c r="L287" s="120"/>
      <c r="M287" s="120"/>
      <c r="N287" s="120"/>
    </row>
    <row r="288" spans="1:14" s="111" customFormat="1" x14ac:dyDescent="0.2">
      <c r="A288" s="239"/>
      <c r="B288" s="119"/>
      <c r="C288" s="119"/>
      <c r="D288" s="119"/>
      <c r="E288" s="120"/>
      <c r="F288" s="120"/>
      <c r="G288" s="120"/>
      <c r="H288" s="120"/>
      <c r="I288" s="120"/>
      <c r="J288" s="120"/>
      <c r="K288" s="120"/>
      <c r="L288" s="120"/>
      <c r="M288" s="120"/>
      <c r="N288" s="120"/>
    </row>
    <row r="289" spans="1:14" s="111" customFormat="1" x14ac:dyDescent="0.2">
      <c r="A289" s="239"/>
      <c r="B289" s="119"/>
      <c r="C289" s="119"/>
      <c r="D289" s="119"/>
      <c r="E289" s="120"/>
      <c r="F289" s="120"/>
      <c r="G289" s="120"/>
      <c r="H289" s="120"/>
      <c r="I289" s="120"/>
      <c r="J289" s="120"/>
      <c r="K289" s="120"/>
      <c r="L289" s="120"/>
      <c r="M289" s="120"/>
      <c r="N289" s="120"/>
    </row>
    <row r="290" spans="1:14" s="111" customFormat="1" x14ac:dyDescent="0.2">
      <c r="A290" s="239"/>
      <c r="B290" s="119"/>
      <c r="C290" s="119"/>
      <c r="D290" s="119"/>
      <c r="E290" s="120"/>
      <c r="F290" s="120"/>
      <c r="G290" s="120"/>
      <c r="H290" s="120"/>
      <c r="I290" s="120"/>
      <c r="J290" s="120"/>
      <c r="K290" s="120"/>
      <c r="L290" s="120"/>
      <c r="M290" s="120"/>
      <c r="N290" s="120"/>
    </row>
    <row r="291" spans="1:14" s="111" customFormat="1" x14ac:dyDescent="0.2">
      <c r="A291" s="239"/>
      <c r="B291" s="119"/>
      <c r="C291" s="119"/>
      <c r="D291" s="119"/>
      <c r="E291" s="120"/>
      <c r="F291" s="120"/>
      <c r="G291" s="120"/>
      <c r="H291" s="120"/>
      <c r="I291" s="120"/>
      <c r="J291" s="120"/>
      <c r="K291" s="120"/>
      <c r="L291" s="120"/>
      <c r="M291" s="120"/>
      <c r="N291" s="120"/>
    </row>
    <row r="292" spans="1:14" s="111" customFormat="1" x14ac:dyDescent="0.2">
      <c r="A292" s="239"/>
      <c r="B292" s="119"/>
      <c r="C292" s="119"/>
      <c r="D292" s="119"/>
      <c r="E292" s="120"/>
      <c r="F292" s="120"/>
      <c r="G292" s="120"/>
      <c r="H292" s="120"/>
      <c r="I292" s="120"/>
      <c r="J292" s="120"/>
      <c r="K292" s="120"/>
      <c r="L292" s="120"/>
      <c r="M292" s="120"/>
      <c r="N292" s="120"/>
    </row>
    <row r="293" spans="1:14" s="111" customFormat="1" x14ac:dyDescent="0.2">
      <c r="A293" s="239"/>
      <c r="B293" s="119"/>
      <c r="C293" s="119"/>
      <c r="D293" s="119"/>
      <c r="E293" s="120"/>
      <c r="F293" s="120"/>
      <c r="G293" s="120"/>
      <c r="H293" s="120"/>
      <c r="I293" s="120"/>
      <c r="J293" s="120"/>
      <c r="K293" s="120"/>
      <c r="L293" s="120"/>
      <c r="M293" s="120"/>
      <c r="N293" s="120"/>
    </row>
    <row r="294" spans="1:14" s="111" customFormat="1" x14ac:dyDescent="0.2">
      <c r="A294" s="239"/>
      <c r="B294" s="119"/>
      <c r="C294" s="119"/>
      <c r="D294" s="119"/>
      <c r="E294" s="120"/>
      <c r="F294" s="120"/>
      <c r="G294" s="120"/>
      <c r="H294" s="120"/>
      <c r="I294" s="120"/>
      <c r="J294" s="120"/>
      <c r="K294" s="120"/>
      <c r="L294" s="120"/>
      <c r="M294" s="120"/>
      <c r="N294" s="120"/>
    </row>
    <row r="295" spans="1:14" s="111" customFormat="1" x14ac:dyDescent="0.2">
      <c r="A295" s="239"/>
      <c r="B295" s="119"/>
      <c r="C295" s="119"/>
      <c r="D295" s="119"/>
      <c r="E295" s="120"/>
      <c r="F295" s="120"/>
      <c r="G295" s="120"/>
      <c r="H295" s="120"/>
      <c r="I295" s="120"/>
      <c r="J295" s="120"/>
      <c r="K295" s="120"/>
      <c r="L295" s="120"/>
      <c r="M295" s="120"/>
      <c r="N295" s="120"/>
    </row>
    <row r="296" spans="1:14" s="111" customFormat="1" x14ac:dyDescent="0.2">
      <c r="A296" s="239"/>
      <c r="B296" s="119"/>
      <c r="C296" s="119"/>
      <c r="D296" s="119"/>
      <c r="E296" s="120"/>
      <c r="F296" s="120"/>
      <c r="G296" s="120"/>
      <c r="H296" s="120"/>
      <c r="I296" s="120"/>
      <c r="J296" s="120"/>
      <c r="K296" s="120"/>
      <c r="L296" s="120"/>
      <c r="M296" s="120"/>
      <c r="N296" s="120"/>
    </row>
    <row r="297" spans="1:14" s="111" customFormat="1" ht="13.5" thickBot="1" x14ac:dyDescent="0.25">
      <c r="A297" s="108"/>
      <c r="B297" s="109"/>
      <c r="C297" s="109"/>
      <c r="D297" s="109"/>
      <c r="E297" s="110"/>
      <c r="F297" s="110"/>
      <c r="G297" s="110"/>
      <c r="H297" s="110"/>
      <c r="I297" s="110"/>
      <c r="J297" s="110"/>
      <c r="K297" s="110"/>
      <c r="L297" s="110"/>
      <c r="M297" s="110"/>
      <c r="N297" s="110"/>
    </row>
    <row r="298" spans="1:14" s="111" customFormat="1" ht="13.5" thickBot="1" x14ac:dyDescent="0.25">
      <c r="A298" s="112"/>
      <c r="B298" s="113"/>
      <c r="C298" s="113"/>
      <c r="D298" s="113"/>
      <c r="E298" s="114"/>
      <c r="F298" s="114"/>
      <c r="G298" s="114"/>
      <c r="H298" s="114"/>
      <c r="I298" s="114"/>
      <c r="J298" s="114"/>
      <c r="K298" s="114"/>
      <c r="L298" s="114"/>
      <c r="M298" s="114"/>
      <c r="N298" s="115"/>
    </row>
    <row r="299" spans="1:14" s="111" customFormat="1" ht="15.75" thickBot="1" x14ac:dyDescent="0.25">
      <c r="A299" s="116"/>
      <c r="B299" s="484" t="s">
        <v>917</v>
      </c>
      <c r="C299" s="485"/>
      <c r="D299" s="485"/>
      <c r="E299" s="485"/>
      <c r="F299" s="485"/>
      <c r="G299" s="485"/>
      <c r="H299" s="485"/>
      <c r="I299" s="485"/>
      <c r="J299" s="485"/>
      <c r="K299" s="485"/>
      <c r="L299" s="485"/>
      <c r="M299" s="486"/>
      <c r="N299" s="117" t="s">
        <v>664</v>
      </c>
    </row>
    <row r="300" spans="1:14" s="111" customFormat="1" x14ac:dyDescent="0.2">
      <c r="A300" s="116"/>
      <c r="B300" s="118" t="s">
        <v>428</v>
      </c>
      <c r="C300" s="119" t="s">
        <v>918</v>
      </c>
      <c r="D300" s="119"/>
      <c r="E300" s="120"/>
      <c r="F300" s="120"/>
      <c r="G300" s="120"/>
      <c r="H300" s="120"/>
      <c r="I300" s="120"/>
      <c r="J300" s="120"/>
      <c r="K300" s="120"/>
      <c r="L300" s="120"/>
      <c r="M300" s="120"/>
      <c r="N300" s="101"/>
    </row>
    <row r="301" spans="1:14" s="111" customFormat="1" x14ac:dyDescent="0.2">
      <c r="A301" s="116"/>
      <c r="B301" s="118" t="s">
        <v>429</v>
      </c>
      <c r="C301" s="119" t="s">
        <v>784</v>
      </c>
      <c r="D301" s="119"/>
      <c r="E301" s="120"/>
      <c r="F301" s="120"/>
      <c r="G301" s="120"/>
      <c r="H301" s="120"/>
      <c r="I301" s="120"/>
      <c r="J301" s="120"/>
      <c r="K301" s="120"/>
      <c r="L301" s="120"/>
      <c r="M301" s="120"/>
      <c r="N301" s="101"/>
    </row>
    <row r="302" spans="1:14" s="111" customFormat="1" x14ac:dyDescent="0.2">
      <c r="A302" s="116"/>
      <c r="B302" s="118" t="s">
        <v>427</v>
      </c>
      <c r="C302" s="480" t="s">
        <v>1237</v>
      </c>
      <c r="D302" s="480"/>
      <c r="E302" s="480"/>
      <c r="F302" s="480"/>
      <c r="G302" s="480"/>
      <c r="H302" s="480"/>
      <c r="I302" s="480"/>
      <c r="J302" s="480"/>
      <c r="K302" s="480"/>
      <c r="L302" s="480"/>
      <c r="M302" s="480"/>
      <c r="N302" s="481"/>
    </row>
    <row r="303" spans="1:14" s="111" customFormat="1" x14ac:dyDescent="0.2">
      <c r="A303" s="116"/>
      <c r="B303" s="118"/>
      <c r="C303" s="480"/>
      <c r="D303" s="480"/>
      <c r="E303" s="480"/>
      <c r="F303" s="480"/>
      <c r="G303" s="480"/>
      <c r="H303" s="480"/>
      <c r="I303" s="480"/>
      <c r="J303" s="480"/>
      <c r="K303" s="480"/>
      <c r="L303" s="480"/>
      <c r="M303" s="480"/>
      <c r="N303" s="481"/>
    </row>
    <row r="304" spans="1:14" s="111" customFormat="1" x14ac:dyDescent="0.2">
      <c r="A304" s="116"/>
      <c r="B304" s="109"/>
      <c r="C304" s="480"/>
      <c r="D304" s="480"/>
      <c r="E304" s="480"/>
      <c r="F304" s="480"/>
      <c r="G304" s="480"/>
      <c r="H304" s="480"/>
      <c r="I304" s="480"/>
      <c r="J304" s="480"/>
      <c r="K304" s="480"/>
      <c r="L304" s="480"/>
      <c r="M304" s="480"/>
      <c r="N304" s="481"/>
    </row>
    <row r="305" spans="1:14" s="111" customFormat="1" ht="13.5" thickBot="1" x14ac:dyDescent="0.25">
      <c r="A305" s="116"/>
      <c r="B305" s="118" t="s">
        <v>426</v>
      </c>
      <c r="C305" s="119" t="s">
        <v>667</v>
      </c>
      <c r="D305" s="119"/>
      <c r="E305" s="120"/>
      <c r="F305" s="120"/>
      <c r="G305" s="120"/>
      <c r="H305" s="120"/>
      <c r="I305" s="120"/>
      <c r="J305" s="120"/>
      <c r="K305" s="120"/>
      <c r="L305" s="120"/>
      <c r="M305" s="120"/>
      <c r="N305" s="101"/>
    </row>
    <row r="306" spans="1:14" s="111" customFormat="1" x14ac:dyDescent="0.2">
      <c r="A306" s="112"/>
      <c r="B306" s="113" t="s">
        <v>263</v>
      </c>
      <c r="C306" s="113"/>
      <c r="D306" s="113"/>
      <c r="E306" s="114"/>
      <c r="F306" s="114"/>
      <c r="G306" s="114"/>
      <c r="H306" s="114"/>
      <c r="I306" s="114"/>
      <c r="J306" s="127" t="s">
        <v>753</v>
      </c>
      <c r="K306" s="126"/>
      <c r="L306" s="126" t="s">
        <v>751</v>
      </c>
      <c r="M306" s="126"/>
      <c r="N306" s="126"/>
    </row>
    <row r="307" spans="1:14" s="111" customFormat="1" ht="13.5" thickBot="1" x14ac:dyDescent="0.25">
      <c r="A307" s="121"/>
      <c r="B307" s="122"/>
      <c r="C307" s="122"/>
      <c r="D307" s="122"/>
      <c r="E307" s="123"/>
      <c r="F307" s="123"/>
      <c r="G307" s="123"/>
      <c r="H307" s="123"/>
      <c r="I307" s="123"/>
      <c r="J307" s="125" t="s">
        <v>481</v>
      </c>
      <c r="K307" s="105" t="s">
        <v>758</v>
      </c>
      <c r="L307" s="105" t="s">
        <v>341</v>
      </c>
      <c r="M307" s="105" t="s">
        <v>2031</v>
      </c>
      <c r="N307" s="105"/>
    </row>
    <row r="308" spans="1:14" s="111" customFormat="1" x14ac:dyDescent="0.2">
      <c r="A308" s="112"/>
      <c r="B308" s="467" t="s">
        <v>67</v>
      </c>
      <c r="C308" s="467"/>
      <c r="D308" s="467"/>
      <c r="E308" s="114"/>
      <c r="F308" s="114" t="s">
        <v>1180</v>
      </c>
      <c r="G308" s="114" t="s">
        <v>1484</v>
      </c>
      <c r="H308" s="114" t="s">
        <v>702</v>
      </c>
      <c r="I308" s="114"/>
      <c r="J308" s="100">
        <f>40.5/ATHENS!O1*ATHENS!O2</f>
        <v>73.636363636363626</v>
      </c>
      <c r="K308" s="100">
        <f>56.9/ATHENS!O1*ATHENS!O2</f>
        <v>103.45454545454544</v>
      </c>
      <c r="L308" s="100">
        <f>71.5/ATHENS!O1*ATHENS!O2</f>
        <v>130</v>
      </c>
      <c r="M308" s="100">
        <f>94.5/ATHENS!O1*ATHENS!O2</f>
        <v>171.81818181818181</v>
      </c>
      <c r="N308" s="100"/>
    </row>
    <row r="309" spans="1:14" s="111" customFormat="1" x14ac:dyDescent="0.2">
      <c r="A309" s="116"/>
      <c r="B309" s="461" t="s">
        <v>67</v>
      </c>
      <c r="C309" s="461"/>
      <c r="D309" s="461"/>
      <c r="E309" s="120"/>
      <c r="F309" s="120" t="s">
        <v>1181</v>
      </c>
      <c r="G309" s="120" t="s">
        <v>1484</v>
      </c>
      <c r="H309" s="120" t="s">
        <v>702</v>
      </c>
      <c r="I309" s="120"/>
      <c r="J309" s="100">
        <f>20.5/ATHENS!O1*ATHENS!O2</f>
        <v>37.272727272727266</v>
      </c>
      <c r="K309" s="100">
        <f>28.5/ATHENS!O1*ATHENS!O2</f>
        <v>51.818181818181813</v>
      </c>
      <c r="L309" s="100">
        <f>35.6/ATHENS!O1*ATHENS!O2</f>
        <v>64.72727272727272</v>
      </c>
      <c r="M309" s="100">
        <f>47.5/ATHENS!O1*ATHENS!O2</f>
        <v>86.36363636363636</v>
      </c>
      <c r="N309" s="100"/>
    </row>
    <row r="310" spans="1:14" s="111" customFormat="1" ht="13.5" thickBot="1" x14ac:dyDescent="0.25">
      <c r="A310" s="121"/>
      <c r="B310" s="460" t="s">
        <v>67</v>
      </c>
      <c r="C310" s="460"/>
      <c r="D310" s="460"/>
      <c r="E310" s="123"/>
      <c r="F310" s="123" t="s">
        <v>1182</v>
      </c>
      <c r="G310" s="123" t="s">
        <v>1484</v>
      </c>
      <c r="H310" s="123" t="s">
        <v>702</v>
      </c>
      <c r="I310" s="123"/>
      <c r="J310" s="105">
        <f>18.5/ATHENS!O1*ATHENS!O2</f>
        <v>33.636363636363633</v>
      </c>
      <c r="K310" s="105">
        <f>25.6/ATHENS!O1*ATHENS!O2</f>
        <v>46.545454545454547</v>
      </c>
      <c r="L310" s="105">
        <f>32.5/ATHENS!O1*ATHENS!O2</f>
        <v>59.090909090909086</v>
      </c>
      <c r="M310" s="105">
        <f>42.7/ATHENS!O1*ATHENS!O2</f>
        <v>77.63636363636364</v>
      </c>
      <c r="N310" s="105"/>
    </row>
    <row r="311" spans="1:14" s="111" customFormat="1" ht="13.5" thickBot="1" x14ac:dyDescent="0.25">
      <c r="A311" s="108"/>
      <c r="B311" s="109"/>
      <c r="C311" s="109"/>
      <c r="D311" s="109"/>
      <c r="E311" s="110"/>
      <c r="F311" s="110"/>
      <c r="G311" s="110"/>
      <c r="H311" s="110"/>
      <c r="I311" s="110"/>
      <c r="J311" s="110"/>
      <c r="K311" s="110"/>
      <c r="L311" s="110"/>
      <c r="M311" s="110"/>
      <c r="N311" s="110"/>
    </row>
    <row r="312" spans="1:14" s="111" customFormat="1" ht="13.5" thickBot="1" x14ac:dyDescent="0.25">
      <c r="A312" s="112"/>
      <c r="B312" s="113"/>
      <c r="C312" s="113"/>
      <c r="D312" s="113"/>
      <c r="E312" s="114"/>
      <c r="F312" s="114"/>
      <c r="G312" s="114"/>
      <c r="H312" s="114"/>
      <c r="I312" s="114"/>
      <c r="J312" s="114"/>
      <c r="K312" s="114"/>
      <c r="L312" s="114"/>
      <c r="M312" s="114"/>
      <c r="N312" s="115"/>
    </row>
    <row r="313" spans="1:14" s="111" customFormat="1" ht="15.75" thickBot="1" x14ac:dyDescent="0.25">
      <c r="A313" s="116"/>
      <c r="B313" s="484" t="s">
        <v>1500</v>
      </c>
      <c r="C313" s="485"/>
      <c r="D313" s="485"/>
      <c r="E313" s="485"/>
      <c r="F313" s="485"/>
      <c r="G313" s="485"/>
      <c r="H313" s="485"/>
      <c r="I313" s="485"/>
      <c r="J313" s="485"/>
      <c r="K313" s="485"/>
      <c r="L313" s="485"/>
      <c r="M313" s="486"/>
      <c r="N313" s="117" t="s">
        <v>664</v>
      </c>
    </row>
    <row r="314" spans="1:14" s="111" customFormat="1" x14ac:dyDescent="0.2">
      <c r="A314" s="116"/>
      <c r="B314" s="118" t="s">
        <v>428</v>
      </c>
      <c r="C314" s="119" t="s">
        <v>1501</v>
      </c>
      <c r="D314" s="119"/>
      <c r="E314" s="120"/>
      <c r="F314" s="120"/>
      <c r="G314" s="120"/>
      <c r="H314" s="120"/>
      <c r="I314" s="120"/>
      <c r="J314" s="120"/>
      <c r="K314" s="120"/>
      <c r="L314" s="120"/>
      <c r="M314" s="120"/>
      <c r="N314" s="101"/>
    </row>
    <row r="315" spans="1:14" s="111" customFormat="1" x14ac:dyDescent="0.2">
      <c r="A315" s="116"/>
      <c r="B315" s="118" t="s">
        <v>429</v>
      </c>
      <c r="C315" s="119" t="s">
        <v>785</v>
      </c>
      <c r="D315" s="119"/>
      <c r="E315" s="120"/>
      <c r="F315" s="120"/>
      <c r="G315" s="120"/>
      <c r="H315" s="120"/>
      <c r="I315" s="120"/>
      <c r="J315" s="120"/>
      <c r="K315" s="120"/>
      <c r="L315" s="120"/>
      <c r="M315" s="120"/>
      <c r="N315" s="101"/>
    </row>
    <row r="316" spans="1:14" s="111" customFormat="1" x14ac:dyDescent="0.2">
      <c r="A316" s="116"/>
      <c r="B316" s="118" t="s">
        <v>427</v>
      </c>
      <c r="C316" s="480" t="s">
        <v>1238</v>
      </c>
      <c r="D316" s="480"/>
      <c r="E316" s="480"/>
      <c r="F316" s="480"/>
      <c r="G316" s="480"/>
      <c r="H316" s="480"/>
      <c r="I316" s="480"/>
      <c r="J316" s="480"/>
      <c r="K316" s="480"/>
      <c r="L316" s="480"/>
      <c r="M316" s="480"/>
      <c r="N316" s="481"/>
    </row>
    <row r="317" spans="1:14" s="111" customFormat="1" x14ac:dyDescent="0.2">
      <c r="A317" s="116"/>
      <c r="B317" s="118"/>
      <c r="C317" s="480"/>
      <c r="D317" s="480"/>
      <c r="E317" s="480"/>
      <c r="F317" s="480"/>
      <c r="G317" s="480"/>
      <c r="H317" s="480"/>
      <c r="I317" s="480"/>
      <c r="J317" s="480"/>
      <c r="K317" s="480"/>
      <c r="L317" s="480"/>
      <c r="M317" s="480"/>
      <c r="N317" s="481"/>
    </row>
    <row r="318" spans="1:14" s="111" customFormat="1" x14ac:dyDescent="0.2">
      <c r="A318" s="116"/>
      <c r="B318" s="118"/>
      <c r="C318" s="480"/>
      <c r="D318" s="480"/>
      <c r="E318" s="480"/>
      <c r="F318" s="480"/>
      <c r="G318" s="480"/>
      <c r="H318" s="480"/>
      <c r="I318" s="480"/>
      <c r="J318" s="480"/>
      <c r="K318" s="480"/>
      <c r="L318" s="480"/>
      <c r="M318" s="480"/>
      <c r="N318" s="481"/>
    </row>
    <row r="319" spans="1:14" s="111" customFormat="1" x14ac:dyDescent="0.2">
      <c r="A319" s="116"/>
      <c r="B319" s="118"/>
      <c r="C319" s="480"/>
      <c r="D319" s="480"/>
      <c r="E319" s="480"/>
      <c r="F319" s="480"/>
      <c r="G319" s="480"/>
      <c r="H319" s="480"/>
      <c r="I319" s="480"/>
      <c r="J319" s="480"/>
      <c r="K319" s="480"/>
      <c r="L319" s="480"/>
      <c r="M319" s="480"/>
      <c r="N319" s="481"/>
    </row>
    <row r="320" spans="1:14" s="111" customFormat="1" x14ac:dyDescent="0.2">
      <c r="A320" s="116"/>
      <c r="B320" s="118" t="s">
        <v>426</v>
      </c>
      <c r="C320" s="119" t="s">
        <v>431</v>
      </c>
      <c r="D320" s="119"/>
      <c r="E320" s="120"/>
      <c r="F320" s="120"/>
      <c r="G320" s="120"/>
      <c r="H320" s="120"/>
      <c r="I320" s="120"/>
      <c r="J320" s="120"/>
      <c r="K320" s="120"/>
      <c r="L320" s="120"/>
      <c r="M320" s="120"/>
      <c r="N320" s="101"/>
    </row>
    <row r="321" spans="1:14" s="111" customFormat="1" ht="13.5" thickBot="1" x14ac:dyDescent="0.25">
      <c r="A321" s="121"/>
      <c r="B321" s="133" t="s">
        <v>430</v>
      </c>
      <c r="C321" s="122"/>
      <c r="D321" s="122"/>
      <c r="E321" s="123"/>
      <c r="F321" s="123"/>
      <c r="G321" s="123"/>
      <c r="H321" s="123"/>
      <c r="I321" s="123"/>
      <c r="J321" s="123"/>
      <c r="K321" s="123"/>
      <c r="L321" s="123"/>
      <c r="M321" s="123"/>
      <c r="N321" s="104"/>
    </row>
    <row r="322" spans="1:14" s="111" customFormat="1" x14ac:dyDescent="0.2">
      <c r="A322" s="112"/>
      <c r="B322" s="113" t="s">
        <v>263</v>
      </c>
      <c r="C322" s="113"/>
      <c r="D322" s="113"/>
      <c r="E322" s="114"/>
      <c r="F322" s="114"/>
      <c r="G322" s="114"/>
      <c r="H322" s="114"/>
      <c r="I322" s="114"/>
      <c r="J322" s="127" t="s">
        <v>1560</v>
      </c>
      <c r="K322" s="126" t="s">
        <v>1561</v>
      </c>
      <c r="L322" s="126"/>
      <c r="M322" s="126"/>
      <c r="N322" s="126"/>
    </row>
    <row r="323" spans="1:14" s="111" customFormat="1" ht="13.5" thickBot="1" x14ac:dyDescent="0.25">
      <c r="A323" s="121"/>
      <c r="B323" s="122"/>
      <c r="C323" s="122"/>
      <c r="D323" s="122"/>
      <c r="E323" s="123"/>
      <c r="F323" s="123"/>
      <c r="G323" s="123"/>
      <c r="H323" s="123"/>
      <c r="I323" s="123"/>
      <c r="J323" s="125" t="s">
        <v>168</v>
      </c>
      <c r="K323" s="105" t="s">
        <v>1562</v>
      </c>
      <c r="L323" s="105" t="s">
        <v>1563</v>
      </c>
      <c r="M323" s="105"/>
      <c r="N323" s="105"/>
    </row>
    <row r="324" spans="1:14" s="111" customFormat="1" x14ac:dyDescent="0.2">
      <c r="A324" s="112"/>
      <c r="B324" s="467" t="s">
        <v>67</v>
      </c>
      <c r="C324" s="467"/>
      <c r="D324" s="467"/>
      <c r="E324" s="114"/>
      <c r="F324" s="114" t="s">
        <v>1180</v>
      </c>
      <c r="G324" s="114" t="s">
        <v>68</v>
      </c>
      <c r="H324" s="114" t="s">
        <v>702</v>
      </c>
      <c r="I324" s="114"/>
      <c r="J324" s="100">
        <f>31.68/ATHENS!O1*ATHENS!O2</f>
        <v>57.599999999999994</v>
      </c>
      <c r="K324" s="100">
        <f>44.8/ATHENS!O1*ATHENS!O2</f>
        <v>81.454545454545439</v>
      </c>
      <c r="L324" s="100">
        <f>64.9/ATHENS!O1*ATHENS!O2</f>
        <v>118</v>
      </c>
      <c r="M324" s="100"/>
      <c r="N324" s="126"/>
    </row>
    <row r="325" spans="1:14" s="111" customFormat="1" x14ac:dyDescent="0.2">
      <c r="A325" s="116"/>
      <c r="B325" s="461" t="s">
        <v>67</v>
      </c>
      <c r="C325" s="461"/>
      <c r="D325" s="461"/>
      <c r="E325" s="120"/>
      <c r="F325" s="120" t="s">
        <v>1181</v>
      </c>
      <c r="G325" s="120" t="s">
        <v>68</v>
      </c>
      <c r="H325" s="120" t="s">
        <v>702</v>
      </c>
      <c r="I325" s="120"/>
      <c r="J325" s="100">
        <f>19.5/ATHENS!O1*ATHENS!O2</f>
        <v>35.454545454545453</v>
      </c>
      <c r="K325" s="100">
        <f>27.9/ATHENS!O1*ATHENS!O2</f>
        <v>50.72727272727272</v>
      </c>
      <c r="L325" s="100">
        <f>40.7/ATHENS!O1*ATHENS!O2</f>
        <v>74</v>
      </c>
      <c r="M325" s="100"/>
      <c r="N325" s="100"/>
    </row>
    <row r="326" spans="1:14" s="111" customFormat="1" ht="13.5" thickBot="1" x14ac:dyDescent="0.25">
      <c r="A326" s="121"/>
      <c r="B326" s="460" t="s">
        <v>902</v>
      </c>
      <c r="C326" s="460"/>
      <c r="D326" s="460"/>
      <c r="E326" s="123"/>
      <c r="F326" s="123"/>
      <c r="G326" s="123"/>
      <c r="H326" s="123" t="s">
        <v>702</v>
      </c>
      <c r="I326" s="123"/>
      <c r="J326" s="105">
        <f>10/ATHENS!O1*ATHENS!O2</f>
        <v>18.18181818181818</v>
      </c>
      <c r="K326" s="105">
        <f>10/ATHENS!O1*ATHENS!O2</f>
        <v>18.18181818181818</v>
      </c>
      <c r="L326" s="105">
        <f>10/ATHENS!O1*ATHENS!O2</f>
        <v>18.18181818181818</v>
      </c>
      <c r="M326" s="105"/>
      <c r="N326" s="105"/>
    </row>
    <row r="327" spans="1:14" s="111" customFormat="1" ht="13.5" thickBot="1" x14ac:dyDescent="0.25">
      <c r="A327" s="134"/>
      <c r="B327" s="135" t="s">
        <v>1118</v>
      </c>
      <c r="C327" s="135"/>
      <c r="D327" s="135"/>
      <c r="E327" s="136"/>
      <c r="F327" s="136"/>
      <c r="G327" s="136"/>
      <c r="H327" s="136"/>
      <c r="I327" s="136"/>
      <c r="J327" s="136"/>
      <c r="K327" s="136"/>
      <c r="L327" s="136"/>
      <c r="M327" s="136"/>
      <c r="N327" s="137"/>
    </row>
    <row r="328" spans="1:14" s="111" customFormat="1" x14ac:dyDescent="0.2">
      <c r="A328" s="108"/>
      <c r="B328" s="109"/>
      <c r="C328" s="109"/>
      <c r="D328" s="109"/>
      <c r="E328" s="110"/>
      <c r="F328" s="110"/>
      <c r="G328" s="110"/>
      <c r="H328" s="110"/>
      <c r="I328" s="110"/>
      <c r="J328" s="110"/>
      <c r="K328" s="110"/>
      <c r="L328" s="110"/>
      <c r="M328" s="110"/>
      <c r="N328" s="110"/>
    </row>
    <row r="329" spans="1:14" s="111" customFormat="1" ht="13.5" thickBot="1" x14ac:dyDescent="0.25">
      <c r="A329" s="108"/>
      <c r="B329" s="109"/>
      <c r="C329" s="109"/>
      <c r="D329" s="109"/>
      <c r="E329" s="110"/>
      <c r="F329" s="110"/>
      <c r="G329" s="110"/>
      <c r="H329" s="110"/>
      <c r="I329" s="110"/>
      <c r="J329" s="110"/>
      <c r="K329" s="110"/>
      <c r="L329" s="110"/>
      <c r="M329" s="110"/>
      <c r="N329" s="110"/>
    </row>
    <row r="330" spans="1:14" s="111" customFormat="1" ht="13.5" thickBot="1" x14ac:dyDescent="0.25">
      <c r="A330" s="112"/>
      <c r="B330" s="113"/>
      <c r="C330" s="113"/>
      <c r="D330" s="113"/>
      <c r="E330" s="114"/>
      <c r="F330" s="114"/>
      <c r="G330" s="114"/>
      <c r="H330" s="114"/>
      <c r="I330" s="114"/>
      <c r="J330" s="114"/>
      <c r="K330" s="114"/>
      <c r="L330" s="114"/>
      <c r="M330" s="114"/>
      <c r="N330" s="115"/>
    </row>
    <row r="331" spans="1:14" s="111" customFormat="1" ht="15.75" thickBot="1" x14ac:dyDescent="0.25">
      <c r="A331" s="116"/>
      <c r="B331" s="484" t="s">
        <v>668</v>
      </c>
      <c r="C331" s="485"/>
      <c r="D331" s="485"/>
      <c r="E331" s="485"/>
      <c r="F331" s="485"/>
      <c r="G331" s="485"/>
      <c r="H331" s="485"/>
      <c r="I331" s="485"/>
      <c r="J331" s="485"/>
      <c r="K331" s="485"/>
      <c r="L331" s="485"/>
      <c r="M331" s="486"/>
      <c r="N331" s="117" t="s">
        <v>664</v>
      </c>
    </row>
    <row r="332" spans="1:14" s="111" customFormat="1" x14ac:dyDescent="0.2">
      <c r="A332" s="116"/>
      <c r="B332" s="118" t="s">
        <v>428</v>
      </c>
      <c r="C332" s="119" t="s">
        <v>626</v>
      </c>
      <c r="D332" s="119"/>
      <c r="E332" s="120"/>
      <c r="F332" s="120"/>
      <c r="G332" s="120"/>
      <c r="H332" s="120"/>
      <c r="I332" s="120"/>
      <c r="J332" s="120"/>
      <c r="K332" s="120"/>
      <c r="L332" s="120"/>
      <c r="M332" s="120"/>
      <c r="N332" s="101"/>
    </row>
    <row r="333" spans="1:14" s="111" customFormat="1" x14ac:dyDescent="0.2">
      <c r="A333" s="116"/>
      <c r="B333" s="118" t="s">
        <v>429</v>
      </c>
      <c r="C333" s="119" t="s">
        <v>1071</v>
      </c>
      <c r="D333" s="119"/>
      <c r="E333" s="120"/>
      <c r="F333" s="120"/>
      <c r="G333" s="120"/>
      <c r="H333" s="120"/>
      <c r="I333" s="120"/>
      <c r="J333" s="120"/>
      <c r="K333" s="120"/>
      <c r="L333" s="120"/>
      <c r="M333" s="120"/>
      <c r="N333" s="101"/>
    </row>
    <row r="334" spans="1:14" s="111" customFormat="1" x14ac:dyDescent="0.2">
      <c r="A334" s="116"/>
      <c r="B334" s="118" t="s">
        <v>427</v>
      </c>
      <c r="C334" s="480" t="s">
        <v>951</v>
      </c>
      <c r="D334" s="480"/>
      <c r="E334" s="480"/>
      <c r="F334" s="480"/>
      <c r="G334" s="480"/>
      <c r="H334" s="480"/>
      <c r="I334" s="480"/>
      <c r="J334" s="480"/>
      <c r="K334" s="480"/>
      <c r="L334" s="480"/>
      <c r="M334" s="480"/>
      <c r="N334" s="481"/>
    </row>
    <row r="335" spans="1:14" s="111" customFormat="1" x14ac:dyDescent="0.2">
      <c r="A335" s="116"/>
      <c r="B335" s="109"/>
      <c r="C335" s="480"/>
      <c r="D335" s="480"/>
      <c r="E335" s="480"/>
      <c r="F335" s="480"/>
      <c r="G335" s="480"/>
      <c r="H335" s="480"/>
      <c r="I335" s="480"/>
      <c r="J335" s="480"/>
      <c r="K335" s="480"/>
      <c r="L335" s="480"/>
      <c r="M335" s="480"/>
      <c r="N335" s="481"/>
    </row>
    <row r="336" spans="1:14" s="111" customFormat="1" x14ac:dyDescent="0.2">
      <c r="A336" s="116"/>
      <c r="B336" s="109"/>
      <c r="C336" s="480"/>
      <c r="D336" s="480"/>
      <c r="E336" s="480"/>
      <c r="F336" s="480"/>
      <c r="G336" s="480"/>
      <c r="H336" s="480"/>
      <c r="I336" s="480"/>
      <c r="J336" s="480"/>
      <c r="K336" s="480"/>
      <c r="L336" s="480"/>
      <c r="M336" s="480"/>
      <c r="N336" s="481"/>
    </row>
    <row r="337" spans="1:14" s="111" customFormat="1" x14ac:dyDescent="0.2">
      <c r="A337" s="116"/>
      <c r="B337" s="109"/>
      <c r="C337" s="480"/>
      <c r="D337" s="480"/>
      <c r="E337" s="480"/>
      <c r="F337" s="480"/>
      <c r="G337" s="480"/>
      <c r="H337" s="480"/>
      <c r="I337" s="480"/>
      <c r="J337" s="480"/>
      <c r="K337" s="480"/>
      <c r="L337" s="480"/>
      <c r="M337" s="480"/>
      <c r="N337" s="481"/>
    </row>
    <row r="338" spans="1:14" s="111" customFormat="1" x14ac:dyDescent="0.2">
      <c r="A338" s="116"/>
      <c r="B338" s="109"/>
      <c r="C338" s="480"/>
      <c r="D338" s="480"/>
      <c r="E338" s="480"/>
      <c r="F338" s="480"/>
      <c r="G338" s="480"/>
      <c r="H338" s="480"/>
      <c r="I338" s="480"/>
      <c r="J338" s="480"/>
      <c r="K338" s="480"/>
      <c r="L338" s="480"/>
      <c r="M338" s="480"/>
      <c r="N338" s="481"/>
    </row>
    <row r="339" spans="1:14" s="111" customFormat="1" x14ac:dyDescent="0.2">
      <c r="A339" s="116"/>
      <c r="B339" s="109"/>
      <c r="C339" s="480"/>
      <c r="D339" s="480"/>
      <c r="E339" s="480"/>
      <c r="F339" s="480"/>
      <c r="G339" s="480"/>
      <c r="H339" s="480"/>
      <c r="I339" s="480"/>
      <c r="J339" s="480"/>
      <c r="K339" s="480"/>
      <c r="L339" s="480"/>
      <c r="M339" s="480"/>
      <c r="N339" s="481"/>
    </row>
    <row r="340" spans="1:14" s="111" customFormat="1" x14ac:dyDescent="0.2">
      <c r="A340" s="116"/>
      <c r="B340" s="118" t="s">
        <v>426</v>
      </c>
      <c r="C340" s="119" t="s">
        <v>899</v>
      </c>
      <c r="D340" s="119"/>
      <c r="E340" s="120"/>
      <c r="F340" s="120"/>
      <c r="G340" s="120"/>
      <c r="H340" s="120"/>
      <c r="I340" s="120"/>
      <c r="J340" s="120"/>
      <c r="K340" s="120"/>
      <c r="L340" s="120"/>
      <c r="M340" s="120"/>
      <c r="N340" s="101"/>
    </row>
    <row r="341" spans="1:14" s="111" customFormat="1" ht="13.5" thickBot="1" x14ac:dyDescent="0.25">
      <c r="A341" s="121"/>
      <c r="B341" s="118" t="s">
        <v>430</v>
      </c>
      <c r="C341" s="122"/>
      <c r="D341" s="122"/>
      <c r="E341" s="123"/>
      <c r="F341" s="123"/>
      <c r="G341" s="123"/>
      <c r="H341" s="123"/>
      <c r="I341" s="123"/>
      <c r="J341" s="123"/>
      <c r="K341" s="123"/>
      <c r="L341" s="123"/>
      <c r="M341" s="123"/>
      <c r="N341" s="104"/>
    </row>
    <row r="342" spans="1:14" s="111" customFormat="1" x14ac:dyDescent="0.2">
      <c r="A342" s="112"/>
      <c r="B342" s="113" t="s">
        <v>263</v>
      </c>
      <c r="C342" s="113"/>
      <c r="D342" s="113"/>
      <c r="E342" s="114"/>
      <c r="F342" s="114"/>
      <c r="G342" s="114"/>
      <c r="H342" s="114"/>
      <c r="I342" s="114"/>
      <c r="J342" s="127" t="s">
        <v>339</v>
      </c>
      <c r="K342" s="126"/>
      <c r="L342" s="126"/>
      <c r="M342" s="126"/>
      <c r="N342" s="126"/>
    </row>
    <row r="343" spans="1:14" s="111" customFormat="1" ht="13.5" thickBot="1" x14ac:dyDescent="0.25">
      <c r="A343" s="121"/>
      <c r="B343" s="122"/>
      <c r="C343" s="122"/>
      <c r="D343" s="122"/>
      <c r="E343" s="123"/>
      <c r="F343" s="123"/>
      <c r="G343" s="123"/>
      <c r="H343" s="123"/>
      <c r="I343" s="123"/>
      <c r="J343" s="125" t="s">
        <v>481</v>
      </c>
      <c r="K343" s="105" t="s">
        <v>279</v>
      </c>
      <c r="L343" s="105" t="s">
        <v>514</v>
      </c>
      <c r="M343" s="105" t="s">
        <v>832</v>
      </c>
      <c r="N343" s="105"/>
    </row>
    <row r="344" spans="1:14" s="111" customFormat="1" x14ac:dyDescent="0.2">
      <c r="A344" s="112"/>
      <c r="B344" s="467" t="s">
        <v>67</v>
      </c>
      <c r="C344" s="467"/>
      <c r="D344" s="467"/>
      <c r="E344" s="114"/>
      <c r="F344" s="114" t="s">
        <v>1180</v>
      </c>
      <c r="G344" s="114" t="s">
        <v>68</v>
      </c>
      <c r="H344" s="114" t="s">
        <v>702</v>
      </c>
      <c r="I344" s="114"/>
      <c r="J344" s="100">
        <f>35/ATHENS!O1*ATHENS!O2</f>
        <v>63.636363636363633</v>
      </c>
      <c r="K344" s="100">
        <f>46/ATHENS!O1*ATHENS!O2</f>
        <v>83.636363636363626</v>
      </c>
      <c r="L344" s="100">
        <f>65/ATHENS!O1*ATHENS!O2</f>
        <v>118.18181818181817</v>
      </c>
      <c r="M344" s="100">
        <f>47/ATHENS!O1*ATHENS!O2</f>
        <v>85.454545454545453</v>
      </c>
      <c r="N344" s="100"/>
    </row>
    <row r="345" spans="1:14" s="111" customFormat="1" x14ac:dyDescent="0.2">
      <c r="A345" s="116"/>
      <c r="B345" s="461" t="s">
        <v>67</v>
      </c>
      <c r="C345" s="461"/>
      <c r="D345" s="461"/>
      <c r="E345" s="120"/>
      <c r="F345" s="120" t="s">
        <v>1181</v>
      </c>
      <c r="G345" s="120" t="s">
        <v>68</v>
      </c>
      <c r="H345" s="120" t="s">
        <v>702</v>
      </c>
      <c r="I345" s="120"/>
      <c r="J345" s="100">
        <f>19/ATHENS!O1*ATHENS!O2</f>
        <v>34.54545454545454</v>
      </c>
      <c r="K345" s="100">
        <f>27/ATHENS!O1*ATHENS!O2</f>
        <v>49.090909090909086</v>
      </c>
      <c r="L345" s="100">
        <f>42.5/ATHENS!O1*ATHENS!O2</f>
        <v>77.272727272727266</v>
      </c>
      <c r="M345" s="100">
        <f>30.5/ATHENS!O1*ATHENS!O2</f>
        <v>55.454545454545453</v>
      </c>
      <c r="N345" s="100"/>
    </row>
    <row r="346" spans="1:14" s="111" customFormat="1" ht="13.5" thickBot="1" x14ac:dyDescent="0.25">
      <c r="A346" s="121"/>
      <c r="B346" s="460" t="s">
        <v>67</v>
      </c>
      <c r="C346" s="460"/>
      <c r="D346" s="460"/>
      <c r="E346" s="123"/>
      <c r="F346" s="123" t="s">
        <v>1182</v>
      </c>
      <c r="G346" s="123" t="s">
        <v>68</v>
      </c>
      <c r="H346" s="123" t="s">
        <v>702</v>
      </c>
      <c r="I346" s="123"/>
      <c r="J346" s="105">
        <f>25.5/ATHENS!O1*ATHENS!O2</f>
        <v>46.36363636363636</v>
      </c>
      <c r="K346" s="105">
        <f>24.5/ATHENS!O1*ATHENS!O2</f>
        <v>44.54545454545454</v>
      </c>
      <c r="L346" s="105">
        <f>38.5/ATHENS!O1*ATHENS!O2</f>
        <v>70</v>
      </c>
      <c r="M346" s="105">
        <f>27.6/ATHENS!O1*ATHENS!O2</f>
        <v>50.18181818181818</v>
      </c>
      <c r="N346" s="105"/>
    </row>
    <row r="347" spans="1:14" s="111" customFormat="1" x14ac:dyDescent="0.2">
      <c r="A347" s="108"/>
      <c r="B347" s="109"/>
      <c r="C347" s="109"/>
      <c r="D347" s="109"/>
      <c r="E347" s="110"/>
      <c r="F347" s="110"/>
      <c r="G347" s="110"/>
      <c r="H347" s="110"/>
      <c r="I347" s="110"/>
      <c r="J347" s="110"/>
      <c r="K347" s="110"/>
      <c r="L347" s="110"/>
      <c r="M347" s="110"/>
      <c r="N347" s="110"/>
    </row>
  </sheetData>
  <customSheetViews>
    <customSheetView guid="{3C76061C-A85D-4390-B9DB-73E13038638C}" showPageBreaks="1" showGridLines="0" view="pageLayout">
      <selection activeCell="M51" sqref="M51"/>
      <rowBreaks count="5" manualBreakCount="5">
        <brk id="33" max="16383" man="1"/>
        <brk id="113" max="16383" man="1"/>
        <brk id="165" max="16383" man="1"/>
        <brk id="183" max="16383" man="1"/>
        <brk id="237" max="16383" man="1"/>
      </rowBreaks>
      <pageMargins left="0.28125" right="0.25" top="0.6692913385826772" bottom="0.70866141732283472" header="0.23622047244094491" footer="0.47244094488188981"/>
      <printOptions horizontalCentered="1"/>
      <pageSetup paperSize="9" firstPageNumber="84"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 guid="{777CFE61-6F99-11D9-974B-0050BFD074B6}" showRuler="0">
      <selection activeCell="K14" sqref="K14:N18"/>
      <pageMargins left="0" right="0" top="0" bottom="0" header="0" footer="0"/>
      <pageSetup paperSize="9" orientation="portrait" horizontalDpi="4294967293" verticalDpi="300" r:id="rId2"/>
      <headerFooter alignWithMargins="0"/>
    </customSheetView>
  </customSheetViews>
  <mergeCells count="97">
    <mergeCell ref="B4:M4"/>
    <mergeCell ref="C7:N10"/>
    <mergeCell ref="B15:D15"/>
    <mergeCell ref="B47:D47"/>
    <mergeCell ref="B17:D17"/>
    <mergeCell ref="C38:N42"/>
    <mergeCell ref="B20:M20"/>
    <mergeCell ref="C23:N25"/>
    <mergeCell ref="B30:D30"/>
    <mergeCell ref="B16:D16"/>
    <mergeCell ref="B46:D46"/>
    <mergeCell ref="B48:D48"/>
    <mergeCell ref="B31:D31"/>
    <mergeCell ref="B35:M35"/>
    <mergeCell ref="B32:D32"/>
    <mergeCell ref="B109:D109"/>
    <mergeCell ref="B108:D108"/>
    <mergeCell ref="B72:D72"/>
    <mergeCell ref="B52:M52"/>
    <mergeCell ref="B70:D70"/>
    <mergeCell ref="B71:D71"/>
    <mergeCell ref="C55:N67"/>
    <mergeCell ref="B111:D111"/>
    <mergeCell ref="B115:M115"/>
    <mergeCell ref="B94:M94"/>
    <mergeCell ref="C97:N102"/>
    <mergeCell ref="B107:D107"/>
    <mergeCell ref="B110:D110"/>
    <mergeCell ref="B112:D112"/>
    <mergeCell ref="B129:D129"/>
    <mergeCell ref="B131:D131"/>
    <mergeCell ref="C118:N122"/>
    <mergeCell ref="B127:D127"/>
    <mergeCell ref="B128:D128"/>
    <mergeCell ref="B130:D130"/>
    <mergeCell ref="B134:M134"/>
    <mergeCell ref="C206:N208"/>
    <mergeCell ref="B160:D160"/>
    <mergeCell ref="B164:D164"/>
    <mergeCell ref="B149:M149"/>
    <mergeCell ref="B146:D146"/>
    <mergeCell ref="B144:D144"/>
    <mergeCell ref="B145:D145"/>
    <mergeCell ref="C137:N139"/>
    <mergeCell ref="C152:N154"/>
    <mergeCell ref="B161:D161"/>
    <mergeCell ref="B167:M167"/>
    <mergeCell ref="B179:D179"/>
    <mergeCell ref="B180:D180"/>
    <mergeCell ref="B185:M185"/>
    <mergeCell ref="C170:N174"/>
    <mergeCell ref="B181:D181"/>
    <mergeCell ref="B233:D233"/>
    <mergeCell ref="B199:D199"/>
    <mergeCell ref="B248:D248"/>
    <mergeCell ref="B219:M219"/>
    <mergeCell ref="C188:N192"/>
    <mergeCell ref="B197:D197"/>
    <mergeCell ref="B203:M203"/>
    <mergeCell ref="B216:D216"/>
    <mergeCell ref="B214:D214"/>
    <mergeCell ref="B215:D215"/>
    <mergeCell ref="C242:N244"/>
    <mergeCell ref="B198:D198"/>
    <mergeCell ref="B250:D250"/>
    <mergeCell ref="B249:D249"/>
    <mergeCell ref="B239:M239"/>
    <mergeCell ref="C222:N227"/>
    <mergeCell ref="B232:D232"/>
    <mergeCell ref="B235:D235"/>
    <mergeCell ref="B346:D346"/>
    <mergeCell ref="B331:M331"/>
    <mergeCell ref="B234:D234"/>
    <mergeCell ref="B265:D265"/>
    <mergeCell ref="B264:D264"/>
    <mergeCell ref="B236:D236"/>
    <mergeCell ref="B263:D263"/>
    <mergeCell ref="B345:D345"/>
    <mergeCell ref="B325:D325"/>
    <mergeCell ref="B326:D326"/>
    <mergeCell ref="B324:D324"/>
    <mergeCell ref="B268:M268"/>
    <mergeCell ref="C271:N273"/>
    <mergeCell ref="B253:M253"/>
    <mergeCell ref="C256:N259"/>
    <mergeCell ref="C334:N339"/>
    <mergeCell ref="C316:N319"/>
    <mergeCell ref="B309:D309"/>
    <mergeCell ref="B344:D344"/>
    <mergeCell ref="B277:D277"/>
    <mergeCell ref="B310:D310"/>
    <mergeCell ref="B313:M313"/>
    <mergeCell ref="B279:D279"/>
    <mergeCell ref="B308:D308"/>
    <mergeCell ref="C302:N304"/>
    <mergeCell ref="B299:M299"/>
    <mergeCell ref="B278:D278"/>
  </mergeCells>
  <phoneticPr fontId="0" type="noConversion"/>
  <hyperlinks>
    <hyperlink ref="B35:M35" r:id="rId3" display="Grand - Rhodes" xr:uid="{00000000-0004-0000-2100-000000000000}"/>
    <hyperlink ref="B115:M115" r:id="rId4" display="Rodos Park" xr:uid="{00000000-0004-0000-2100-000001000000}"/>
    <hyperlink ref="B94:M94" r:id="rId5" display="Rodos Palace" xr:uid="{00000000-0004-0000-2100-000002000000}"/>
    <hyperlink ref="B167:M167" r:id="rId6" display="Belair Beach" xr:uid="{00000000-0004-0000-2100-000003000000}"/>
    <hyperlink ref="B185:M185" r:id="rId7" display="Dionyssos" xr:uid="{00000000-0004-0000-2100-000004000000}"/>
    <hyperlink ref="B20:M20" r:id="rId8" display="Electra Palace" xr:uid="{00000000-0004-0000-2100-000005000000}"/>
    <hyperlink ref="B203:M203" r:id="rId9" display="Ibiscus" xr:uid="{00000000-0004-0000-2100-000006000000}"/>
    <hyperlink ref="B219:M219" r:id="rId10" display="Kresten Palace" xr:uid="{00000000-0004-0000-2100-000007000000}"/>
    <hyperlink ref="B239:M239" r:id="rId11" display="Lindos Mare" xr:uid="{00000000-0004-0000-2100-000008000000}"/>
    <hyperlink ref="B253:M253" r:id="rId12" display="Mediterranean" xr:uid="{00000000-0004-0000-2100-000009000000}"/>
    <hyperlink ref="B268:M268" r:id="rId13" display="Plaza Best Western" xr:uid="{00000000-0004-0000-2100-00000A000000}"/>
    <hyperlink ref="B149:M149" r:id="rId14" display="Aquarium" xr:uid="{00000000-0004-0000-2100-00000B000000}"/>
    <hyperlink ref="B299:M299" r:id="rId15" display="Agla" xr:uid="{00000000-0004-0000-2100-00000C000000}"/>
    <hyperlink ref="B313:M313" r:id="rId16" display="Kipriotis" xr:uid="{00000000-0004-0000-2100-00000D000000}"/>
    <hyperlink ref="B331:M331" r:id="rId17" display="Manousos" xr:uid="{00000000-0004-0000-2100-00000E000000}"/>
    <hyperlink ref="B4:M4" r:id="rId18" display="Atrium Palace" xr:uid="{00000000-0004-0000-2100-00000F000000}"/>
    <hyperlink ref="B52:M52" r:id="rId19" display="Ixian Grand" xr:uid="{00000000-0004-0000-2100-000010000000}"/>
    <hyperlink ref="B134:M134" r:id="rId20" display="Sheraton Rhodos Resort" xr:uid="{00000000-0004-0000-2100-000011000000}"/>
  </hyperlinks>
  <printOptions horizontalCentered="1"/>
  <pageMargins left="0.28125" right="0.25" top="0.6692913385826772" bottom="0.70866141732283472" header="0.23622047244094491" footer="0.47244094488188981"/>
  <pageSetup paperSize="9" firstPageNumber="84" orientation="portrait" useFirstPageNumber="1" horizontalDpi="300" verticalDpi="300" r:id="rId21"/>
  <headerFooter scaleWithDoc="0" alignWithMargins="0">
    <oddHeader xml:space="preserve">&amp;C TARIFF 2021
 (EURO)
</oddHeader>
    <oddFooter>&amp;LAll rates are in EURO&amp;C
TARIFF 2021
&amp;RPage &amp;P</oddFooter>
  </headerFooter>
  <rowBreaks count="5" manualBreakCount="5">
    <brk id="33" max="16383" man="1"/>
    <brk id="113" max="16383" man="1"/>
    <brk id="165" max="16383" man="1"/>
    <brk id="183" max="16383" man="1"/>
    <brk id="237"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1"/>
  <dimension ref="A1:V19"/>
  <sheetViews>
    <sheetView showGridLines="0" view="pageLayout" topLeftCell="A67" workbookViewId="0">
      <selection activeCell="M53" sqref="M53"/>
    </sheetView>
  </sheetViews>
  <sheetFormatPr defaultRowHeight="12.75" x14ac:dyDescent="0.2"/>
  <cols>
    <col min="1" max="1" width="1.85546875" style="140" customWidth="1"/>
    <col min="2" max="3" width="10.7109375" style="140" customWidth="1"/>
    <col min="4" max="9" width="3.7109375" style="140" customWidth="1"/>
    <col min="10" max="14" width="10.7109375" style="140" customWidth="1"/>
    <col min="15" max="15" width="9.28515625" style="140" customWidth="1"/>
    <col min="16" max="20" width="3.7109375" style="140" customWidth="1"/>
    <col min="21" max="21" width="3.28515625" style="140" customWidth="1"/>
    <col min="22" max="25" width="2.7109375" style="140" customWidth="1"/>
    <col min="26" max="16384" width="9.140625" style="140"/>
  </cols>
  <sheetData>
    <row r="1" spans="1:22" s="111" customFormat="1" ht="13.5" thickBot="1" x14ac:dyDescent="0.25">
      <c r="A1" s="112"/>
      <c r="B1" s="113"/>
      <c r="C1" s="113"/>
      <c r="D1" s="113"/>
      <c r="E1" s="114"/>
      <c r="F1" s="114"/>
      <c r="G1" s="114"/>
      <c r="H1" s="114"/>
      <c r="I1" s="114"/>
      <c r="J1" s="114"/>
      <c r="K1" s="114"/>
      <c r="L1" s="114"/>
      <c r="M1" s="114"/>
      <c r="N1" s="115"/>
      <c r="P1" s="130"/>
      <c r="Q1" s="130"/>
      <c r="R1" s="130"/>
      <c r="S1" s="130"/>
      <c r="T1" s="130"/>
      <c r="U1" s="130"/>
      <c r="V1" s="130"/>
    </row>
    <row r="2" spans="1:22" s="111" customFormat="1" ht="15.75" thickBot="1" x14ac:dyDescent="0.25">
      <c r="A2" s="116"/>
      <c r="B2" s="484" t="s">
        <v>1343</v>
      </c>
      <c r="C2" s="485"/>
      <c r="D2" s="485"/>
      <c r="E2" s="485"/>
      <c r="F2" s="485"/>
      <c r="G2" s="485"/>
      <c r="H2" s="485"/>
      <c r="I2" s="485"/>
      <c r="J2" s="485"/>
      <c r="K2" s="485"/>
      <c r="L2" s="485"/>
      <c r="M2" s="486"/>
      <c r="N2" s="117" t="s">
        <v>96</v>
      </c>
      <c r="P2" s="130"/>
      <c r="Q2" s="130"/>
      <c r="R2" s="130"/>
      <c r="S2" s="130"/>
      <c r="T2" s="130"/>
      <c r="U2" s="130"/>
      <c r="V2" s="130"/>
    </row>
    <row r="3" spans="1:22" s="111" customFormat="1" x14ac:dyDescent="0.2">
      <c r="A3" s="116"/>
      <c r="B3" s="118" t="s">
        <v>428</v>
      </c>
      <c r="C3" s="119" t="s">
        <v>1344</v>
      </c>
      <c r="D3" s="119"/>
      <c r="E3" s="120"/>
      <c r="F3" s="120"/>
      <c r="G3" s="120"/>
      <c r="H3" s="120"/>
      <c r="I3" s="120"/>
      <c r="J3" s="120"/>
      <c r="K3" s="120"/>
      <c r="L3" s="120"/>
      <c r="M3" s="120"/>
      <c r="N3" s="101"/>
      <c r="T3" s="130"/>
      <c r="U3" s="130"/>
      <c r="V3" s="130"/>
    </row>
    <row r="4" spans="1:22" s="111" customFormat="1" x14ac:dyDescent="0.2">
      <c r="A4" s="116"/>
      <c r="B4" s="118" t="s">
        <v>429</v>
      </c>
      <c r="C4" s="119" t="s">
        <v>861</v>
      </c>
      <c r="D4" s="119"/>
      <c r="E4" s="120"/>
      <c r="F4" s="120"/>
      <c r="G4" s="120"/>
      <c r="H4" s="120"/>
      <c r="I4" s="120"/>
      <c r="J4" s="120"/>
      <c r="K4" s="120"/>
      <c r="L4" s="120"/>
      <c r="M4" s="120"/>
      <c r="N4" s="101"/>
      <c r="T4" s="130"/>
      <c r="U4" s="130"/>
      <c r="V4" s="130"/>
    </row>
    <row r="5" spans="1:22" s="111" customFormat="1" x14ac:dyDescent="0.2">
      <c r="A5" s="116"/>
      <c r="B5" s="118" t="s">
        <v>427</v>
      </c>
      <c r="C5" s="480" t="s">
        <v>953</v>
      </c>
      <c r="D5" s="480"/>
      <c r="E5" s="480"/>
      <c r="F5" s="480"/>
      <c r="G5" s="480"/>
      <c r="H5" s="480"/>
      <c r="I5" s="480"/>
      <c r="J5" s="480"/>
      <c r="K5" s="480"/>
      <c r="L5" s="480"/>
      <c r="M5" s="480"/>
      <c r="N5" s="481"/>
    </row>
    <row r="6" spans="1:22" s="111" customFormat="1" x14ac:dyDescent="0.2">
      <c r="A6" s="116"/>
      <c r="B6" s="118"/>
      <c r="C6" s="480"/>
      <c r="D6" s="480"/>
      <c r="E6" s="480"/>
      <c r="F6" s="480"/>
      <c r="G6" s="480"/>
      <c r="H6" s="480"/>
      <c r="I6" s="480"/>
      <c r="J6" s="480"/>
      <c r="K6" s="480"/>
      <c r="L6" s="480"/>
      <c r="M6" s="480"/>
      <c r="N6" s="481"/>
    </row>
    <row r="7" spans="1:22" s="111" customFormat="1" x14ac:dyDescent="0.2">
      <c r="A7" s="116"/>
      <c r="B7" s="118"/>
      <c r="C7" s="480"/>
      <c r="D7" s="480"/>
      <c r="E7" s="480"/>
      <c r="F7" s="480"/>
      <c r="G7" s="480"/>
      <c r="H7" s="480"/>
      <c r="I7" s="480"/>
      <c r="J7" s="480"/>
      <c r="K7" s="480"/>
      <c r="L7" s="480"/>
      <c r="M7" s="480"/>
      <c r="N7" s="481"/>
    </row>
    <row r="8" spans="1:22" s="111" customFormat="1" x14ac:dyDescent="0.2">
      <c r="A8" s="116"/>
      <c r="B8" s="109"/>
      <c r="C8" s="480"/>
      <c r="D8" s="480"/>
      <c r="E8" s="480"/>
      <c r="F8" s="480"/>
      <c r="G8" s="480"/>
      <c r="H8" s="480"/>
      <c r="I8" s="480"/>
      <c r="J8" s="480"/>
      <c r="K8" s="480"/>
      <c r="L8" s="480"/>
      <c r="M8" s="480"/>
      <c r="N8" s="481"/>
    </row>
    <row r="9" spans="1:22" s="111" customFormat="1" x14ac:dyDescent="0.2">
      <c r="A9" s="116"/>
      <c r="B9" s="109"/>
      <c r="C9" s="480"/>
      <c r="D9" s="480"/>
      <c r="E9" s="480"/>
      <c r="F9" s="480"/>
      <c r="G9" s="480"/>
      <c r="H9" s="480"/>
      <c r="I9" s="480"/>
      <c r="J9" s="480"/>
      <c r="K9" s="480"/>
      <c r="L9" s="480"/>
      <c r="M9" s="480"/>
      <c r="N9" s="481"/>
    </row>
    <row r="10" spans="1:22" s="111" customFormat="1" x14ac:dyDescent="0.2">
      <c r="A10" s="116"/>
      <c r="B10" s="118" t="s">
        <v>426</v>
      </c>
      <c r="C10" s="119" t="s">
        <v>1345</v>
      </c>
      <c r="D10" s="119"/>
      <c r="E10" s="120"/>
      <c r="F10" s="120"/>
      <c r="G10" s="120"/>
      <c r="H10" s="120"/>
      <c r="I10" s="120"/>
      <c r="J10" s="120"/>
      <c r="K10" s="120"/>
      <c r="L10" s="120"/>
      <c r="M10" s="120"/>
      <c r="N10" s="101"/>
    </row>
    <row r="11" spans="1:22" s="111" customFormat="1" ht="13.5" thickBot="1" x14ac:dyDescent="0.25">
      <c r="A11" s="121"/>
      <c r="B11" s="133" t="s">
        <v>430</v>
      </c>
      <c r="C11" s="122"/>
      <c r="D11" s="122"/>
      <c r="E11" s="123"/>
      <c r="F11" s="123"/>
      <c r="G11" s="123"/>
      <c r="H11" s="123"/>
      <c r="I11" s="123"/>
      <c r="J11" s="123"/>
      <c r="K11" s="123"/>
      <c r="L11" s="123"/>
      <c r="M11" s="123"/>
      <c r="N11" s="104"/>
    </row>
    <row r="12" spans="1:22" s="111" customFormat="1" x14ac:dyDescent="0.2">
      <c r="A12" s="112"/>
      <c r="B12" s="113" t="s">
        <v>263</v>
      </c>
      <c r="C12" s="113"/>
      <c r="D12" s="113"/>
      <c r="E12" s="114"/>
      <c r="F12" s="114"/>
      <c r="G12" s="114"/>
      <c r="H12" s="114"/>
      <c r="I12" s="114"/>
      <c r="J12" s="127" t="s">
        <v>1408</v>
      </c>
      <c r="K12" s="127" t="s">
        <v>2065</v>
      </c>
      <c r="L12" s="127"/>
      <c r="M12" s="126"/>
      <c r="N12" s="126"/>
    </row>
    <row r="13" spans="1:22" s="111" customFormat="1" ht="13.5" thickBot="1" x14ac:dyDescent="0.25">
      <c r="A13" s="121"/>
      <c r="B13" s="122"/>
      <c r="C13" s="122"/>
      <c r="D13" s="122"/>
      <c r="E13" s="123"/>
      <c r="F13" s="123"/>
      <c r="G13" s="123"/>
      <c r="H13" s="123"/>
      <c r="I13" s="123"/>
      <c r="J13" s="125" t="s">
        <v>2064</v>
      </c>
      <c r="K13" s="125" t="s">
        <v>578</v>
      </c>
      <c r="L13" s="125" t="s">
        <v>1589</v>
      </c>
      <c r="M13" s="105"/>
      <c r="N13" s="105"/>
    </row>
    <row r="14" spans="1:22" s="111" customFormat="1" x14ac:dyDescent="0.2">
      <c r="A14" s="112"/>
      <c r="B14" s="467" t="s">
        <v>67</v>
      </c>
      <c r="C14" s="467"/>
      <c r="D14" s="467"/>
      <c r="E14" s="114"/>
      <c r="F14" s="114" t="s">
        <v>1180</v>
      </c>
      <c r="G14" s="114" t="s">
        <v>1484</v>
      </c>
      <c r="H14" s="114" t="s">
        <v>702</v>
      </c>
      <c r="I14" s="114"/>
      <c r="J14" s="100">
        <f>102.6/ATHENS!O1*ATHENS!O2</f>
        <v>186.54545454545453</v>
      </c>
      <c r="K14" s="100">
        <f>133.5/ATHENS!O1*ATHENS!O2</f>
        <v>242.72727272727272</v>
      </c>
      <c r="L14" s="100">
        <f>159.5/ATHENS!O1*ATHENS!O2</f>
        <v>290</v>
      </c>
      <c r="M14" s="126"/>
      <c r="N14" s="126"/>
    </row>
    <row r="15" spans="1:22" s="111" customFormat="1" x14ac:dyDescent="0.2">
      <c r="A15" s="116"/>
      <c r="B15" s="461" t="s">
        <v>862</v>
      </c>
      <c r="C15" s="461"/>
      <c r="D15" s="461"/>
      <c r="E15" s="120"/>
      <c r="F15" s="120" t="s">
        <v>1181</v>
      </c>
      <c r="G15" s="120" t="s">
        <v>1484</v>
      </c>
      <c r="H15" s="120" t="s">
        <v>702</v>
      </c>
      <c r="I15" s="120"/>
      <c r="J15" s="100">
        <f>56.9/ATHENS!O1*ATHENS!O2</f>
        <v>103.45454545454544</v>
      </c>
      <c r="K15" s="100">
        <f>74.5/ATHENS!O1*ATHENS!O2</f>
        <v>135.45454545454544</v>
      </c>
      <c r="L15" s="100">
        <f>92.5/ATHENS!O1*ATHENS!O2</f>
        <v>168.18181818181816</v>
      </c>
      <c r="M15" s="100"/>
      <c r="N15" s="100"/>
    </row>
    <row r="16" spans="1:22" s="111" customFormat="1" x14ac:dyDescent="0.2">
      <c r="A16" s="116"/>
      <c r="B16" s="461" t="s">
        <v>862</v>
      </c>
      <c r="C16" s="461"/>
      <c r="D16" s="461"/>
      <c r="E16" s="120"/>
      <c r="F16" s="120" t="s">
        <v>1182</v>
      </c>
      <c r="G16" s="120" t="s">
        <v>1484</v>
      </c>
      <c r="H16" s="120" t="s">
        <v>702</v>
      </c>
      <c r="I16" s="120"/>
      <c r="J16" s="100">
        <f>51.5/ATHENS!O1*ATHENS!O2</f>
        <v>93.636363636363626</v>
      </c>
      <c r="K16" s="100">
        <f>67.5/ATHENS!O1*ATHENS!O2</f>
        <v>122.72727272727272</v>
      </c>
      <c r="L16" s="100">
        <f>83.7/ATHENS!O1*ATHENS!O2</f>
        <v>152.18181818181819</v>
      </c>
      <c r="M16" s="100"/>
      <c r="N16" s="100"/>
    </row>
    <row r="17" spans="1:14" s="111" customFormat="1" x14ac:dyDescent="0.2">
      <c r="A17" s="116"/>
      <c r="B17" s="461" t="s">
        <v>819</v>
      </c>
      <c r="C17" s="461"/>
      <c r="D17" s="461"/>
      <c r="E17" s="120"/>
      <c r="F17" s="120" t="s">
        <v>1181</v>
      </c>
      <c r="G17" s="120" t="s">
        <v>1484</v>
      </c>
      <c r="H17" s="120" t="s">
        <v>702</v>
      </c>
      <c r="I17" s="120"/>
      <c r="J17" s="100">
        <f>65.5/ATHENS!O1*ATHENS!O2</f>
        <v>119.09090909090908</v>
      </c>
      <c r="K17" s="100">
        <f>91.5/ATHENS!O1*ATHENS!O2</f>
        <v>166.36363636363635</v>
      </c>
      <c r="L17" s="100">
        <f>114.8/ATHENS!O1*ATHENS!O2</f>
        <v>208.72727272727269</v>
      </c>
      <c r="M17" s="100"/>
      <c r="N17" s="100"/>
    </row>
    <row r="18" spans="1:14" s="111" customFormat="1" ht="13.5" thickBot="1" x14ac:dyDescent="0.25">
      <c r="A18" s="121"/>
      <c r="B18" s="460" t="s">
        <v>819</v>
      </c>
      <c r="C18" s="460"/>
      <c r="D18" s="460"/>
      <c r="E18" s="123"/>
      <c r="F18" s="123" t="s">
        <v>1182</v>
      </c>
      <c r="G18" s="123" t="s">
        <v>1484</v>
      </c>
      <c r="H18" s="123" t="s">
        <v>702</v>
      </c>
      <c r="I18" s="123"/>
      <c r="J18" s="105">
        <f>59.5/ATHENS!O1*ATHENS!O2</f>
        <v>108.18181818181817</v>
      </c>
      <c r="K18" s="105">
        <f>82.8/ATHENS!O1*ATHENS!O2</f>
        <v>150.54545454545453</v>
      </c>
      <c r="L18" s="105">
        <f>103.5/ATHENS!O1*ATHENS!O2</f>
        <v>188.18181818181816</v>
      </c>
      <c r="M18" s="105"/>
      <c r="N18" s="105"/>
    </row>
    <row r="19" spans="1:14" s="111" customFormat="1" x14ac:dyDescent="0.2">
      <c r="A19" s="108"/>
      <c r="B19" s="109"/>
      <c r="C19" s="109"/>
      <c r="D19" s="109"/>
      <c r="E19" s="110"/>
      <c r="F19" s="110"/>
      <c r="G19" s="110"/>
      <c r="H19" s="110"/>
      <c r="I19" s="110"/>
      <c r="J19" s="110"/>
      <c r="K19" s="110"/>
      <c r="L19" s="110"/>
      <c r="M19" s="110"/>
      <c r="N19" s="110"/>
    </row>
  </sheetData>
  <customSheetViews>
    <customSheetView guid="{3C76061C-A85D-4390-B9DB-73E13038638C}" showPageBreaks="1" showGridLines="0" view="pageLayout" topLeftCell="A67">
      <selection activeCell="M51" sqref="M51"/>
      <pageMargins left="0.28125" right="0.25" top="0.6692913385826772" bottom="0.70866141732283472" header="0.23622047244094491" footer="0.47244094488188981"/>
      <printOptions horizontalCentered="1"/>
      <pageSetup paperSize="9" firstPageNumber="92"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 guid="{777CFE61-6F99-11D9-974B-0050BFD074B6}" showRuler="0">
      <selection activeCell="K14" sqref="K14:N18"/>
      <pageMargins left="0" right="0" top="0" bottom="0" header="0" footer="0"/>
      <pageSetup paperSize="9" orientation="portrait" horizontalDpi="4294967293" verticalDpi="300" r:id="rId2"/>
      <headerFooter alignWithMargins="0"/>
    </customSheetView>
  </customSheetViews>
  <mergeCells count="7">
    <mergeCell ref="B2:M2"/>
    <mergeCell ref="B17:D17"/>
    <mergeCell ref="B18:D18"/>
    <mergeCell ref="B15:D15"/>
    <mergeCell ref="B16:D16"/>
    <mergeCell ref="C5:N9"/>
    <mergeCell ref="B14:D14"/>
  </mergeCells>
  <phoneticPr fontId="0" type="noConversion"/>
  <hyperlinks>
    <hyperlink ref="B2:M2" r:id="rId3" display="Doryssa Bay" xr:uid="{00000000-0004-0000-2200-000000000000}"/>
  </hyperlinks>
  <printOptions horizontalCentered="1"/>
  <pageMargins left="0.28125" right="0.25" top="0.6692913385826772" bottom="0.70866141732283472" header="0.23622047244094491" footer="0.47244094488188981"/>
  <pageSetup paperSize="9" firstPageNumber="92" orientation="portrait" useFirstPageNumber="1" horizontalDpi="300" verticalDpi="300" r:id="rId4"/>
  <headerFooter scaleWithDoc="0" alignWithMargins="0">
    <oddHeader xml:space="preserve">&amp;C TARIFF 2021
 (EURO)
</oddHeader>
    <oddFooter>&amp;LAll rates are in EURO&amp;C
TARIFF 2021
&amp;RPage &amp;P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2"/>
  <dimension ref="A1:O549"/>
  <sheetViews>
    <sheetView showGridLines="0" view="pageLayout" topLeftCell="A545" zoomScaleNormal="100" workbookViewId="0">
      <selection activeCell="M53" sqref="M53"/>
    </sheetView>
  </sheetViews>
  <sheetFormatPr defaultRowHeight="12.75" x14ac:dyDescent="0.2"/>
  <cols>
    <col min="1" max="1" width="1.85546875" style="140" customWidth="1"/>
    <col min="2" max="2" width="10.7109375" style="140" customWidth="1"/>
    <col min="3" max="3" width="6.140625" style="140" customWidth="1"/>
    <col min="4" max="9" width="3.7109375" style="140" customWidth="1"/>
    <col min="10" max="12" width="10.7109375" style="140" customWidth="1"/>
    <col min="13" max="13" width="9.5703125" style="140" customWidth="1"/>
    <col min="14" max="14" width="14" style="140" customWidth="1"/>
    <col min="15" max="15" width="9.28515625" style="140" customWidth="1"/>
    <col min="16" max="16" width="3.28515625" style="140" customWidth="1"/>
    <col min="17" max="20" width="2.7109375" style="140" customWidth="1"/>
    <col min="21" max="16384" width="9.140625" style="140"/>
  </cols>
  <sheetData>
    <row r="1" spans="1:15" s="111" customFormat="1" ht="13.5" thickBot="1" x14ac:dyDescent="0.25">
      <c r="A1" s="112"/>
      <c r="B1" s="113"/>
      <c r="C1" s="113"/>
      <c r="D1" s="113"/>
      <c r="E1" s="114"/>
      <c r="F1" s="114"/>
      <c r="G1" s="114"/>
      <c r="H1" s="114"/>
      <c r="I1" s="114"/>
      <c r="J1" s="114"/>
      <c r="K1" s="114"/>
      <c r="L1" s="114"/>
      <c r="M1" s="114"/>
      <c r="N1" s="115"/>
      <c r="O1" s="130"/>
    </row>
    <row r="2" spans="1:15" s="111" customFormat="1" ht="15.75" thickBot="1" x14ac:dyDescent="0.25">
      <c r="A2" s="116"/>
      <c r="B2" s="484" t="s">
        <v>1624</v>
      </c>
      <c r="C2" s="485"/>
      <c r="D2" s="485"/>
      <c r="E2" s="485"/>
      <c r="F2" s="485"/>
      <c r="G2" s="485"/>
      <c r="H2" s="485"/>
      <c r="I2" s="485"/>
      <c r="J2" s="485"/>
      <c r="K2" s="485"/>
      <c r="L2" s="485"/>
      <c r="M2" s="486"/>
      <c r="N2" s="117" t="s">
        <v>91</v>
      </c>
      <c r="O2" s="130"/>
    </row>
    <row r="3" spans="1:15" s="111" customFormat="1" x14ac:dyDescent="0.2">
      <c r="A3" s="116"/>
      <c r="B3" s="118" t="s">
        <v>428</v>
      </c>
      <c r="C3" s="119" t="s">
        <v>1346</v>
      </c>
      <c r="D3" s="119"/>
      <c r="E3" s="120"/>
      <c r="F3" s="120"/>
      <c r="G3" s="120"/>
      <c r="H3" s="120"/>
      <c r="I3" s="120"/>
      <c r="J3" s="120"/>
      <c r="K3" s="120"/>
      <c r="L3" s="120"/>
      <c r="M3" s="120"/>
      <c r="N3" s="101"/>
      <c r="O3" s="130"/>
    </row>
    <row r="4" spans="1:15" s="111" customFormat="1" x14ac:dyDescent="0.2">
      <c r="A4" s="116"/>
      <c r="B4" s="118" t="s">
        <v>429</v>
      </c>
      <c r="C4" s="119" t="s">
        <v>489</v>
      </c>
      <c r="D4" s="119"/>
      <c r="E4" s="120"/>
      <c r="F4" s="120"/>
      <c r="G4" s="120"/>
      <c r="H4" s="120"/>
      <c r="I4" s="120"/>
      <c r="J4" s="120"/>
      <c r="K4" s="120"/>
      <c r="L4" s="120"/>
      <c r="M4" s="120"/>
      <c r="N4" s="101"/>
      <c r="O4" s="130"/>
    </row>
    <row r="5" spans="1:15" s="111" customFormat="1" x14ac:dyDescent="0.2">
      <c r="A5" s="116"/>
      <c r="B5" s="118" t="s">
        <v>427</v>
      </c>
      <c r="C5" s="480" t="s">
        <v>1637</v>
      </c>
      <c r="D5" s="480"/>
      <c r="E5" s="480"/>
      <c r="F5" s="480"/>
      <c r="G5" s="480"/>
      <c r="H5" s="480"/>
      <c r="I5" s="480"/>
      <c r="J5" s="480"/>
      <c r="K5" s="480"/>
      <c r="L5" s="480"/>
      <c r="M5" s="480"/>
      <c r="N5" s="481"/>
      <c r="O5" s="130"/>
    </row>
    <row r="6" spans="1:15" s="111" customFormat="1" x14ac:dyDescent="0.2">
      <c r="A6" s="116"/>
      <c r="B6" s="118"/>
      <c r="C6" s="480"/>
      <c r="D6" s="480"/>
      <c r="E6" s="480"/>
      <c r="F6" s="480"/>
      <c r="G6" s="480"/>
      <c r="H6" s="480"/>
      <c r="I6" s="480"/>
      <c r="J6" s="480"/>
      <c r="K6" s="480"/>
      <c r="L6" s="480"/>
      <c r="M6" s="480"/>
      <c r="N6" s="481"/>
      <c r="O6" s="130"/>
    </row>
    <row r="7" spans="1:15" s="111" customFormat="1" x14ac:dyDescent="0.2">
      <c r="A7" s="116"/>
      <c r="B7" s="109"/>
      <c r="C7" s="480"/>
      <c r="D7" s="480"/>
      <c r="E7" s="480"/>
      <c r="F7" s="480"/>
      <c r="G7" s="480"/>
      <c r="H7" s="480"/>
      <c r="I7" s="480"/>
      <c r="J7" s="480"/>
      <c r="K7" s="480"/>
      <c r="L7" s="480"/>
      <c r="M7" s="480"/>
      <c r="N7" s="481"/>
      <c r="O7" s="130"/>
    </row>
    <row r="8" spans="1:15" s="111" customFormat="1" x14ac:dyDescent="0.2">
      <c r="A8" s="116"/>
      <c r="B8" s="118" t="s">
        <v>426</v>
      </c>
      <c r="C8" s="119" t="s">
        <v>255</v>
      </c>
      <c r="D8" s="119"/>
      <c r="E8" s="120"/>
      <c r="F8" s="120"/>
      <c r="G8" s="120"/>
      <c r="H8" s="120"/>
      <c r="I8" s="120"/>
      <c r="J8" s="120"/>
      <c r="K8" s="120"/>
      <c r="L8" s="120"/>
      <c r="M8" s="120"/>
      <c r="N8" s="101"/>
      <c r="O8" s="130"/>
    </row>
    <row r="9" spans="1:15" s="111" customFormat="1" ht="13.5" thickBot="1" x14ac:dyDescent="0.25">
      <c r="A9" s="116"/>
      <c r="B9" s="118" t="s">
        <v>430</v>
      </c>
      <c r="C9" s="119" t="s">
        <v>256</v>
      </c>
      <c r="D9" s="119"/>
      <c r="E9" s="120"/>
      <c r="F9" s="120"/>
      <c r="G9" s="120"/>
      <c r="H9" s="120"/>
      <c r="I9" s="120"/>
      <c r="J9" s="120"/>
      <c r="K9" s="120"/>
      <c r="L9" s="120"/>
      <c r="M9" s="120"/>
      <c r="N9" s="101"/>
      <c r="O9" s="130"/>
    </row>
    <row r="10" spans="1:15" s="111" customFormat="1" x14ac:dyDescent="0.2">
      <c r="A10" s="112"/>
      <c r="B10" s="113" t="s">
        <v>263</v>
      </c>
      <c r="C10" s="113"/>
      <c r="D10" s="113"/>
      <c r="E10" s="114"/>
      <c r="F10" s="114"/>
      <c r="G10" s="114"/>
      <c r="H10" s="114"/>
      <c r="I10" s="114"/>
      <c r="J10" s="127" t="s">
        <v>1980</v>
      </c>
      <c r="K10" s="126"/>
      <c r="L10" s="126" t="s">
        <v>279</v>
      </c>
      <c r="M10" s="126"/>
      <c r="N10" s="126"/>
      <c r="O10" s="130"/>
    </row>
    <row r="11" spans="1:15" s="111" customFormat="1" ht="13.5" thickBot="1" x14ac:dyDescent="0.25">
      <c r="A11" s="121"/>
      <c r="B11" s="122"/>
      <c r="C11" s="122"/>
      <c r="D11" s="122"/>
      <c r="E11" s="123"/>
      <c r="F11" s="123"/>
      <c r="G11" s="123"/>
      <c r="H11" s="123"/>
      <c r="I11" s="123"/>
      <c r="J11" s="125" t="s">
        <v>1981</v>
      </c>
      <c r="K11" s="105" t="s">
        <v>758</v>
      </c>
      <c r="L11" s="105" t="s">
        <v>1926</v>
      </c>
      <c r="M11" s="105" t="s">
        <v>1982</v>
      </c>
      <c r="N11" s="105"/>
      <c r="O11" s="130"/>
    </row>
    <row r="12" spans="1:15" s="111" customFormat="1" x14ac:dyDescent="0.2">
      <c r="A12" s="112"/>
      <c r="B12" s="467" t="s">
        <v>67</v>
      </c>
      <c r="C12" s="467"/>
      <c r="D12" s="467"/>
      <c r="E12" s="114"/>
      <c r="F12" s="114" t="s">
        <v>1180</v>
      </c>
      <c r="G12" s="114" t="s">
        <v>68</v>
      </c>
      <c r="H12" s="114" t="s">
        <v>702</v>
      </c>
      <c r="I12" s="114"/>
      <c r="J12" s="100">
        <f>70/ATHENS!O1*ATHENS!O2</f>
        <v>127.27272727272727</v>
      </c>
      <c r="K12" s="100">
        <f>115/ATHENS!O1*ATHENS!O2</f>
        <v>209.09090909090907</v>
      </c>
      <c r="L12" s="100">
        <f>150/ATHENS!O1*ATHENS!O2</f>
        <v>272.72727272727269</v>
      </c>
      <c r="M12" s="100">
        <f>190/ATHENS!O1*ATHENS!O2</f>
        <v>345.45454545454544</v>
      </c>
      <c r="N12" s="126"/>
      <c r="O12" s="130"/>
    </row>
    <row r="13" spans="1:15" s="111" customFormat="1" x14ac:dyDescent="0.2">
      <c r="A13" s="116"/>
      <c r="B13" s="461" t="s">
        <v>67</v>
      </c>
      <c r="C13" s="461"/>
      <c r="D13" s="461"/>
      <c r="E13" s="120"/>
      <c r="F13" s="120" t="s">
        <v>1181</v>
      </c>
      <c r="G13" s="120" t="s">
        <v>68</v>
      </c>
      <c r="H13" s="120" t="s">
        <v>702</v>
      </c>
      <c r="I13" s="120"/>
      <c r="J13" s="100">
        <f>45/ATHENS!O1*ATHENS!O2</f>
        <v>81.818181818181813</v>
      </c>
      <c r="K13" s="100">
        <f>75/ATHENS!O1*ATHENS!O2</f>
        <v>136.36363636363635</v>
      </c>
      <c r="L13" s="100">
        <f>90/ATHENS!O1*ATHENS!O2</f>
        <v>163.63636363636363</v>
      </c>
      <c r="M13" s="100">
        <f>107.5/ATHENS!O1*ATHENS!O2</f>
        <v>195.45454545454544</v>
      </c>
      <c r="N13" s="100"/>
      <c r="O13" s="130"/>
    </row>
    <row r="14" spans="1:15" s="111" customFormat="1" x14ac:dyDescent="0.2">
      <c r="A14" s="116"/>
      <c r="B14" s="461" t="s">
        <v>901</v>
      </c>
      <c r="C14" s="461"/>
      <c r="D14" s="461"/>
      <c r="E14" s="120"/>
      <c r="F14" s="120" t="s">
        <v>705</v>
      </c>
      <c r="G14" s="120" t="s">
        <v>68</v>
      </c>
      <c r="H14" s="120" t="s">
        <v>702</v>
      </c>
      <c r="I14" s="120"/>
      <c r="J14" s="100">
        <f>50/ATHENS!O1*ATHENS!O2</f>
        <v>90.909090909090907</v>
      </c>
      <c r="K14" s="100">
        <f>71.6/ATHENS!O1*ATHENS!O2</f>
        <v>130.18181818181816</v>
      </c>
      <c r="L14" s="100">
        <f>96.6/ATHENS!O1*ATHENS!O2</f>
        <v>175.63636363636363</v>
      </c>
      <c r="M14" s="100">
        <f>105/ATHENS!O1*ATHENS!O2</f>
        <v>190.90909090909091</v>
      </c>
      <c r="N14" s="100"/>
      <c r="O14" s="130"/>
    </row>
    <row r="15" spans="1:15" s="111" customFormat="1" x14ac:dyDescent="0.2">
      <c r="A15" s="116"/>
      <c r="B15" s="461" t="s">
        <v>901</v>
      </c>
      <c r="C15" s="461"/>
      <c r="D15" s="461"/>
      <c r="E15" s="120"/>
      <c r="F15" s="120" t="s">
        <v>706</v>
      </c>
      <c r="G15" s="120" t="s">
        <v>68</v>
      </c>
      <c r="H15" s="120" t="s">
        <v>702</v>
      </c>
      <c r="I15" s="120"/>
      <c r="J15" s="100">
        <f>37.5/ATHENS!O1*ATHENS!O2</f>
        <v>68.181818181818173</v>
      </c>
      <c r="K15" s="100">
        <f>53.75/ATHENS!O1*ATHENS!O2</f>
        <v>97.72727272727272</v>
      </c>
      <c r="L15" s="100">
        <f>72.5/ATHENS!O1*ATHENS!O2</f>
        <v>131.81818181818181</v>
      </c>
      <c r="M15" s="100">
        <f>78.75/ATHENS!O1*ATHENS!O2</f>
        <v>143.18181818181816</v>
      </c>
      <c r="N15" s="100"/>
      <c r="O15" s="130"/>
    </row>
    <row r="16" spans="1:15" s="111" customFormat="1" ht="13.5" thickBot="1" x14ac:dyDescent="0.25">
      <c r="A16" s="121"/>
      <c r="B16" s="460"/>
      <c r="C16" s="460"/>
      <c r="D16" s="460"/>
      <c r="E16" s="123"/>
      <c r="F16" s="123"/>
      <c r="G16" s="123"/>
      <c r="H16" s="123"/>
      <c r="I16" s="123"/>
      <c r="J16" s="105"/>
      <c r="K16" s="105"/>
      <c r="L16" s="105"/>
      <c r="M16" s="105"/>
      <c r="N16" s="105"/>
      <c r="O16" s="130"/>
    </row>
    <row r="17" spans="1:15" s="111" customFormat="1" ht="13.5" thickBot="1" x14ac:dyDescent="0.25">
      <c r="A17" s="239"/>
      <c r="B17" s="119"/>
      <c r="C17" s="119"/>
      <c r="D17" s="119"/>
      <c r="E17" s="120"/>
      <c r="F17" s="120"/>
      <c r="G17" s="120"/>
      <c r="H17" s="120"/>
      <c r="I17" s="120"/>
      <c r="J17" s="120"/>
      <c r="K17" s="120"/>
      <c r="L17" s="120"/>
      <c r="M17" s="120"/>
      <c r="N17" s="120"/>
      <c r="O17" s="130"/>
    </row>
    <row r="18" spans="1:15" s="111" customFormat="1" ht="13.5" thickBot="1" x14ac:dyDescent="0.25">
      <c r="A18" s="112"/>
      <c r="B18" s="113"/>
      <c r="C18" s="113"/>
      <c r="D18" s="113"/>
      <c r="E18" s="114"/>
      <c r="F18" s="114"/>
      <c r="G18" s="114"/>
      <c r="H18" s="114"/>
      <c r="I18" s="114"/>
      <c r="J18" s="114"/>
      <c r="K18" s="114"/>
      <c r="L18" s="114"/>
      <c r="M18" s="114"/>
      <c r="N18" s="115"/>
      <c r="O18" s="130"/>
    </row>
    <row r="19" spans="1:15" s="111" customFormat="1" ht="15.75" thickBot="1" x14ac:dyDescent="0.25">
      <c r="A19" s="116"/>
      <c r="B19" s="484" t="s">
        <v>1627</v>
      </c>
      <c r="C19" s="485"/>
      <c r="D19" s="485"/>
      <c r="E19" s="485"/>
      <c r="F19" s="485"/>
      <c r="G19" s="485"/>
      <c r="H19" s="485"/>
      <c r="I19" s="485"/>
      <c r="J19" s="485"/>
      <c r="K19" s="485"/>
      <c r="L19" s="485"/>
      <c r="M19" s="486"/>
      <c r="N19" s="117" t="s">
        <v>683</v>
      </c>
      <c r="O19" s="130"/>
    </row>
    <row r="20" spans="1:15" s="111" customFormat="1" x14ac:dyDescent="0.2">
      <c r="A20" s="116"/>
      <c r="B20" s="118" t="s">
        <v>428</v>
      </c>
      <c r="C20" s="119" t="s">
        <v>1472</v>
      </c>
      <c r="D20" s="119"/>
      <c r="E20" s="120"/>
      <c r="F20" s="120"/>
      <c r="G20" s="120"/>
      <c r="H20" s="120"/>
      <c r="I20" s="120"/>
      <c r="J20" s="120"/>
      <c r="K20" s="120"/>
      <c r="L20" s="120"/>
      <c r="M20" s="120"/>
      <c r="N20" s="101"/>
      <c r="O20" s="130"/>
    </row>
    <row r="21" spans="1:15" s="111" customFormat="1" x14ac:dyDescent="0.2">
      <c r="A21" s="116"/>
      <c r="B21" s="118" t="s">
        <v>429</v>
      </c>
      <c r="C21" s="119" t="s">
        <v>1338</v>
      </c>
      <c r="D21" s="119"/>
      <c r="E21" s="120"/>
      <c r="F21" s="120"/>
      <c r="G21" s="120"/>
      <c r="H21" s="120"/>
      <c r="I21" s="120"/>
      <c r="J21" s="120"/>
      <c r="K21" s="120"/>
      <c r="L21" s="120"/>
      <c r="M21" s="120"/>
      <c r="N21" s="101"/>
      <c r="O21" s="130"/>
    </row>
    <row r="22" spans="1:15" s="111" customFormat="1" x14ac:dyDescent="0.2">
      <c r="A22" s="116"/>
      <c r="B22" s="118" t="s">
        <v>427</v>
      </c>
      <c r="C22" s="480" t="s">
        <v>1265</v>
      </c>
      <c r="D22" s="480"/>
      <c r="E22" s="480"/>
      <c r="F22" s="480"/>
      <c r="G22" s="480"/>
      <c r="H22" s="480"/>
      <c r="I22" s="480"/>
      <c r="J22" s="480"/>
      <c r="K22" s="480"/>
      <c r="L22" s="480"/>
      <c r="M22" s="480"/>
      <c r="N22" s="481"/>
      <c r="O22" s="130"/>
    </row>
    <row r="23" spans="1:15" s="111" customFormat="1" x14ac:dyDescent="0.2">
      <c r="A23" s="116"/>
      <c r="B23" s="118"/>
      <c r="C23" s="480"/>
      <c r="D23" s="480"/>
      <c r="E23" s="480"/>
      <c r="F23" s="480"/>
      <c r="G23" s="480"/>
      <c r="H23" s="480"/>
      <c r="I23" s="480"/>
      <c r="J23" s="480"/>
      <c r="K23" s="480"/>
      <c r="L23" s="480"/>
      <c r="M23" s="480"/>
      <c r="N23" s="481"/>
      <c r="O23" s="130"/>
    </row>
    <row r="24" spans="1:15" s="111" customFormat="1" x14ac:dyDescent="0.2">
      <c r="A24" s="116"/>
      <c r="B24" s="118" t="s">
        <v>426</v>
      </c>
      <c r="C24" s="151" t="s">
        <v>1473</v>
      </c>
      <c r="D24" s="119"/>
      <c r="E24" s="120"/>
      <c r="F24" s="120"/>
      <c r="G24" s="120"/>
      <c r="H24" s="120"/>
      <c r="I24" s="120"/>
      <c r="J24" s="120"/>
      <c r="K24" s="120"/>
      <c r="L24" s="120"/>
      <c r="M24" s="120"/>
      <c r="N24" s="101"/>
      <c r="O24" s="130"/>
    </row>
    <row r="25" spans="1:15" s="111" customFormat="1" ht="13.5" thickBot="1" x14ac:dyDescent="0.25">
      <c r="A25" s="121"/>
      <c r="B25" s="133" t="s">
        <v>430</v>
      </c>
      <c r="C25" s="122"/>
      <c r="D25" s="122"/>
      <c r="E25" s="123"/>
      <c r="F25" s="123"/>
      <c r="G25" s="123"/>
      <c r="H25" s="123"/>
      <c r="I25" s="123"/>
      <c r="J25" s="123"/>
      <c r="K25" s="123"/>
      <c r="L25" s="123"/>
      <c r="M25" s="123"/>
      <c r="N25" s="104"/>
      <c r="O25" s="130"/>
    </row>
    <row r="26" spans="1:15" s="111" customFormat="1" x14ac:dyDescent="0.2">
      <c r="A26" s="112"/>
      <c r="B26" s="113" t="s">
        <v>263</v>
      </c>
      <c r="C26" s="113"/>
      <c r="D26" s="113"/>
      <c r="E26" s="114"/>
      <c r="F26" s="114"/>
      <c r="G26" s="114"/>
      <c r="H26" s="114"/>
      <c r="I26" s="114"/>
      <c r="J26" s="127" t="s">
        <v>753</v>
      </c>
      <c r="K26" s="126" t="s">
        <v>65</v>
      </c>
      <c r="L26" s="126"/>
      <c r="M26" s="126"/>
      <c r="N26" s="126"/>
      <c r="O26" s="130"/>
    </row>
    <row r="27" spans="1:15" s="111" customFormat="1" ht="13.5" thickBot="1" x14ac:dyDescent="0.25">
      <c r="A27" s="121"/>
      <c r="B27" s="122"/>
      <c r="C27" s="122"/>
      <c r="D27" s="122"/>
      <c r="E27" s="123"/>
      <c r="F27" s="123"/>
      <c r="G27" s="123"/>
      <c r="H27" s="123"/>
      <c r="I27" s="123"/>
      <c r="J27" s="125" t="s">
        <v>1832</v>
      </c>
      <c r="K27" s="105" t="s">
        <v>1222</v>
      </c>
      <c r="L27" s="105" t="s">
        <v>1833</v>
      </c>
      <c r="M27" s="105"/>
      <c r="N27" s="105"/>
      <c r="O27" s="130"/>
    </row>
    <row r="28" spans="1:15" s="111" customFormat="1" x14ac:dyDescent="0.2">
      <c r="A28" s="112"/>
      <c r="B28" s="467" t="s">
        <v>67</v>
      </c>
      <c r="C28" s="467"/>
      <c r="D28" s="467"/>
      <c r="E28" s="114"/>
      <c r="F28" s="114" t="s">
        <v>1181</v>
      </c>
      <c r="G28" s="114" t="s">
        <v>68</v>
      </c>
      <c r="H28" s="114" t="s">
        <v>1184</v>
      </c>
      <c r="I28" s="114"/>
      <c r="J28" s="100">
        <f>353/ATHENS!O1*ATHENS!O2</f>
        <v>641.81818181818176</v>
      </c>
      <c r="K28" s="100">
        <f>421/ATHENS!O1*ATHENS!O2</f>
        <v>765.45454545454538</v>
      </c>
      <c r="L28" s="100">
        <f>498/ATHENS!O1*ATHENS!O2</f>
        <v>905.45454545454538</v>
      </c>
      <c r="M28" s="100"/>
      <c r="N28" s="126"/>
      <c r="O28" s="130"/>
    </row>
    <row r="29" spans="1:15" s="111" customFormat="1" ht="13.5" thickBot="1" x14ac:dyDescent="0.25">
      <c r="A29" s="121"/>
      <c r="B29" s="460" t="s">
        <v>1868</v>
      </c>
      <c r="C29" s="460"/>
      <c r="D29" s="460"/>
      <c r="E29" s="123"/>
      <c r="F29" s="123" t="s">
        <v>518</v>
      </c>
      <c r="G29" s="123" t="s">
        <v>68</v>
      </c>
      <c r="H29" s="123" t="s">
        <v>1184</v>
      </c>
      <c r="I29" s="123"/>
      <c r="J29" s="105">
        <f>400/ATHENS!O1*ATHENS!O2</f>
        <v>727.27272727272725</v>
      </c>
      <c r="K29" s="105">
        <f>498/ATHENS!O1*ATHENS!O2</f>
        <v>905.45454545454538</v>
      </c>
      <c r="L29" s="105">
        <f>591/ATHENS!O1*ATHENS!O2</f>
        <v>1074.5454545454545</v>
      </c>
      <c r="M29" s="105"/>
      <c r="N29" s="105"/>
      <c r="O29" s="130"/>
    </row>
    <row r="30" spans="1:15" s="111" customFormat="1" ht="13.5" thickBot="1" x14ac:dyDescent="0.25">
      <c r="A30" s="239"/>
      <c r="B30" s="119"/>
      <c r="C30" s="119"/>
      <c r="D30" s="119"/>
      <c r="E30" s="120"/>
      <c r="F30" s="120"/>
      <c r="G30" s="120"/>
      <c r="H30" s="120"/>
      <c r="I30" s="120"/>
      <c r="J30" s="120"/>
      <c r="K30" s="120"/>
      <c r="L30" s="120"/>
      <c r="M30" s="120"/>
      <c r="N30" s="120"/>
      <c r="O30" s="130"/>
    </row>
    <row r="31" spans="1:15" s="111" customFormat="1" ht="13.5" thickBot="1" x14ac:dyDescent="0.25">
      <c r="A31" s="112"/>
      <c r="B31" s="113"/>
      <c r="C31" s="113"/>
      <c r="D31" s="113"/>
      <c r="E31" s="114"/>
      <c r="F31" s="114"/>
      <c r="G31" s="114"/>
      <c r="H31" s="114"/>
      <c r="I31" s="114"/>
      <c r="J31" s="114"/>
      <c r="K31" s="114"/>
      <c r="L31" s="114"/>
      <c r="M31" s="114"/>
      <c r="N31" s="115"/>
      <c r="O31" s="130"/>
    </row>
    <row r="32" spans="1:15" s="111" customFormat="1" ht="15.75" thickBot="1" x14ac:dyDescent="0.25">
      <c r="A32" s="116"/>
      <c r="B32" s="484" t="s">
        <v>930</v>
      </c>
      <c r="C32" s="485"/>
      <c r="D32" s="485"/>
      <c r="E32" s="485"/>
      <c r="F32" s="485"/>
      <c r="G32" s="485"/>
      <c r="H32" s="485"/>
      <c r="I32" s="485"/>
      <c r="J32" s="485"/>
      <c r="K32" s="485"/>
      <c r="L32" s="485"/>
      <c r="M32" s="486"/>
      <c r="N32" s="117" t="s">
        <v>91</v>
      </c>
      <c r="O32" s="130"/>
    </row>
    <row r="33" spans="1:15" s="111" customFormat="1" x14ac:dyDescent="0.2">
      <c r="A33" s="116"/>
      <c r="B33" s="118" t="s">
        <v>428</v>
      </c>
      <c r="C33" s="119" t="s">
        <v>1468</v>
      </c>
      <c r="D33" s="119"/>
      <c r="E33" s="120"/>
      <c r="F33" s="120"/>
      <c r="G33" s="120"/>
      <c r="H33" s="120"/>
      <c r="I33" s="120"/>
      <c r="J33" s="120"/>
      <c r="K33" s="120"/>
      <c r="L33" s="120"/>
      <c r="M33" s="120"/>
      <c r="N33" s="101"/>
      <c r="O33" s="130"/>
    </row>
    <row r="34" spans="1:15" s="111" customFormat="1" x14ac:dyDescent="0.2">
      <c r="A34" s="116"/>
      <c r="B34" s="118" t="s">
        <v>429</v>
      </c>
      <c r="C34" s="119" t="s">
        <v>486</v>
      </c>
      <c r="D34" s="119"/>
      <c r="E34" s="120"/>
      <c r="F34" s="120"/>
      <c r="G34" s="120"/>
      <c r="H34" s="120"/>
      <c r="I34" s="120"/>
      <c r="J34" s="120"/>
      <c r="K34" s="120"/>
      <c r="L34" s="120"/>
      <c r="M34" s="120"/>
      <c r="N34" s="101"/>
      <c r="O34" s="130"/>
    </row>
    <row r="35" spans="1:15" s="111" customFormat="1" x14ac:dyDescent="0.2">
      <c r="A35" s="116"/>
      <c r="B35" s="118" t="s">
        <v>427</v>
      </c>
      <c r="C35" s="480" t="s">
        <v>1638</v>
      </c>
      <c r="D35" s="480"/>
      <c r="E35" s="480"/>
      <c r="F35" s="480"/>
      <c r="G35" s="480"/>
      <c r="H35" s="480"/>
      <c r="I35" s="480"/>
      <c r="J35" s="480"/>
      <c r="K35" s="480"/>
      <c r="L35" s="480"/>
      <c r="M35" s="480"/>
      <c r="N35" s="481"/>
      <c r="O35" s="130"/>
    </row>
    <row r="36" spans="1:15" s="111" customFormat="1" x14ac:dyDescent="0.2">
      <c r="A36" s="116"/>
      <c r="B36" s="118"/>
      <c r="C36" s="480"/>
      <c r="D36" s="480"/>
      <c r="E36" s="480"/>
      <c r="F36" s="480"/>
      <c r="G36" s="480"/>
      <c r="H36" s="480"/>
      <c r="I36" s="480"/>
      <c r="J36" s="480"/>
      <c r="K36" s="480"/>
      <c r="L36" s="480"/>
      <c r="M36" s="480"/>
      <c r="N36" s="481"/>
      <c r="O36" s="130"/>
    </row>
    <row r="37" spans="1:15" s="111" customFormat="1" x14ac:dyDescent="0.2">
      <c r="A37" s="116"/>
      <c r="B37" s="109"/>
      <c r="C37" s="480"/>
      <c r="D37" s="480"/>
      <c r="E37" s="480"/>
      <c r="F37" s="480"/>
      <c r="G37" s="480"/>
      <c r="H37" s="480"/>
      <c r="I37" s="480"/>
      <c r="J37" s="480"/>
      <c r="K37" s="480"/>
      <c r="L37" s="480"/>
      <c r="M37" s="480"/>
      <c r="N37" s="481"/>
      <c r="O37" s="130"/>
    </row>
    <row r="38" spans="1:15" s="111" customFormat="1" x14ac:dyDescent="0.2">
      <c r="A38" s="116"/>
      <c r="B38" s="118" t="s">
        <v>426</v>
      </c>
      <c r="C38" s="119"/>
      <c r="D38" s="119"/>
      <c r="E38" s="120"/>
      <c r="F38" s="120"/>
      <c r="G38" s="120"/>
      <c r="H38" s="120"/>
      <c r="I38" s="120"/>
      <c r="J38" s="120"/>
      <c r="K38" s="120"/>
      <c r="L38" s="120"/>
      <c r="M38" s="120"/>
      <c r="N38" s="101"/>
      <c r="O38" s="130"/>
    </row>
    <row r="39" spans="1:15" s="111" customFormat="1" ht="13.5" thickBot="1" x14ac:dyDescent="0.25">
      <c r="A39" s="116"/>
      <c r="B39" s="118" t="s">
        <v>430</v>
      </c>
      <c r="C39" s="119"/>
      <c r="D39" s="119"/>
      <c r="E39" s="120"/>
      <c r="F39" s="120"/>
      <c r="G39" s="120"/>
      <c r="H39" s="120"/>
      <c r="I39" s="120"/>
      <c r="J39" s="120"/>
      <c r="K39" s="120"/>
      <c r="L39" s="120"/>
      <c r="M39" s="120"/>
      <c r="N39" s="101"/>
      <c r="O39" s="130"/>
    </row>
    <row r="40" spans="1:15" s="111" customFormat="1" x14ac:dyDescent="0.2">
      <c r="A40" s="112"/>
      <c r="B40" s="113" t="s">
        <v>263</v>
      </c>
      <c r="C40" s="113"/>
      <c r="D40" s="113"/>
      <c r="E40" s="114"/>
      <c r="F40" s="114"/>
      <c r="G40" s="114"/>
      <c r="H40" s="114"/>
      <c r="I40" s="114"/>
      <c r="J40" s="126" t="s">
        <v>753</v>
      </c>
      <c r="K40" s="126" t="s">
        <v>65</v>
      </c>
      <c r="L40" s="126"/>
      <c r="M40" s="126"/>
      <c r="N40" s="126"/>
      <c r="O40" s="130"/>
    </row>
    <row r="41" spans="1:15" s="111" customFormat="1" ht="13.5" thickBot="1" x14ac:dyDescent="0.25">
      <c r="A41" s="121"/>
      <c r="B41" s="122"/>
      <c r="C41" s="122"/>
      <c r="D41" s="122"/>
      <c r="E41" s="123"/>
      <c r="F41" s="123"/>
      <c r="G41" s="123"/>
      <c r="H41" s="123"/>
      <c r="I41" s="123"/>
      <c r="J41" s="105" t="s">
        <v>1832</v>
      </c>
      <c r="K41" s="105" t="s">
        <v>1222</v>
      </c>
      <c r="L41" s="105" t="s">
        <v>1833</v>
      </c>
      <c r="M41" s="105"/>
      <c r="N41" s="105"/>
      <c r="O41" s="130"/>
    </row>
    <row r="42" spans="1:15" s="111" customFormat="1" x14ac:dyDescent="0.2">
      <c r="A42" s="112"/>
      <c r="B42" s="467" t="s">
        <v>67</v>
      </c>
      <c r="C42" s="467"/>
      <c r="D42" s="467"/>
      <c r="E42" s="114"/>
      <c r="F42" s="114" t="s">
        <v>1181</v>
      </c>
      <c r="G42" s="114" t="s">
        <v>68</v>
      </c>
      <c r="H42" s="114" t="s">
        <v>1184</v>
      </c>
      <c r="I42" s="114"/>
      <c r="J42" s="126">
        <f>379/ATHENS!O1*ATHENS!O2</f>
        <v>689.09090909090901</v>
      </c>
      <c r="K42" s="126">
        <f>447/ATHENS!O1*ATHENS!O2</f>
        <v>812.72727272727263</v>
      </c>
      <c r="L42" s="126">
        <f>617/ATHENS!O1*ATHENS!O2</f>
        <v>1121.8181818181818</v>
      </c>
      <c r="M42" s="126"/>
      <c r="N42" s="126"/>
      <c r="O42" s="130"/>
    </row>
    <row r="43" spans="1:15" s="111" customFormat="1" ht="13.5" thickBot="1" x14ac:dyDescent="0.25">
      <c r="A43" s="121"/>
      <c r="B43" s="460" t="s">
        <v>1868</v>
      </c>
      <c r="C43" s="460"/>
      <c r="D43" s="460"/>
      <c r="E43" s="123"/>
      <c r="F43" s="123" t="s">
        <v>518</v>
      </c>
      <c r="G43" s="123" t="s">
        <v>68</v>
      </c>
      <c r="H43" s="123" t="s">
        <v>1184</v>
      </c>
      <c r="I43" s="123"/>
      <c r="J43" s="105">
        <f>430/ATHENS!O1*ATHENS!O2</f>
        <v>781.81818181818176</v>
      </c>
      <c r="K43" s="105">
        <f>536/ATHENS!O1*ATHENS!O2</f>
        <v>974.5454545454545</v>
      </c>
      <c r="L43" s="105">
        <f>765/ATHENS!O1*ATHENS!O2</f>
        <v>1390.9090909090908</v>
      </c>
      <c r="M43" s="105"/>
      <c r="N43" s="105"/>
      <c r="O43" s="130"/>
    </row>
    <row r="44" spans="1:15" s="111" customFormat="1" ht="13.5" thickBot="1" x14ac:dyDescent="0.25">
      <c r="A44" s="134"/>
      <c r="B44" s="135" t="s">
        <v>780</v>
      </c>
      <c r="C44" s="135"/>
      <c r="D44" s="135"/>
      <c r="E44" s="136"/>
      <c r="F44" s="136"/>
      <c r="G44" s="136"/>
      <c r="H44" s="136"/>
      <c r="I44" s="136"/>
      <c r="J44" s="136"/>
      <c r="K44" s="136"/>
      <c r="L44" s="136"/>
      <c r="M44" s="136"/>
      <c r="N44" s="137"/>
      <c r="O44" s="130"/>
    </row>
    <row r="45" spans="1:15" s="111" customFormat="1" ht="13.5" thickBot="1" x14ac:dyDescent="0.25">
      <c r="A45" s="108"/>
      <c r="B45" s="109"/>
      <c r="C45" s="109"/>
      <c r="D45" s="109"/>
      <c r="E45" s="110"/>
      <c r="F45" s="110"/>
      <c r="G45" s="110"/>
      <c r="H45" s="110"/>
      <c r="I45" s="110"/>
      <c r="J45" s="110"/>
      <c r="K45" s="110"/>
      <c r="L45" s="110"/>
      <c r="M45" s="110"/>
      <c r="N45" s="110"/>
      <c r="O45" s="130"/>
    </row>
    <row r="46" spans="1:15" s="111" customFormat="1" ht="13.5" thickBot="1" x14ac:dyDescent="0.25">
      <c r="A46" s="112"/>
      <c r="B46" s="113"/>
      <c r="C46" s="113"/>
      <c r="D46" s="113"/>
      <c r="E46" s="114"/>
      <c r="F46" s="114"/>
      <c r="G46" s="114"/>
      <c r="H46" s="114"/>
      <c r="I46" s="114"/>
      <c r="J46" s="114"/>
      <c r="K46" s="114"/>
      <c r="L46" s="114"/>
      <c r="M46" s="114"/>
      <c r="N46" s="115"/>
      <c r="O46" s="130"/>
    </row>
    <row r="47" spans="1:15" s="111" customFormat="1" ht="15.75" thickBot="1" x14ac:dyDescent="0.25">
      <c r="A47" s="116"/>
      <c r="B47" s="484" t="s">
        <v>225</v>
      </c>
      <c r="C47" s="485"/>
      <c r="D47" s="485"/>
      <c r="E47" s="485"/>
      <c r="F47" s="485"/>
      <c r="G47" s="485"/>
      <c r="H47" s="485"/>
      <c r="I47" s="485"/>
      <c r="J47" s="485"/>
      <c r="K47" s="485"/>
      <c r="L47" s="485"/>
      <c r="M47" s="486"/>
      <c r="N47" s="117" t="s">
        <v>91</v>
      </c>
      <c r="O47" s="130"/>
    </row>
    <row r="48" spans="1:15" s="111" customFormat="1" x14ac:dyDescent="0.2">
      <c r="A48" s="116"/>
      <c r="B48" s="118" t="s">
        <v>428</v>
      </c>
      <c r="C48" s="119" t="s">
        <v>1072</v>
      </c>
      <c r="D48" s="119"/>
      <c r="E48" s="120"/>
      <c r="F48" s="120"/>
      <c r="G48" s="120"/>
      <c r="H48" s="120"/>
      <c r="I48" s="120"/>
      <c r="J48" s="120"/>
      <c r="K48" s="120"/>
      <c r="L48" s="120"/>
      <c r="M48" s="120"/>
      <c r="N48" s="101"/>
      <c r="O48" s="130"/>
    </row>
    <row r="49" spans="1:15" s="111" customFormat="1" x14ac:dyDescent="0.2">
      <c r="A49" s="116"/>
      <c r="B49" s="118" t="s">
        <v>429</v>
      </c>
      <c r="C49" s="119" t="s">
        <v>1073</v>
      </c>
      <c r="D49" s="119"/>
      <c r="E49" s="120"/>
      <c r="F49" s="120"/>
      <c r="G49" s="120"/>
      <c r="H49" s="120"/>
      <c r="I49" s="120"/>
      <c r="J49" s="120"/>
      <c r="K49" s="120"/>
      <c r="L49" s="120"/>
      <c r="M49" s="120"/>
      <c r="N49" s="101"/>
      <c r="O49" s="130"/>
    </row>
    <row r="50" spans="1:15" s="111" customFormat="1" ht="22.5" customHeight="1" x14ac:dyDescent="0.2">
      <c r="A50" s="116"/>
      <c r="B50" s="118" t="s">
        <v>427</v>
      </c>
      <c r="C50" s="480" t="s">
        <v>1093</v>
      </c>
      <c r="D50" s="480"/>
      <c r="E50" s="480"/>
      <c r="F50" s="480"/>
      <c r="G50" s="480"/>
      <c r="H50" s="480"/>
      <c r="I50" s="480"/>
      <c r="J50" s="480"/>
      <c r="K50" s="480"/>
      <c r="L50" s="480"/>
      <c r="M50" s="480"/>
      <c r="N50" s="481"/>
      <c r="O50" s="130"/>
    </row>
    <row r="51" spans="1:15" s="111" customFormat="1" ht="19.5" customHeight="1" x14ac:dyDescent="0.2">
      <c r="A51" s="116"/>
      <c r="B51" s="118"/>
      <c r="C51" s="480"/>
      <c r="D51" s="480"/>
      <c r="E51" s="480"/>
      <c r="F51" s="480"/>
      <c r="G51" s="480"/>
      <c r="H51" s="480"/>
      <c r="I51" s="480"/>
      <c r="J51" s="480"/>
      <c r="K51" s="480"/>
      <c r="L51" s="480"/>
      <c r="M51" s="480"/>
      <c r="N51" s="481"/>
      <c r="O51" s="130"/>
    </row>
    <row r="52" spans="1:15" s="111" customFormat="1" x14ac:dyDescent="0.2">
      <c r="A52" s="116"/>
      <c r="B52" s="118"/>
      <c r="C52" s="480"/>
      <c r="D52" s="480"/>
      <c r="E52" s="480"/>
      <c r="F52" s="480"/>
      <c r="G52" s="480"/>
      <c r="H52" s="480"/>
      <c r="I52" s="480"/>
      <c r="J52" s="480"/>
      <c r="K52" s="480"/>
      <c r="L52" s="480"/>
      <c r="M52" s="480"/>
      <c r="N52" s="481"/>
      <c r="O52" s="130"/>
    </row>
    <row r="53" spans="1:15" s="111" customFormat="1" x14ac:dyDescent="0.2">
      <c r="A53" s="116"/>
      <c r="B53" s="118"/>
      <c r="C53" s="446"/>
      <c r="D53" s="446"/>
      <c r="E53" s="446"/>
      <c r="F53" s="446"/>
      <c r="G53" s="446"/>
      <c r="H53" s="446"/>
      <c r="I53" s="446"/>
      <c r="J53" s="446"/>
      <c r="K53" s="446"/>
      <c r="L53" s="446"/>
      <c r="M53" s="446"/>
      <c r="N53" s="447"/>
      <c r="O53" s="130"/>
    </row>
    <row r="54" spans="1:15" s="111" customFormat="1" x14ac:dyDescent="0.2">
      <c r="A54" s="116"/>
      <c r="B54" s="118" t="s">
        <v>426</v>
      </c>
      <c r="C54" s="119"/>
      <c r="D54" s="119"/>
      <c r="E54" s="120"/>
      <c r="F54" s="120"/>
      <c r="G54" s="120"/>
      <c r="H54" s="120"/>
      <c r="I54" s="120"/>
      <c r="J54" s="120"/>
      <c r="K54" s="120"/>
      <c r="L54" s="120"/>
      <c r="M54" s="120"/>
      <c r="N54" s="101"/>
      <c r="O54" s="130"/>
    </row>
    <row r="55" spans="1:15" s="111" customFormat="1" x14ac:dyDescent="0.2">
      <c r="A55" s="116"/>
      <c r="B55" s="118" t="s">
        <v>430</v>
      </c>
      <c r="C55" s="119"/>
      <c r="D55" s="119"/>
      <c r="E55" s="120"/>
      <c r="F55" s="120"/>
      <c r="G55" s="120"/>
      <c r="H55" s="120"/>
      <c r="I55" s="120"/>
      <c r="J55" s="120"/>
      <c r="K55" s="120"/>
      <c r="L55" s="120"/>
      <c r="M55" s="120"/>
      <c r="N55" s="101"/>
      <c r="O55" s="130"/>
    </row>
    <row r="56" spans="1:15" s="111" customFormat="1" x14ac:dyDescent="0.2">
      <c r="A56" s="116"/>
      <c r="B56" s="118"/>
      <c r="C56" s="119"/>
      <c r="D56" s="119"/>
      <c r="E56" s="120"/>
      <c r="F56" s="120"/>
      <c r="G56" s="120"/>
      <c r="H56" s="120"/>
      <c r="I56" s="120"/>
      <c r="J56" s="120"/>
      <c r="K56" s="120"/>
      <c r="L56" s="120"/>
      <c r="M56" s="120"/>
      <c r="N56" s="101"/>
      <c r="O56" s="130"/>
    </row>
    <row r="57" spans="1:15" s="111" customFormat="1" ht="13.5" thickBot="1" x14ac:dyDescent="0.25">
      <c r="A57" s="116"/>
      <c r="B57" s="118"/>
      <c r="C57" s="119"/>
      <c r="D57" s="119"/>
      <c r="E57" s="120"/>
      <c r="F57" s="120"/>
      <c r="G57" s="120"/>
      <c r="H57" s="120"/>
      <c r="I57" s="120"/>
      <c r="J57" s="120"/>
      <c r="K57" s="120"/>
      <c r="L57" s="120"/>
      <c r="M57" s="120"/>
      <c r="N57" s="101"/>
      <c r="O57" s="130"/>
    </row>
    <row r="58" spans="1:15" s="111" customFormat="1" x14ac:dyDescent="0.2">
      <c r="A58" s="112"/>
      <c r="B58" s="113" t="s">
        <v>263</v>
      </c>
      <c r="C58" s="113"/>
      <c r="D58" s="113"/>
      <c r="E58" s="114"/>
      <c r="F58" s="114"/>
      <c r="G58" s="114"/>
      <c r="H58" s="114"/>
      <c r="I58" s="114"/>
      <c r="J58" s="126" t="s">
        <v>753</v>
      </c>
      <c r="K58" s="126" t="s">
        <v>65</v>
      </c>
      <c r="L58" s="126"/>
      <c r="M58" s="126"/>
      <c r="N58" s="126"/>
      <c r="O58" s="130"/>
    </row>
    <row r="59" spans="1:15" s="111" customFormat="1" ht="13.5" thickBot="1" x14ac:dyDescent="0.25">
      <c r="A59" s="121"/>
      <c r="B59" s="122"/>
      <c r="C59" s="122"/>
      <c r="D59" s="122"/>
      <c r="E59" s="123"/>
      <c r="F59" s="123"/>
      <c r="G59" s="123"/>
      <c r="H59" s="123"/>
      <c r="I59" s="123"/>
      <c r="J59" s="105" t="s">
        <v>1832</v>
      </c>
      <c r="K59" s="105" t="s">
        <v>1222</v>
      </c>
      <c r="L59" s="105" t="s">
        <v>1833</v>
      </c>
      <c r="M59" s="105"/>
      <c r="N59" s="105"/>
      <c r="O59" s="130"/>
    </row>
    <row r="60" spans="1:15" s="111" customFormat="1" x14ac:dyDescent="0.2">
      <c r="A60" s="112"/>
      <c r="B60" s="467" t="s">
        <v>522</v>
      </c>
      <c r="C60" s="467"/>
      <c r="D60" s="467"/>
      <c r="E60" s="114"/>
      <c r="F60" s="114" t="s">
        <v>518</v>
      </c>
      <c r="G60" s="114" t="s">
        <v>68</v>
      </c>
      <c r="H60" s="114" t="s">
        <v>1184</v>
      </c>
      <c r="I60" s="114"/>
      <c r="J60" s="126">
        <f>400/ATHENS!O1*ATHENS!O2</f>
        <v>727.27272727272725</v>
      </c>
      <c r="K60" s="126">
        <f>498/ATHENS!O1*ATHENS!O2</f>
        <v>905.45454545454538</v>
      </c>
      <c r="L60" s="126">
        <f>655/ATHENS!O1*ATHENS!O2</f>
        <v>1190.9090909090908</v>
      </c>
      <c r="M60" s="126"/>
      <c r="N60" s="126"/>
      <c r="O60" s="130"/>
    </row>
    <row r="61" spans="1:15" s="111" customFormat="1" x14ac:dyDescent="0.2">
      <c r="A61" s="116"/>
      <c r="B61" s="461" t="s">
        <v>487</v>
      </c>
      <c r="C61" s="461"/>
      <c r="D61" s="461"/>
      <c r="E61" s="120"/>
      <c r="F61" s="120" t="s">
        <v>518</v>
      </c>
      <c r="G61" s="120" t="s">
        <v>68</v>
      </c>
      <c r="H61" s="120" t="s">
        <v>1184</v>
      </c>
      <c r="I61" s="120"/>
      <c r="J61" s="100">
        <f>515/ATHENS!O1*ATHENS!O2</f>
        <v>936.36363636363626</v>
      </c>
      <c r="K61" s="100">
        <f>617/ATHENS!O1*ATHENS!O2</f>
        <v>1121.8181818181818</v>
      </c>
      <c r="L61" s="100">
        <f>808/ATHENS!O1*ATHENS!O2</f>
        <v>1469.090909090909</v>
      </c>
      <c r="M61" s="100"/>
      <c r="N61" s="100"/>
      <c r="O61" s="130"/>
    </row>
    <row r="62" spans="1:15" s="111" customFormat="1" ht="13.5" thickBot="1" x14ac:dyDescent="0.25">
      <c r="A62" s="116"/>
      <c r="B62" s="461" t="s">
        <v>487</v>
      </c>
      <c r="C62" s="461"/>
      <c r="D62" s="461"/>
      <c r="E62" s="120"/>
      <c r="F62" s="120" t="s">
        <v>705</v>
      </c>
      <c r="G62" s="120" t="s">
        <v>68</v>
      </c>
      <c r="H62" s="120" t="s">
        <v>1184</v>
      </c>
      <c r="I62" s="120"/>
      <c r="J62" s="100">
        <f>617/ATHENS!O1*ATHENS!O2</f>
        <v>1121.8181818181818</v>
      </c>
      <c r="K62" s="100">
        <f>719/ATHENS!O1*ATHENS!O2</f>
        <v>1307.2727272727273</v>
      </c>
      <c r="L62" s="100">
        <f>910/ATHENS!O1*ATHENS!O2</f>
        <v>1654.5454545454545</v>
      </c>
      <c r="M62" s="100"/>
      <c r="N62" s="100"/>
      <c r="O62" s="130"/>
    </row>
    <row r="63" spans="1:15" s="111" customFormat="1" ht="13.5" thickBot="1" x14ac:dyDescent="0.25">
      <c r="A63" s="134"/>
      <c r="B63" s="135" t="s">
        <v>780</v>
      </c>
      <c r="C63" s="135"/>
      <c r="D63" s="135"/>
      <c r="E63" s="136"/>
      <c r="F63" s="136"/>
      <c r="G63" s="136"/>
      <c r="H63" s="136"/>
      <c r="I63" s="136"/>
      <c r="J63" s="136"/>
      <c r="K63" s="136"/>
      <c r="L63" s="136"/>
      <c r="M63" s="136"/>
      <c r="N63" s="137"/>
      <c r="O63" s="130"/>
    </row>
    <row r="64" spans="1:15" s="111" customFormat="1" ht="13.5" thickBot="1" x14ac:dyDescent="0.25">
      <c r="A64" s="108"/>
      <c r="B64" s="109"/>
      <c r="C64" s="109"/>
      <c r="D64" s="109"/>
      <c r="E64" s="110"/>
      <c r="F64" s="110"/>
      <c r="G64" s="110"/>
      <c r="H64" s="110"/>
      <c r="I64" s="110"/>
      <c r="J64" s="110"/>
      <c r="K64" s="110"/>
      <c r="L64" s="110"/>
      <c r="M64" s="110"/>
      <c r="N64" s="110"/>
      <c r="O64" s="130"/>
    </row>
    <row r="65" spans="1:15" s="111" customFormat="1" ht="13.5" thickBot="1" x14ac:dyDescent="0.25">
      <c r="A65" s="112"/>
      <c r="B65" s="113"/>
      <c r="C65" s="113"/>
      <c r="D65" s="113"/>
      <c r="E65" s="114"/>
      <c r="F65" s="114"/>
      <c r="G65" s="114"/>
      <c r="H65" s="114"/>
      <c r="I65" s="114"/>
      <c r="J65" s="114"/>
      <c r="K65" s="114"/>
      <c r="L65" s="114"/>
      <c r="M65" s="114"/>
      <c r="N65" s="115"/>
      <c r="O65" s="130"/>
    </row>
    <row r="66" spans="1:15" s="111" customFormat="1" ht="15.75" thickBot="1" x14ac:dyDescent="0.25">
      <c r="A66" s="116"/>
      <c r="B66" s="484" t="s">
        <v>1496</v>
      </c>
      <c r="C66" s="485"/>
      <c r="D66" s="485"/>
      <c r="E66" s="485"/>
      <c r="F66" s="485"/>
      <c r="G66" s="485"/>
      <c r="H66" s="485"/>
      <c r="I66" s="485"/>
      <c r="J66" s="485"/>
      <c r="K66" s="485"/>
      <c r="L66" s="485"/>
      <c r="M66" s="486"/>
      <c r="N66" s="117" t="s">
        <v>1104</v>
      </c>
      <c r="O66" s="130"/>
    </row>
    <row r="67" spans="1:15" s="111" customFormat="1" x14ac:dyDescent="0.2">
      <c r="A67" s="116"/>
      <c r="B67" s="118" t="s">
        <v>428</v>
      </c>
      <c r="C67" s="119" t="s">
        <v>1497</v>
      </c>
      <c r="D67" s="119"/>
      <c r="E67" s="120"/>
      <c r="F67" s="120"/>
      <c r="G67" s="120"/>
      <c r="H67" s="120"/>
      <c r="I67" s="120"/>
      <c r="J67" s="120"/>
      <c r="K67" s="120"/>
      <c r="L67" s="120"/>
      <c r="M67" s="120"/>
      <c r="N67" s="101"/>
      <c r="O67" s="130"/>
    </row>
    <row r="68" spans="1:15" s="111" customFormat="1" x14ac:dyDescent="0.2">
      <c r="A68" s="116"/>
      <c r="B68" s="118" t="s">
        <v>429</v>
      </c>
      <c r="C68" s="119" t="s">
        <v>1074</v>
      </c>
      <c r="D68" s="119"/>
      <c r="E68" s="120"/>
      <c r="F68" s="120"/>
      <c r="G68" s="120"/>
      <c r="H68" s="120"/>
      <c r="I68" s="120"/>
      <c r="J68" s="120"/>
      <c r="K68" s="120"/>
      <c r="L68" s="120"/>
      <c r="M68" s="120"/>
      <c r="N68" s="101"/>
      <c r="O68" s="130"/>
    </row>
    <row r="69" spans="1:15" s="111" customFormat="1" x14ac:dyDescent="0.2">
      <c r="A69" s="116"/>
      <c r="B69" s="118" t="s">
        <v>427</v>
      </c>
      <c r="C69" s="480" t="s">
        <v>1639</v>
      </c>
      <c r="D69" s="480"/>
      <c r="E69" s="480"/>
      <c r="F69" s="480"/>
      <c r="G69" s="480"/>
      <c r="H69" s="480"/>
      <c r="I69" s="480"/>
      <c r="J69" s="480"/>
      <c r="K69" s="480"/>
      <c r="L69" s="480"/>
      <c r="M69" s="480"/>
      <c r="N69" s="481"/>
      <c r="O69" s="130"/>
    </row>
    <row r="70" spans="1:15" s="111" customFormat="1" x14ac:dyDescent="0.2">
      <c r="A70" s="116"/>
      <c r="B70" s="118"/>
      <c r="C70" s="480"/>
      <c r="D70" s="480"/>
      <c r="E70" s="480"/>
      <c r="F70" s="480"/>
      <c r="G70" s="480"/>
      <c r="H70" s="480"/>
      <c r="I70" s="480"/>
      <c r="J70" s="480"/>
      <c r="K70" s="480"/>
      <c r="L70" s="480"/>
      <c r="M70" s="480"/>
      <c r="N70" s="481"/>
      <c r="O70" s="130"/>
    </row>
    <row r="71" spans="1:15" s="111" customFormat="1" x14ac:dyDescent="0.2">
      <c r="A71" s="116"/>
      <c r="B71" s="118"/>
      <c r="C71" s="480"/>
      <c r="D71" s="480"/>
      <c r="E71" s="480"/>
      <c r="F71" s="480"/>
      <c r="G71" s="480"/>
      <c r="H71" s="480"/>
      <c r="I71" s="480"/>
      <c r="J71" s="480"/>
      <c r="K71" s="480"/>
      <c r="L71" s="480"/>
      <c r="M71" s="480"/>
      <c r="N71" s="481"/>
      <c r="O71" s="130"/>
    </row>
    <row r="72" spans="1:15" s="111" customFormat="1" x14ac:dyDescent="0.2">
      <c r="A72" s="116"/>
      <c r="B72" s="118"/>
      <c r="C72" s="480"/>
      <c r="D72" s="480"/>
      <c r="E72" s="480"/>
      <c r="F72" s="480"/>
      <c r="G72" s="480"/>
      <c r="H72" s="480"/>
      <c r="I72" s="480"/>
      <c r="J72" s="480"/>
      <c r="K72" s="480"/>
      <c r="L72" s="480"/>
      <c r="M72" s="480"/>
      <c r="N72" s="481"/>
      <c r="O72" s="130"/>
    </row>
    <row r="73" spans="1:15" s="111" customFormat="1" x14ac:dyDescent="0.2">
      <c r="A73" s="116"/>
      <c r="B73" s="118"/>
      <c r="C73" s="480"/>
      <c r="D73" s="480"/>
      <c r="E73" s="480"/>
      <c r="F73" s="480"/>
      <c r="G73" s="480"/>
      <c r="H73" s="480"/>
      <c r="I73" s="480"/>
      <c r="J73" s="480"/>
      <c r="K73" s="480"/>
      <c r="L73" s="480"/>
      <c r="M73" s="480"/>
      <c r="N73" s="481"/>
      <c r="O73" s="130"/>
    </row>
    <row r="74" spans="1:15" s="111" customFormat="1" x14ac:dyDescent="0.2">
      <c r="A74" s="116"/>
      <c r="B74" s="118"/>
      <c r="C74" s="480"/>
      <c r="D74" s="480"/>
      <c r="E74" s="480"/>
      <c r="F74" s="480"/>
      <c r="G74" s="480"/>
      <c r="H74" s="480"/>
      <c r="I74" s="480"/>
      <c r="J74" s="480"/>
      <c r="K74" s="480"/>
      <c r="L74" s="480"/>
      <c r="M74" s="480"/>
      <c r="N74" s="481"/>
      <c r="O74" s="130"/>
    </row>
    <row r="75" spans="1:15" s="111" customFormat="1" x14ac:dyDescent="0.2">
      <c r="A75" s="116"/>
      <c r="B75" s="118"/>
      <c r="C75" s="480"/>
      <c r="D75" s="480"/>
      <c r="E75" s="480"/>
      <c r="F75" s="480"/>
      <c r="G75" s="480"/>
      <c r="H75" s="480"/>
      <c r="I75" s="480"/>
      <c r="J75" s="480"/>
      <c r="K75" s="480"/>
      <c r="L75" s="480"/>
      <c r="M75" s="480"/>
      <c r="N75" s="481"/>
      <c r="O75" s="130"/>
    </row>
    <row r="76" spans="1:15" s="111" customFormat="1" x14ac:dyDescent="0.2">
      <c r="A76" s="116"/>
      <c r="B76" s="118" t="s">
        <v>426</v>
      </c>
      <c r="C76" s="119"/>
      <c r="D76" s="119"/>
      <c r="E76" s="120"/>
      <c r="F76" s="120"/>
      <c r="G76" s="120"/>
      <c r="H76" s="120"/>
      <c r="I76" s="120"/>
      <c r="J76" s="120"/>
      <c r="K76" s="120"/>
      <c r="L76" s="120"/>
      <c r="M76" s="120"/>
      <c r="N76" s="101"/>
      <c r="O76" s="130"/>
    </row>
    <row r="77" spans="1:15" s="111" customFormat="1" ht="13.5" thickBot="1" x14ac:dyDescent="0.25">
      <c r="A77" s="121"/>
      <c r="B77" s="133" t="s">
        <v>430</v>
      </c>
      <c r="C77" s="122"/>
      <c r="D77" s="122"/>
      <c r="E77" s="123"/>
      <c r="F77" s="123"/>
      <c r="G77" s="123"/>
      <c r="H77" s="123"/>
      <c r="I77" s="123"/>
      <c r="J77" s="123"/>
      <c r="K77" s="123"/>
      <c r="L77" s="123"/>
      <c r="M77" s="123"/>
      <c r="N77" s="104"/>
      <c r="O77" s="130"/>
    </row>
    <row r="78" spans="1:15" s="111" customFormat="1" x14ac:dyDescent="0.2">
      <c r="A78" s="112"/>
      <c r="B78" s="113" t="s">
        <v>263</v>
      </c>
      <c r="C78" s="113"/>
      <c r="D78" s="113"/>
      <c r="E78" s="114"/>
      <c r="F78" s="114"/>
      <c r="G78" s="114"/>
      <c r="H78" s="114"/>
      <c r="I78" s="114"/>
      <c r="J78" s="127" t="s">
        <v>753</v>
      </c>
      <c r="K78" s="126" t="s">
        <v>758</v>
      </c>
      <c r="L78" s="126" t="s">
        <v>279</v>
      </c>
      <c r="M78" s="126"/>
      <c r="N78" s="126"/>
      <c r="O78" s="130"/>
    </row>
    <row r="79" spans="1:15" s="111" customFormat="1" ht="13.5" thickBot="1" x14ac:dyDescent="0.25">
      <c r="A79" s="121"/>
      <c r="B79" s="122"/>
      <c r="C79" s="122"/>
      <c r="D79" s="122"/>
      <c r="E79" s="123"/>
      <c r="F79" s="123"/>
      <c r="G79" s="123"/>
      <c r="H79" s="123"/>
      <c r="I79" s="123"/>
      <c r="J79" s="125" t="s">
        <v>1438</v>
      </c>
      <c r="K79" s="105" t="s">
        <v>197</v>
      </c>
      <c r="L79" s="105" t="s">
        <v>523</v>
      </c>
      <c r="M79" s="105" t="s">
        <v>570</v>
      </c>
      <c r="N79" s="105"/>
      <c r="O79" s="130"/>
    </row>
    <row r="80" spans="1:15" s="111" customFormat="1" x14ac:dyDescent="0.2">
      <c r="A80" s="112"/>
      <c r="B80" s="467" t="s">
        <v>67</v>
      </c>
      <c r="C80" s="467"/>
      <c r="D80" s="467"/>
      <c r="E80" s="114"/>
      <c r="F80" s="114" t="s">
        <v>1180</v>
      </c>
      <c r="G80" s="114" t="s">
        <v>68</v>
      </c>
      <c r="H80" s="114" t="s">
        <v>702</v>
      </c>
      <c r="I80" s="114"/>
      <c r="J80" s="100">
        <f>139.5/ATHENS!O1*ATHENS!O2</f>
        <v>253.63636363636363</v>
      </c>
      <c r="K80" s="100">
        <f>179.5/ATHENS!O1*ATHENS!O2</f>
        <v>326.36363636363632</v>
      </c>
      <c r="L80" s="100">
        <f>228.85/ATHENS!O1*ATHENS!O2</f>
        <v>416.09090909090907</v>
      </c>
      <c r="M80" s="100">
        <f>281.5/ATHENS!O1*ATHENS!O2</f>
        <v>511.81818181818176</v>
      </c>
      <c r="N80" s="126"/>
      <c r="O80" s="130"/>
    </row>
    <row r="81" spans="1:15" s="111" customFormat="1" x14ac:dyDescent="0.2">
      <c r="A81" s="116"/>
      <c r="B81" s="461" t="s">
        <v>67</v>
      </c>
      <c r="C81" s="461"/>
      <c r="D81" s="461"/>
      <c r="E81" s="120"/>
      <c r="F81" s="120" t="s">
        <v>1181</v>
      </c>
      <c r="G81" s="120" t="s">
        <v>68</v>
      </c>
      <c r="H81" s="120" t="s">
        <v>702</v>
      </c>
      <c r="I81" s="120"/>
      <c r="J81" s="100">
        <f>85.7/ATHENS!O1*ATHENS!O2</f>
        <v>155.81818181818181</v>
      </c>
      <c r="K81" s="100">
        <f>97.8/ATHENS!O1*ATHENS!O2</f>
        <v>177.81818181818178</v>
      </c>
      <c r="L81" s="100">
        <f>133.5/ATHENS!O1*ATHENS!O2</f>
        <v>242.72727272727272</v>
      </c>
      <c r="M81" s="100">
        <f>163.5/ATHENS!O1*ATHENS!O2</f>
        <v>297.27272727272725</v>
      </c>
      <c r="N81" s="100"/>
      <c r="O81" s="130"/>
    </row>
    <row r="82" spans="1:15" s="111" customFormat="1" ht="13.5" thickBot="1" x14ac:dyDescent="0.25">
      <c r="A82" s="121"/>
      <c r="B82" s="460" t="s">
        <v>67</v>
      </c>
      <c r="C82" s="460"/>
      <c r="D82" s="460"/>
      <c r="E82" s="123"/>
      <c r="F82" s="123" t="s">
        <v>1182</v>
      </c>
      <c r="G82" s="123" t="s">
        <v>68</v>
      </c>
      <c r="H82" s="123" t="s">
        <v>702</v>
      </c>
      <c r="I82" s="123"/>
      <c r="J82" s="105">
        <f>69.6/ATHENS!O1*ATHENS!O2</f>
        <v>126.54545454545452</v>
      </c>
      <c r="K82" s="105">
        <f>74.5/ATHENS!O1*ATHENS!O2</f>
        <v>135.45454545454544</v>
      </c>
      <c r="L82" s="105">
        <f>101.7/ATHENS!O1*ATHENS!O2</f>
        <v>184.90909090909091</v>
      </c>
      <c r="M82" s="105">
        <f>125.9/ATHENS!O1*ATHENS!O2</f>
        <v>228.90909090909091</v>
      </c>
      <c r="N82" s="105"/>
      <c r="O82" s="130"/>
    </row>
    <row r="83" spans="1:15" s="111" customFormat="1" ht="13.5" thickBot="1" x14ac:dyDescent="0.25">
      <c r="A83" s="108"/>
      <c r="B83" s="109"/>
      <c r="C83" s="109"/>
      <c r="D83" s="109"/>
      <c r="E83" s="110"/>
      <c r="F83" s="110"/>
      <c r="G83" s="110"/>
      <c r="H83" s="110"/>
      <c r="I83" s="110"/>
      <c r="J83" s="110"/>
      <c r="K83" s="110"/>
      <c r="L83" s="110"/>
      <c r="M83" s="110"/>
      <c r="N83" s="110"/>
      <c r="O83" s="130"/>
    </row>
    <row r="84" spans="1:15" s="111" customFormat="1" ht="13.5" thickBot="1" x14ac:dyDescent="0.25">
      <c r="A84" s="112"/>
      <c r="B84" s="113"/>
      <c r="C84" s="113"/>
      <c r="D84" s="113"/>
      <c r="E84" s="114"/>
      <c r="F84" s="114"/>
      <c r="G84" s="114"/>
      <c r="H84" s="114"/>
      <c r="I84" s="114"/>
      <c r="J84" s="114"/>
      <c r="K84" s="114"/>
      <c r="L84" s="114"/>
      <c r="M84" s="114"/>
      <c r="N84" s="115"/>
      <c r="O84" s="130"/>
    </row>
    <row r="85" spans="1:15" s="111" customFormat="1" ht="15.75" thickBot="1" x14ac:dyDescent="0.25">
      <c r="A85" s="116"/>
      <c r="B85" s="484" t="s">
        <v>1625</v>
      </c>
      <c r="C85" s="485"/>
      <c r="D85" s="485"/>
      <c r="E85" s="485"/>
      <c r="F85" s="485"/>
      <c r="G85" s="485"/>
      <c r="H85" s="485"/>
      <c r="I85" s="485"/>
      <c r="J85" s="485"/>
      <c r="K85" s="485"/>
      <c r="L85" s="485"/>
      <c r="M85" s="486"/>
      <c r="N85" s="117" t="s">
        <v>91</v>
      </c>
      <c r="O85" s="130"/>
    </row>
    <row r="86" spans="1:15" s="111" customFormat="1" x14ac:dyDescent="0.2">
      <c r="A86" s="116"/>
      <c r="B86" s="118" t="s">
        <v>428</v>
      </c>
      <c r="C86" s="119" t="s">
        <v>1072</v>
      </c>
      <c r="D86" s="119"/>
      <c r="E86" s="120"/>
      <c r="F86" s="120"/>
      <c r="G86" s="120"/>
      <c r="H86" s="120"/>
      <c r="I86" s="120"/>
      <c r="J86" s="120"/>
      <c r="K86" s="120"/>
      <c r="L86" s="120"/>
      <c r="M86" s="120"/>
      <c r="N86" s="101"/>
      <c r="O86" s="130"/>
    </row>
    <row r="87" spans="1:15" s="111" customFormat="1" x14ac:dyDescent="0.2">
      <c r="A87" s="116"/>
      <c r="B87" s="118" t="s">
        <v>429</v>
      </c>
      <c r="C87" s="119" t="s">
        <v>1075</v>
      </c>
      <c r="D87" s="119"/>
      <c r="E87" s="120"/>
      <c r="F87" s="120"/>
      <c r="G87" s="120"/>
      <c r="H87" s="120"/>
      <c r="I87" s="120"/>
      <c r="J87" s="120"/>
      <c r="K87" s="120"/>
      <c r="L87" s="120"/>
      <c r="M87" s="120"/>
      <c r="N87" s="101"/>
      <c r="O87" s="130"/>
    </row>
    <row r="88" spans="1:15" s="111" customFormat="1" x14ac:dyDescent="0.2">
      <c r="A88" s="116"/>
      <c r="B88" s="118" t="s">
        <v>427</v>
      </c>
      <c r="C88" s="480" t="s">
        <v>1056</v>
      </c>
      <c r="D88" s="480"/>
      <c r="E88" s="480"/>
      <c r="F88" s="480"/>
      <c r="G88" s="480"/>
      <c r="H88" s="480"/>
      <c r="I88" s="480"/>
      <c r="J88" s="480"/>
      <c r="K88" s="480"/>
      <c r="L88" s="480"/>
      <c r="M88" s="480"/>
      <c r="N88" s="481"/>
      <c r="O88" s="130"/>
    </row>
    <row r="89" spans="1:15" s="111" customFormat="1" x14ac:dyDescent="0.2">
      <c r="A89" s="116"/>
      <c r="B89" s="119"/>
      <c r="C89" s="480"/>
      <c r="D89" s="480"/>
      <c r="E89" s="480"/>
      <c r="F89" s="480"/>
      <c r="G89" s="480"/>
      <c r="H89" s="480"/>
      <c r="I89" s="480"/>
      <c r="J89" s="480"/>
      <c r="K89" s="480"/>
      <c r="L89" s="480"/>
      <c r="M89" s="480"/>
      <c r="N89" s="481"/>
      <c r="O89" s="130"/>
    </row>
    <row r="90" spans="1:15" s="111" customFormat="1" x14ac:dyDescent="0.2">
      <c r="A90" s="116"/>
      <c r="B90" s="118" t="s">
        <v>426</v>
      </c>
      <c r="C90" s="119"/>
      <c r="D90" s="119"/>
      <c r="E90" s="120"/>
      <c r="F90" s="120"/>
      <c r="G90" s="120"/>
      <c r="H90" s="120"/>
      <c r="I90" s="120"/>
      <c r="J90" s="120"/>
      <c r="K90" s="120"/>
      <c r="L90" s="120"/>
      <c r="M90" s="120"/>
      <c r="N90" s="101"/>
      <c r="O90" s="130"/>
    </row>
    <row r="91" spans="1:15" s="111" customFormat="1" ht="13.5" thickBot="1" x14ac:dyDescent="0.25">
      <c r="A91" s="116"/>
      <c r="B91" s="118" t="s">
        <v>430</v>
      </c>
      <c r="C91" s="119"/>
      <c r="D91" s="119"/>
      <c r="E91" s="120"/>
      <c r="F91" s="120"/>
      <c r="G91" s="120"/>
      <c r="H91" s="120"/>
      <c r="I91" s="120"/>
      <c r="J91" s="120"/>
      <c r="K91" s="120"/>
      <c r="L91" s="120"/>
      <c r="M91" s="120"/>
      <c r="N91" s="101"/>
      <c r="O91" s="130"/>
    </row>
    <row r="92" spans="1:15" s="111" customFormat="1" x14ac:dyDescent="0.2">
      <c r="A92" s="112"/>
      <c r="B92" s="113" t="s">
        <v>263</v>
      </c>
      <c r="C92" s="113"/>
      <c r="D92" s="113"/>
      <c r="E92" s="114"/>
      <c r="F92" s="114"/>
      <c r="G92" s="114"/>
      <c r="H92" s="114"/>
      <c r="I92" s="114"/>
      <c r="J92" s="126" t="s">
        <v>2200</v>
      </c>
      <c r="K92" s="126" t="s">
        <v>340</v>
      </c>
      <c r="L92" s="126"/>
      <c r="M92" s="126"/>
      <c r="N92" s="126"/>
      <c r="O92" s="130"/>
    </row>
    <row r="93" spans="1:15" s="111" customFormat="1" ht="13.5" thickBot="1" x14ac:dyDescent="0.25">
      <c r="A93" s="121"/>
      <c r="B93" s="122"/>
      <c r="C93" s="122"/>
      <c r="D93" s="122"/>
      <c r="E93" s="123"/>
      <c r="F93" s="123"/>
      <c r="G93" s="123"/>
      <c r="H93" s="123"/>
      <c r="I93" s="123"/>
      <c r="J93" s="105" t="s">
        <v>756</v>
      </c>
      <c r="K93" s="105" t="s">
        <v>2201</v>
      </c>
      <c r="L93" s="105" t="s">
        <v>1095</v>
      </c>
      <c r="M93" s="105"/>
      <c r="N93" s="105"/>
      <c r="O93" s="130"/>
    </row>
    <row r="94" spans="1:15" s="111" customFormat="1" x14ac:dyDescent="0.2">
      <c r="A94" s="116"/>
      <c r="B94" s="461" t="s">
        <v>901</v>
      </c>
      <c r="C94" s="461"/>
      <c r="D94" s="461"/>
      <c r="E94" s="120"/>
      <c r="F94" s="120" t="s">
        <v>518</v>
      </c>
      <c r="G94" s="120" t="s">
        <v>68</v>
      </c>
      <c r="H94" s="120" t="s">
        <v>1184</v>
      </c>
      <c r="I94" s="120"/>
      <c r="J94" s="100">
        <f>365/ATHENS!O1*ATHENS!O2</f>
        <v>663.63636363636363</v>
      </c>
      <c r="K94" s="100">
        <f>530/ATHENS!O1*ATHENS!O2</f>
        <v>963.63636363636351</v>
      </c>
      <c r="L94" s="100">
        <f>690/ATHENS!O1*ATHENS!O2</f>
        <v>1254.5454545454545</v>
      </c>
      <c r="M94" s="100"/>
      <c r="N94" s="100"/>
      <c r="O94" s="130"/>
    </row>
    <row r="95" spans="1:15" s="111" customFormat="1" ht="13.5" thickBot="1" x14ac:dyDescent="0.25">
      <c r="A95" s="116"/>
      <c r="B95" s="461" t="s">
        <v>901</v>
      </c>
      <c r="C95" s="461"/>
      <c r="D95" s="461"/>
      <c r="E95" s="120"/>
      <c r="F95" s="120" t="s">
        <v>705</v>
      </c>
      <c r="G95" s="120" t="s">
        <v>68</v>
      </c>
      <c r="H95" s="120" t="s">
        <v>1184</v>
      </c>
      <c r="I95" s="120"/>
      <c r="J95" s="100">
        <f>475/ATHENS!O1*ATHENS!O2</f>
        <v>863.63636363636351</v>
      </c>
      <c r="K95" s="100">
        <f>660/ATHENS!O1*ATHENS!O2</f>
        <v>1200</v>
      </c>
      <c r="L95" s="100">
        <f>860/ATHENS!O1*ATHENS!O2</f>
        <v>1563.6363636363635</v>
      </c>
      <c r="M95" s="100"/>
      <c r="N95" s="100"/>
      <c r="O95" s="130"/>
    </row>
    <row r="96" spans="1:15" s="111" customFormat="1" ht="13.5" thickBot="1" x14ac:dyDescent="0.25">
      <c r="A96" s="134"/>
      <c r="B96" s="135" t="s">
        <v>1094</v>
      </c>
      <c r="C96" s="135"/>
      <c r="D96" s="135"/>
      <c r="E96" s="136"/>
      <c r="F96" s="136"/>
      <c r="G96" s="136"/>
      <c r="H96" s="136"/>
      <c r="I96" s="136"/>
      <c r="J96" s="136"/>
      <c r="K96" s="136"/>
      <c r="L96" s="136"/>
      <c r="M96" s="136"/>
      <c r="N96" s="137"/>
      <c r="O96" s="130"/>
    </row>
    <row r="97" spans="1:15" s="111" customFormat="1" ht="13.5" thickBot="1" x14ac:dyDescent="0.25">
      <c r="A97" s="108"/>
      <c r="B97" s="109"/>
      <c r="C97" s="109"/>
      <c r="D97" s="109"/>
      <c r="E97" s="110"/>
      <c r="F97" s="110"/>
      <c r="G97" s="110"/>
      <c r="H97" s="110"/>
      <c r="I97" s="110"/>
      <c r="J97" s="110"/>
      <c r="K97" s="110"/>
      <c r="L97" s="110"/>
      <c r="M97" s="110"/>
      <c r="N97" s="110"/>
      <c r="O97" s="130"/>
    </row>
    <row r="98" spans="1:15" s="111" customFormat="1" ht="13.5" thickBot="1" x14ac:dyDescent="0.25">
      <c r="A98" s="112"/>
      <c r="B98" s="113"/>
      <c r="C98" s="113"/>
      <c r="D98" s="113"/>
      <c r="E98" s="114"/>
      <c r="F98" s="114"/>
      <c r="G98" s="114"/>
      <c r="H98" s="114"/>
      <c r="I98" s="114"/>
      <c r="J98" s="114"/>
      <c r="K98" s="114"/>
      <c r="L98" s="114"/>
      <c r="M98" s="114"/>
      <c r="N98" s="115"/>
      <c r="O98" s="130"/>
    </row>
    <row r="99" spans="1:15" s="111" customFormat="1" ht="15.75" thickBot="1" x14ac:dyDescent="0.25">
      <c r="A99" s="116"/>
      <c r="B99" s="484" t="s">
        <v>190</v>
      </c>
      <c r="C99" s="485"/>
      <c r="D99" s="485"/>
      <c r="E99" s="485"/>
      <c r="F99" s="485"/>
      <c r="G99" s="485"/>
      <c r="H99" s="485"/>
      <c r="I99" s="485"/>
      <c r="J99" s="485"/>
      <c r="K99" s="485"/>
      <c r="L99" s="485"/>
      <c r="M99" s="486"/>
      <c r="N99" s="117" t="s">
        <v>91</v>
      </c>
      <c r="O99" s="130"/>
    </row>
    <row r="100" spans="1:15" s="111" customFormat="1" x14ac:dyDescent="0.2">
      <c r="A100" s="116"/>
      <c r="B100" s="118" t="s">
        <v>428</v>
      </c>
      <c r="C100" s="119" t="s">
        <v>1076</v>
      </c>
      <c r="D100" s="119"/>
      <c r="E100" s="120"/>
      <c r="F100" s="120"/>
      <c r="G100" s="120"/>
      <c r="H100" s="120"/>
      <c r="I100" s="120"/>
      <c r="J100" s="120"/>
      <c r="K100" s="120"/>
      <c r="L100" s="120"/>
      <c r="M100" s="120"/>
      <c r="N100" s="101"/>
      <c r="O100" s="130"/>
    </row>
    <row r="101" spans="1:15" s="111" customFormat="1" x14ac:dyDescent="0.2">
      <c r="A101" s="116"/>
      <c r="B101" s="118" t="s">
        <v>429</v>
      </c>
      <c r="C101" s="119" t="s">
        <v>1077</v>
      </c>
      <c r="D101" s="119"/>
      <c r="E101" s="120"/>
      <c r="F101" s="120"/>
      <c r="G101" s="120"/>
      <c r="H101" s="120"/>
      <c r="I101" s="120"/>
      <c r="J101" s="120"/>
      <c r="K101" s="120"/>
      <c r="L101" s="120"/>
      <c r="M101" s="120"/>
      <c r="N101" s="101"/>
      <c r="O101" s="130"/>
    </row>
    <row r="102" spans="1:15" s="111" customFormat="1" x14ac:dyDescent="0.2">
      <c r="A102" s="116"/>
      <c r="B102" s="118" t="s">
        <v>427</v>
      </c>
      <c r="C102" s="480" t="s">
        <v>1640</v>
      </c>
      <c r="D102" s="480"/>
      <c r="E102" s="480"/>
      <c r="F102" s="480"/>
      <c r="G102" s="480"/>
      <c r="H102" s="480"/>
      <c r="I102" s="480"/>
      <c r="J102" s="480"/>
      <c r="K102" s="480"/>
      <c r="L102" s="480"/>
      <c r="M102" s="480"/>
      <c r="N102" s="481"/>
      <c r="O102" s="130"/>
    </row>
    <row r="103" spans="1:15" s="111" customFormat="1" x14ac:dyDescent="0.2">
      <c r="A103" s="116"/>
      <c r="B103" s="118"/>
      <c r="C103" s="480"/>
      <c r="D103" s="480"/>
      <c r="E103" s="480"/>
      <c r="F103" s="480"/>
      <c r="G103" s="480"/>
      <c r="H103" s="480"/>
      <c r="I103" s="480"/>
      <c r="J103" s="480"/>
      <c r="K103" s="480"/>
      <c r="L103" s="480"/>
      <c r="M103" s="480"/>
      <c r="N103" s="481"/>
      <c r="O103" s="130"/>
    </row>
    <row r="104" spans="1:15" s="111" customFormat="1" x14ac:dyDescent="0.2">
      <c r="A104" s="116"/>
      <c r="B104" s="118"/>
      <c r="C104" s="480"/>
      <c r="D104" s="480"/>
      <c r="E104" s="480"/>
      <c r="F104" s="480"/>
      <c r="G104" s="480"/>
      <c r="H104" s="480"/>
      <c r="I104" s="480"/>
      <c r="J104" s="480"/>
      <c r="K104" s="480"/>
      <c r="L104" s="480"/>
      <c r="M104" s="480"/>
      <c r="N104" s="481"/>
      <c r="O104" s="130"/>
    </row>
    <row r="105" spans="1:15" s="111" customFormat="1" x14ac:dyDescent="0.2">
      <c r="A105" s="116"/>
      <c r="B105" s="109"/>
      <c r="C105" s="480"/>
      <c r="D105" s="480"/>
      <c r="E105" s="480"/>
      <c r="F105" s="480"/>
      <c r="G105" s="480"/>
      <c r="H105" s="480"/>
      <c r="I105" s="480"/>
      <c r="J105" s="480"/>
      <c r="K105" s="480"/>
      <c r="L105" s="480"/>
      <c r="M105" s="480"/>
      <c r="N105" s="481"/>
      <c r="O105" s="130"/>
    </row>
    <row r="106" spans="1:15" s="111" customFormat="1" x14ac:dyDescent="0.2">
      <c r="A106" s="116"/>
      <c r="B106" s="109"/>
      <c r="C106" s="480"/>
      <c r="D106" s="480"/>
      <c r="E106" s="480"/>
      <c r="F106" s="480"/>
      <c r="G106" s="480"/>
      <c r="H106" s="480"/>
      <c r="I106" s="480"/>
      <c r="J106" s="480"/>
      <c r="K106" s="480"/>
      <c r="L106" s="480"/>
      <c r="M106" s="480"/>
      <c r="N106" s="481"/>
      <c r="O106" s="130"/>
    </row>
    <row r="107" spans="1:15" s="111" customFormat="1" x14ac:dyDescent="0.2">
      <c r="A107" s="116"/>
      <c r="B107" s="118" t="s">
        <v>426</v>
      </c>
      <c r="C107" s="147" t="s">
        <v>647</v>
      </c>
      <c r="D107" s="119"/>
      <c r="E107" s="120"/>
      <c r="F107" s="120"/>
      <c r="G107" s="120"/>
      <c r="H107" s="120"/>
      <c r="I107" s="120"/>
      <c r="J107" s="120"/>
      <c r="K107" s="120"/>
      <c r="L107" s="120"/>
      <c r="M107" s="120"/>
      <c r="N107" s="101"/>
      <c r="O107" s="130"/>
    </row>
    <row r="108" spans="1:15" s="111" customFormat="1" ht="13.5" thickBot="1" x14ac:dyDescent="0.25">
      <c r="A108" s="116"/>
      <c r="B108" s="118" t="s">
        <v>430</v>
      </c>
      <c r="C108" s="119"/>
      <c r="D108" s="119"/>
      <c r="E108" s="120"/>
      <c r="F108" s="120"/>
      <c r="G108" s="120"/>
      <c r="H108" s="120"/>
      <c r="I108" s="120"/>
      <c r="J108" s="120"/>
      <c r="K108" s="120"/>
      <c r="L108" s="120"/>
      <c r="M108" s="120"/>
      <c r="N108" s="101"/>
      <c r="O108" s="130"/>
    </row>
    <row r="109" spans="1:15" s="111" customFormat="1" x14ac:dyDescent="0.2">
      <c r="A109" s="112"/>
      <c r="B109" s="113" t="s">
        <v>263</v>
      </c>
      <c r="C109" s="113"/>
      <c r="D109" s="113"/>
      <c r="E109" s="114"/>
      <c r="F109" s="114"/>
      <c r="G109" s="114"/>
      <c r="H109" s="114"/>
      <c r="I109" s="114"/>
      <c r="J109" s="127" t="s">
        <v>758</v>
      </c>
      <c r="K109" s="126" t="s">
        <v>187</v>
      </c>
      <c r="L109" s="126" t="s">
        <v>188</v>
      </c>
      <c r="M109" s="126"/>
      <c r="N109" s="126"/>
      <c r="O109" s="130"/>
    </row>
    <row r="110" spans="1:15" s="111" customFormat="1" ht="13.5" thickBot="1" x14ac:dyDescent="0.25">
      <c r="A110" s="121"/>
      <c r="B110" s="122"/>
      <c r="C110" s="122"/>
      <c r="D110" s="122"/>
      <c r="E110" s="123"/>
      <c r="F110" s="123"/>
      <c r="G110" s="123"/>
      <c r="H110" s="123"/>
      <c r="I110" s="123"/>
      <c r="J110" s="125" t="s">
        <v>481</v>
      </c>
      <c r="K110" s="105" t="s">
        <v>832</v>
      </c>
      <c r="L110" s="105"/>
      <c r="M110" s="105"/>
      <c r="N110" s="105"/>
      <c r="O110" s="130"/>
    </row>
    <row r="111" spans="1:15" s="111" customFormat="1" x14ac:dyDescent="0.2">
      <c r="A111" s="112"/>
      <c r="B111" s="467" t="s">
        <v>67</v>
      </c>
      <c r="C111" s="467"/>
      <c r="D111" s="467"/>
      <c r="E111" s="114"/>
      <c r="F111" s="114" t="s">
        <v>1180</v>
      </c>
      <c r="G111" s="114" t="s">
        <v>68</v>
      </c>
      <c r="H111" s="114" t="s">
        <v>702</v>
      </c>
      <c r="I111" s="114"/>
      <c r="J111" s="100">
        <f>110.5/ATHENS!O1*ATHENS!O2</f>
        <v>200.90909090909091</v>
      </c>
      <c r="K111" s="100">
        <f>145.7/ATHENS!O1*ATHENS!O2</f>
        <v>264.90909090909088</v>
      </c>
      <c r="L111" s="100">
        <f>169.5/ATHENS!O1*ATHENS!O2</f>
        <v>308.18181818181813</v>
      </c>
      <c r="M111" s="100"/>
      <c r="N111" s="126"/>
      <c r="O111" s="130"/>
    </row>
    <row r="112" spans="1:15" s="111" customFormat="1" x14ac:dyDescent="0.2">
      <c r="A112" s="116"/>
      <c r="B112" s="461" t="s">
        <v>67</v>
      </c>
      <c r="C112" s="461"/>
      <c r="D112" s="461"/>
      <c r="E112" s="120"/>
      <c r="F112" s="120" t="s">
        <v>1181</v>
      </c>
      <c r="G112" s="120" t="s">
        <v>68</v>
      </c>
      <c r="H112" s="120" t="s">
        <v>702</v>
      </c>
      <c r="I112" s="120"/>
      <c r="J112" s="100">
        <f>61.5/ATHENS!O1*ATHENS!O2</f>
        <v>111.81818181818181</v>
      </c>
      <c r="K112" s="100">
        <f>86.5/ATHENS!O1*ATHENS!O2</f>
        <v>157.27272727272725</v>
      </c>
      <c r="L112" s="100">
        <f>99.5/ATHENS!O1*ATHENS!O2</f>
        <v>180.90909090909091</v>
      </c>
      <c r="M112" s="100"/>
      <c r="N112" s="100"/>
      <c r="O112" s="130"/>
    </row>
    <row r="113" spans="1:15" s="111" customFormat="1" ht="13.5" thickBot="1" x14ac:dyDescent="0.25">
      <c r="A113" s="116"/>
      <c r="B113" s="460" t="s">
        <v>67</v>
      </c>
      <c r="C113" s="460"/>
      <c r="D113" s="460"/>
      <c r="E113" s="123"/>
      <c r="F113" s="123" t="s">
        <v>1182</v>
      </c>
      <c r="G113" s="123" t="s">
        <v>68</v>
      </c>
      <c r="H113" s="123" t="s">
        <v>702</v>
      </c>
      <c r="I113" s="123"/>
      <c r="J113" s="105">
        <f>46.5/ATHENS!O1*ATHENS!O2</f>
        <v>84.545454545454533</v>
      </c>
      <c r="K113" s="105">
        <f>65.5/ATHENS!O1*ATHENS!O2</f>
        <v>119.09090909090908</v>
      </c>
      <c r="L113" s="105">
        <f>41.6/ATHENS!O1*ATHENS!O2</f>
        <v>75.636363636363626</v>
      </c>
      <c r="M113" s="105"/>
      <c r="N113" s="105"/>
      <c r="O113" s="130"/>
    </row>
    <row r="114" spans="1:15" s="111" customFormat="1" ht="13.5" thickBot="1" x14ac:dyDescent="0.25">
      <c r="A114" s="108"/>
      <c r="B114" s="109"/>
      <c r="C114" s="109"/>
      <c r="D114" s="109"/>
      <c r="E114" s="110"/>
      <c r="F114" s="110"/>
      <c r="G114" s="110"/>
      <c r="H114" s="110"/>
      <c r="I114" s="110"/>
      <c r="J114" s="110"/>
      <c r="K114" s="110"/>
      <c r="L114" s="110"/>
      <c r="M114" s="110"/>
      <c r="N114" s="110"/>
      <c r="O114" s="130"/>
    </row>
    <row r="115" spans="1:15" s="111" customFormat="1" ht="13.5" thickBot="1" x14ac:dyDescent="0.25">
      <c r="A115" s="112"/>
      <c r="B115" s="113"/>
      <c r="C115" s="113"/>
      <c r="D115" s="113"/>
      <c r="E115" s="114"/>
      <c r="F115" s="114"/>
      <c r="G115" s="114"/>
      <c r="H115" s="114"/>
      <c r="I115" s="114"/>
      <c r="J115" s="114"/>
      <c r="K115" s="114"/>
      <c r="L115" s="114"/>
      <c r="M115" s="114"/>
      <c r="N115" s="115"/>
      <c r="O115" s="130"/>
    </row>
    <row r="116" spans="1:15" s="111" customFormat="1" ht="15.75" thickBot="1" x14ac:dyDescent="0.25">
      <c r="A116" s="116"/>
      <c r="B116" s="492" t="s">
        <v>1626</v>
      </c>
      <c r="C116" s="493"/>
      <c r="D116" s="493"/>
      <c r="E116" s="493"/>
      <c r="F116" s="493"/>
      <c r="G116" s="493"/>
      <c r="H116" s="493"/>
      <c r="I116" s="493"/>
      <c r="J116" s="493"/>
      <c r="K116" s="493"/>
      <c r="L116" s="493"/>
      <c r="M116" s="494"/>
      <c r="N116" s="117" t="s">
        <v>91</v>
      </c>
      <c r="O116" s="130"/>
    </row>
    <row r="117" spans="1:15" s="111" customFormat="1" x14ac:dyDescent="0.2">
      <c r="A117" s="116"/>
      <c r="B117" s="118" t="s">
        <v>428</v>
      </c>
      <c r="C117" s="119" t="s">
        <v>1468</v>
      </c>
      <c r="D117" s="119"/>
      <c r="E117" s="120"/>
      <c r="F117" s="120"/>
      <c r="G117" s="120"/>
      <c r="H117" s="120"/>
      <c r="I117" s="120"/>
      <c r="J117" s="120"/>
      <c r="K117" s="120"/>
      <c r="L117" s="120"/>
      <c r="M117" s="120"/>
      <c r="N117" s="101"/>
      <c r="O117" s="130"/>
    </row>
    <row r="118" spans="1:15" s="111" customFormat="1" x14ac:dyDescent="0.2">
      <c r="A118" s="116"/>
      <c r="B118" s="118" t="s">
        <v>429</v>
      </c>
      <c r="C118" s="119" t="s">
        <v>826</v>
      </c>
      <c r="D118" s="119"/>
      <c r="E118" s="120"/>
      <c r="F118" s="120"/>
      <c r="G118" s="120"/>
      <c r="H118" s="120"/>
      <c r="I118" s="120"/>
      <c r="J118" s="120"/>
      <c r="K118" s="120"/>
      <c r="L118" s="120"/>
      <c r="M118" s="120"/>
      <c r="N118" s="101"/>
      <c r="O118" s="130"/>
    </row>
    <row r="119" spans="1:15" s="111" customFormat="1" x14ac:dyDescent="0.2">
      <c r="A119" s="116"/>
      <c r="B119" s="118" t="s">
        <v>427</v>
      </c>
      <c r="C119" s="480" t="s">
        <v>1641</v>
      </c>
      <c r="D119" s="480"/>
      <c r="E119" s="480"/>
      <c r="F119" s="480"/>
      <c r="G119" s="480"/>
      <c r="H119" s="480"/>
      <c r="I119" s="480"/>
      <c r="J119" s="480"/>
      <c r="K119" s="480"/>
      <c r="L119" s="480"/>
      <c r="M119" s="480"/>
      <c r="N119" s="481"/>
      <c r="O119" s="130"/>
    </row>
    <row r="120" spans="1:15" s="111" customFormat="1" x14ac:dyDescent="0.2">
      <c r="A120" s="116"/>
      <c r="B120" s="109"/>
      <c r="C120" s="480"/>
      <c r="D120" s="480"/>
      <c r="E120" s="480"/>
      <c r="F120" s="480"/>
      <c r="G120" s="480"/>
      <c r="H120" s="480"/>
      <c r="I120" s="480"/>
      <c r="J120" s="480"/>
      <c r="K120" s="480"/>
      <c r="L120" s="480"/>
      <c r="M120" s="480"/>
      <c r="N120" s="481"/>
      <c r="O120" s="130"/>
    </row>
    <row r="121" spans="1:15" s="111" customFormat="1" x14ac:dyDescent="0.2">
      <c r="A121" s="116"/>
      <c r="B121" s="118" t="s">
        <v>426</v>
      </c>
      <c r="C121" s="119" t="s">
        <v>441</v>
      </c>
      <c r="D121" s="119"/>
      <c r="E121" s="120"/>
      <c r="F121" s="120"/>
      <c r="G121" s="120"/>
      <c r="H121" s="120"/>
      <c r="I121" s="120"/>
      <c r="J121" s="120"/>
      <c r="K121" s="120"/>
      <c r="L121" s="120"/>
      <c r="M121" s="120"/>
      <c r="N121" s="101"/>
      <c r="O121" s="130"/>
    </row>
    <row r="122" spans="1:15" s="111" customFormat="1" ht="13.5" thickBot="1" x14ac:dyDescent="0.25">
      <c r="A122" s="121"/>
      <c r="B122" s="133" t="s">
        <v>430</v>
      </c>
      <c r="C122" s="122" t="s">
        <v>1105</v>
      </c>
      <c r="D122" s="122"/>
      <c r="E122" s="123"/>
      <c r="F122" s="123"/>
      <c r="G122" s="123"/>
      <c r="H122" s="123"/>
      <c r="I122" s="123"/>
      <c r="J122" s="123"/>
      <c r="K122" s="123"/>
      <c r="L122" s="123"/>
      <c r="M122" s="123"/>
      <c r="N122" s="104"/>
      <c r="O122" s="130"/>
    </row>
    <row r="123" spans="1:15" s="111" customFormat="1" x14ac:dyDescent="0.2">
      <c r="A123" s="112"/>
      <c r="B123" s="113" t="s">
        <v>263</v>
      </c>
      <c r="C123" s="113"/>
      <c r="D123" s="113"/>
      <c r="E123" s="114"/>
      <c r="F123" s="114"/>
      <c r="G123" s="114"/>
      <c r="H123" s="114"/>
      <c r="I123" s="114"/>
      <c r="J123" s="126" t="s">
        <v>1441</v>
      </c>
      <c r="K123" s="126" t="s">
        <v>1619</v>
      </c>
      <c r="L123" s="126"/>
      <c r="M123" s="126"/>
      <c r="N123" s="126"/>
      <c r="O123" s="130"/>
    </row>
    <row r="124" spans="1:15" s="111" customFormat="1" ht="13.5" thickBot="1" x14ac:dyDescent="0.25">
      <c r="A124" s="121"/>
      <c r="B124" s="122"/>
      <c r="C124" s="122"/>
      <c r="D124" s="122"/>
      <c r="E124" s="123"/>
      <c r="F124" s="123"/>
      <c r="G124" s="123"/>
      <c r="H124" s="123"/>
      <c r="I124" s="123"/>
      <c r="J124" s="105" t="s">
        <v>481</v>
      </c>
      <c r="K124" s="105"/>
      <c r="L124" s="105"/>
      <c r="M124" s="105"/>
      <c r="N124" s="105"/>
      <c r="O124" s="130"/>
    </row>
    <row r="125" spans="1:15" s="111" customFormat="1" x14ac:dyDescent="0.2">
      <c r="A125" s="112"/>
      <c r="B125" s="467" t="s">
        <v>901</v>
      </c>
      <c r="C125" s="467"/>
      <c r="D125" s="467"/>
      <c r="E125" s="114"/>
      <c r="F125" s="114" t="s">
        <v>518</v>
      </c>
      <c r="G125" s="114" t="s">
        <v>68</v>
      </c>
      <c r="H125" s="114" t="s">
        <v>1184</v>
      </c>
      <c r="I125" s="114"/>
      <c r="J125" s="100">
        <f>585/ATHENS!O1*ATHENS!O2</f>
        <v>1063.6363636363635</v>
      </c>
      <c r="K125" s="100">
        <f>695/ATHENS!O1*ATHENS!O2</f>
        <v>1263.6363636363635</v>
      </c>
      <c r="L125" s="100"/>
      <c r="M125" s="100"/>
      <c r="N125" s="126"/>
      <c r="O125" s="130"/>
    </row>
    <row r="126" spans="1:15" s="111" customFormat="1" x14ac:dyDescent="0.2">
      <c r="A126" s="116"/>
      <c r="B126" s="461" t="s">
        <v>522</v>
      </c>
      <c r="C126" s="461"/>
      <c r="D126" s="461"/>
      <c r="E126" s="120"/>
      <c r="F126" s="120" t="s">
        <v>518</v>
      </c>
      <c r="G126" s="120" t="s">
        <v>68</v>
      </c>
      <c r="H126" s="120" t="s">
        <v>1184</v>
      </c>
      <c r="I126" s="120"/>
      <c r="J126" s="100">
        <f>535/ATHENS!O1*ATHENS!O2</f>
        <v>972.72727272727263</v>
      </c>
      <c r="K126" s="100">
        <f>640/ATHENS!O1*ATHENS!O2</f>
        <v>1163.6363636363635</v>
      </c>
      <c r="L126" s="100"/>
      <c r="M126" s="100"/>
      <c r="N126" s="100"/>
      <c r="O126" s="130"/>
    </row>
    <row r="127" spans="1:15" s="111" customFormat="1" ht="13.5" thickBot="1" x14ac:dyDescent="0.25">
      <c r="A127" s="121"/>
      <c r="B127" s="460" t="s">
        <v>284</v>
      </c>
      <c r="C127" s="460"/>
      <c r="D127" s="460"/>
      <c r="E127" s="123"/>
      <c r="F127" s="123" t="s">
        <v>706</v>
      </c>
      <c r="G127" s="123" t="s">
        <v>68</v>
      </c>
      <c r="H127" s="123" t="s">
        <v>1184</v>
      </c>
      <c r="I127" s="123"/>
      <c r="J127" s="105">
        <f>650/ATHENS!O1*ATHENS!O2</f>
        <v>1181.8181818181818</v>
      </c>
      <c r="K127" s="105">
        <f>770/ATHENS!O1*ATHENS!O2</f>
        <v>1400</v>
      </c>
      <c r="L127" s="105"/>
      <c r="M127" s="105"/>
      <c r="N127" s="105"/>
      <c r="O127" s="130"/>
    </row>
    <row r="128" spans="1:15" s="111" customFormat="1" ht="13.5" thickBot="1" x14ac:dyDescent="0.25">
      <c r="A128" s="148"/>
      <c r="B128" s="149" t="s">
        <v>338</v>
      </c>
      <c r="C128" s="149"/>
      <c r="D128" s="149"/>
      <c r="E128" s="149"/>
      <c r="F128" s="149"/>
      <c r="G128" s="149"/>
      <c r="H128" s="149"/>
      <c r="I128" s="149"/>
      <c r="J128" s="149"/>
      <c r="K128" s="149"/>
      <c r="L128" s="149"/>
      <c r="M128" s="149"/>
      <c r="N128" s="150"/>
      <c r="O128" s="130"/>
    </row>
    <row r="129" spans="1:15" s="111" customFormat="1" ht="13.5" thickBot="1" x14ac:dyDescent="0.25">
      <c r="A129" s="108"/>
      <c r="B129" s="109"/>
      <c r="C129" s="109"/>
      <c r="D129" s="109"/>
      <c r="E129" s="110"/>
      <c r="F129" s="110"/>
      <c r="G129" s="110"/>
      <c r="H129" s="110"/>
      <c r="I129" s="110"/>
      <c r="J129" s="110"/>
      <c r="K129" s="110"/>
      <c r="L129" s="110"/>
      <c r="M129" s="110"/>
      <c r="N129" s="110"/>
      <c r="O129" s="130"/>
    </row>
    <row r="130" spans="1:15" s="111" customFormat="1" ht="13.5" thickBot="1" x14ac:dyDescent="0.25">
      <c r="A130" s="112"/>
      <c r="B130" s="113"/>
      <c r="C130" s="113"/>
      <c r="D130" s="113"/>
      <c r="E130" s="114"/>
      <c r="F130" s="114"/>
      <c r="G130" s="114"/>
      <c r="H130" s="114"/>
      <c r="I130" s="114"/>
      <c r="J130" s="114"/>
      <c r="K130" s="114"/>
      <c r="L130" s="114"/>
      <c r="M130" s="114"/>
      <c r="N130" s="115"/>
      <c r="O130" s="130"/>
    </row>
    <row r="131" spans="1:15" s="111" customFormat="1" ht="15.75" thickBot="1" x14ac:dyDescent="0.25">
      <c r="A131" s="116"/>
      <c r="B131" s="484" t="s">
        <v>600</v>
      </c>
      <c r="C131" s="485"/>
      <c r="D131" s="485"/>
      <c r="E131" s="485"/>
      <c r="F131" s="485"/>
      <c r="G131" s="485"/>
      <c r="H131" s="485"/>
      <c r="I131" s="485"/>
      <c r="J131" s="485"/>
      <c r="K131" s="485"/>
      <c r="L131" s="485"/>
      <c r="M131" s="486"/>
      <c r="N131" s="117" t="s">
        <v>91</v>
      </c>
      <c r="O131" s="130"/>
    </row>
    <row r="132" spans="1:15" s="111" customFormat="1" x14ac:dyDescent="0.2">
      <c r="A132" s="116"/>
      <c r="B132" s="118" t="s">
        <v>428</v>
      </c>
      <c r="C132" s="119" t="s">
        <v>1078</v>
      </c>
      <c r="D132" s="119"/>
      <c r="E132" s="120"/>
      <c r="F132" s="120"/>
      <c r="G132" s="120"/>
      <c r="H132" s="120"/>
      <c r="I132" s="120"/>
      <c r="J132" s="120"/>
      <c r="K132" s="120"/>
      <c r="L132" s="120"/>
      <c r="M132" s="120"/>
      <c r="N132" s="101"/>
      <c r="O132" s="130"/>
    </row>
    <row r="133" spans="1:15" s="111" customFormat="1" ht="11.25" customHeight="1" x14ac:dyDescent="0.2">
      <c r="A133" s="116"/>
      <c r="B133" s="118" t="s">
        <v>429</v>
      </c>
      <c r="C133" s="119" t="s">
        <v>1079</v>
      </c>
      <c r="D133" s="119"/>
      <c r="E133" s="120"/>
      <c r="F133" s="120"/>
      <c r="G133" s="120"/>
      <c r="H133" s="120"/>
      <c r="I133" s="120"/>
      <c r="J133" s="120"/>
      <c r="K133" s="120"/>
      <c r="L133" s="120"/>
      <c r="M133" s="120"/>
      <c r="N133" s="101"/>
      <c r="O133" s="130"/>
    </row>
    <row r="134" spans="1:15" s="111" customFormat="1" ht="24.75" customHeight="1" x14ac:dyDescent="0.2">
      <c r="A134" s="116"/>
      <c r="B134" s="118" t="s">
        <v>427</v>
      </c>
      <c r="C134" s="480" t="s">
        <v>582</v>
      </c>
      <c r="D134" s="480"/>
      <c r="E134" s="480"/>
      <c r="F134" s="480"/>
      <c r="G134" s="480"/>
      <c r="H134" s="480"/>
      <c r="I134" s="480"/>
      <c r="J134" s="480"/>
      <c r="K134" s="480"/>
      <c r="L134" s="480"/>
      <c r="M134" s="480"/>
      <c r="N134" s="481"/>
      <c r="O134" s="130"/>
    </row>
    <row r="135" spans="1:15" s="111" customFormat="1" x14ac:dyDescent="0.2">
      <c r="A135" s="116"/>
      <c r="B135" s="118"/>
      <c r="C135" s="480"/>
      <c r="D135" s="480"/>
      <c r="E135" s="480"/>
      <c r="F135" s="480"/>
      <c r="G135" s="480"/>
      <c r="H135" s="480"/>
      <c r="I135" s="480"/>
      <c r="J135" s="480"/>
      <c r="K135" s="480"/>
      <c r="L135" s="480"/>
      <c r="M135" s="480"/>
      <c r="N135" s="481"/>
      <c r="O135" s="130"/>
    </row>
    <row r="136" spans="1:15" s="111" customFormat="1" x14ac:dyDescent="0.2">
      <c r="A136" s="116"/>
      <c r="B136" s="118"/>
      <c r="C136" s="480"/>
      <c r="D136" s="480"/>
      <c r="E136" s="480"/>
      <c r="F136" s="480"/>
      <c r="G136" s="480"/>
      <c r="H136" s="480"/>
      <c r="I136" s="480"/>
      <c r="J136" s="480"/>
      <c r="K136" s="480"/>
      <c r="L136" s="480"/>
      <c r="M136" s="480"/>
      <c r="N136" s="481"/>
      <c r="O136" s="130"/>
    </row>
    <row r="137" spans="1:15" s="111" customFormat="1" x14ac:dyDescent="0.2">
      <c r="A137" s="116"/>
      <c r="B137" s="118"/>
      <c r="C137" s="480"/>
      <c r="D137" s="480"/>
      <c r="E137" s="480"/>
      <c r="F137" s="480"/>
      <c r="G137" s="480"/>
      <c r="H137" s="480"/>
      <c r="I137" s="480"/>
      <c r="J137" s="480"/>
      <c r="K137" s="480"/>
      <c r="L137" s="480"/>
      <c r="M137" s="480"/>
      <c r="N137" s="481"/>
      <c r="O137" s="130"/>
    </row>
    <row r="138" spans="1:15" s="111" customFormat="1" ht="10.5" customHeight="1" x14ac:dyDescent="0.2">
      <c r="A138" s="116"/>
      <c r="B138" s="119"/>
      <c r="C138" s="480"/>
      <c r="D138" s="480"/>
      <c r="E138" s="480"/>
      <c r="F138" s="480"/>
      <c r="G138" s="480"/>
      <c r="H138" s="480"/>
      <c r="I138" s="480"/>
      <c r="J138" s="480"/>
      <c r="K138" s="480"/>
      <c r="L138" s="480"/>
      <c r="M138" s="480"/>
      <c r="N138" s="481"/>
      <c r="O138" s="130"/>
    </row>
    <row r="139" spans="1:15" s="111" customFormat="1" ht="10.5" customHeight="1" x14ac:dyDescent="0.2">
      <c r="A139" s="116"/>
      <c r="B139" s="118" t="s">
        <v>426</v>
      </c>
      <c r="C139" s="119"/>
      <c r="D139" s="119"/>
      <c r="E139" s="120"/>
      <c r="F139" s="120"/>
      <c r="G139" s="120"/>
      <c r="H139" s="120"/>
      <c r="I139" s="120"/>
      <c r="J139" s="120"/>
      <c r="K139" s="120"/>
      <c r="L139" s="120"/>
      <c r="M139" s="120"/>
      <c r="N139" s="101"/>
      <c r="O139" s="130"/>
    </row>
    <row r="140" spans="1:15" s="111" customFormat="1" ht="13.5" thickBot="1" x14ac:dyDescent="0.25">
      <c r="A140" s="116"/>
      <c r="B140" s="118" t="s">
        <v>430</v>
      </c>
      <c r="C140" s="119"/>
      <c r="D140" s="119"/>
      <c r="E140" s="120"/>
      <c r="F140" s="120"/>
      <c r="G140" s="120"/>
      <c r="H140" s="120"/>
      <c r="I140" s="120"/>
      <c r="J140" s="120"/>
      <c r="K140" s="120"/>
      <c r="L140" s="120"/>
      <c r="M140" s="120"/>
      <c r="N140" s="101"/>
      <c r="O140" s="130"/>
    </row>
    <row r="141" spans="1:15" s="111" customFormat="1" x14ac:dyDescent="0.2">
      <c r="A141" s="112"/>
      <c r="B141" s="113" t="s">
        <v>263</v>
      </c>
      <c r="C141" s="113"/>
      <c r="D141" s="113"/>
      <c r="E141" s="114"/>
      <c r="F141" s="114"/>
      <c r="G141" s="114"/>
      <c r="H141" s="114"/>
      <c r="I141" s="114"/>
      <c r="J141" s="126" t="s">
        <v>1787</v>
      </c>
      <c r="K141" s="126" t="s">
        <v>776</v>
      </c>
      <c r="L141" s="126"/>
      <c r="M141" s="126"/>
      <c r="N141" s="126"/>
      <c r="O141" s="130"/>
    </row>
    <row r="142" spans="1:15" s="111" customFormat="1" ht="13.5" thickBot="1" x14ac:dyDescent="0.25">
      <c r="A142" s="121"/>
      <c r="B142" s="122"/>
      <c r="C142" s="122"/>
      <c r="D142" s="122"/>
      <c r="E142" s="123"/>
      <c r="F142" s="123"/>
      <c r="G142" s="123"/>
      <c r="H142" s="123"/>
      <c r="I142" s="123"/>
      <c r="J142" s="105" t="s">
        <v>833</v>
      </c>
      <c r="K142" s="105" t="s">
        <v>1222</v>
      </c>
      <c r="L142" s="105" t="s">
        <v>610</v>
      </c>
      <c r="M142" s="105"/>
      <c r="N142" s="105"/>
      <c r="O142" s="130"/>
    </row>
    <row r="143" spans="1:15" s="111" customFormat="1" x14ac:dyDescent="0.2">
      <c r="A143" s="116"/>
      <c r="B143" s="461" t="s">
        <v>67</v>
      </c>
      <c r="C143" s="461"/>
      <c r="D143" s="461"/>
      <c r="E143" s="120"/>
      <c r="F143" s="120" t="s">
        <v>1180</v>
      </c>
      <c r="G143" s="120" t="s">
        <v>68</v>
      </c>
      <c r="H143" s="120" t="s">
        <v>702</v>
      </c>
      <c r="I143" s="120"/>
      <c r="J143" s="100">
        <f>200/ATHENS!O1*ATHENS!O2</f>
        <v>363.63636363636363</v>
      </c>
      <c r="K143" s="100">
        <f>240/ATHENS!O1*ATHENS!O2</f>
        <v>436.36363636363632</v>
      </c>
      <c r="L143" s="100">
        <f>280/ATHENS!O1*ATHENS!O2</f>
        <v>509.09090909090907</v>
      </c>
      <c r="M143" s="100"/>
      <c r="N143" s="100"/>
      <c r="O143" s="130"/>
    </row>
    <row r="144" spans="1:15" s="111" customFormat="1" x14ac:dyDescent="0.2">
      <c r="A144" s="116"/>
      <c r="B144" s="119" t="s">
        <v>67</v>
      </c>
      <c r="C144" s="119"/>
      <c r="D144" s="119"/>
      <c r="E144" s="120"/>
      <c r="F144" s="120" t="s">
        <v>1181</v>
      </c>
      <c r="G144" s="120" t="s">
        <v>68</v>
      </c>
      <c r="H144" s="120" t="s">
        <v>702</v>
      </c>
      <c r="I144" s="120"/>
      <c r="J144" s="100">
        <f>100/ATHENS!O1*ATHENS!O2</f>
        <v>181.81818181818181</v>
      </c>
      <c r="K144" s="100">
        <f>120/ATHENS!O1*ATHENS!O2</f>
        <v>218.18181818181816</v>
      </c>
      <c r="L144" s="100">
        <f>140/ATHENS!O1*ATHENS!O2</f>
        <v>254.54545454545453</v>
      </c>
      <c r="M144" s="100"/>
      <c r="N144" s="100"/>
      <c r="O144" s="130"/>
    </row>
    <row r="145" spans="1:15" s="111" customFormat="1" x14ac:dyDescent="0.2">
      <c r="A145" s="116"/>
      <c r="B145" s="119" t="s">
        <v>67</v>
      </c>
      <c r="C145" s="119"/>
      <c r="D145" s="119"/>
      <c r="E145" s="120"/>
      <c r="F145" s="120" t="s">
        <v>1182</v>
      </c>
      <c r="G145" s="120" t="s">
        <v>68</v>
      </c>
      <c r="H145" s="120" t="s">
        <v>702</v>
      </c>
      <c r="I145" s="120"/>
      <c r="J145" s="100">
        <f>80/ATHENS!O1*ATHENS!O2</f>
        <v>145.45454545454544</v>
      </c>
      <c r="K145" s="100">
        <f>93.5/ATHENS!O1*ATHENS!O2</f>
        <v>170</v>
      </c>
      <c r="L145" s="100">
        <f>106.6/ATHENS!O1*ATHENS!O2</f>
        <v>193.81818181818178</v>
      </c>
      <c r="M145" s="100"/>
      <c r="N145" s="100"/>
      <c r="O145" s="130"/>
    </row>
    <row r="146" spans="1:15" s="111" customFormat="1" ht="13.5" thickBot="1" x14ac:dyDescent="0.25">
      <c r="A146" s="121"/>
      <c r="B146" s="460" t="s">
        <v>67</v>
      </c>
      <c r="C146" s="460"/>
      <c r="D146" s="460"/>
      <c r="E146" s="123"/>
      <c r="F146" s="123" t="s">
        <v>257</v>
      </c>
      <c r="G146" s="123" t="s">
        <v>68</v>
      </c>
      <c r="H146" s="123" t="s">
        <v>702</v>
      </c>
      <c r="I146" s="123"/>
      <c r="J146" s="105">
        <f>80/ATHENS!O1*ATHENS!O2</f>
        <v>145.45454545454544</v>
      </c>
      <c r="K146" s="105">
        <f>90/ATHENS!O1*ATHENS!O2</f>
        <v>163.63636363636363</v>
      </c>
      <c r="L146" s="105">
        <f>100/ATHENS!O1*ATHENS!O2</f>
        <v>181.81818181818181</v>
      </c>
      <c r="M146" s="105"/>
      <c r="N146" s="105"/>
      <c r="O146" s="130"/>
    </row>
    <row r="147" spans="1:15" s="111" customFormat="1" ht="13.5" thickBot="1" x14ac:dyDescent="0.25">
      <c r="A147" s="239"/>
      <c r="B147" s="119"/>
      <c r="C147" s="119"/>
      <c r="D147" s="119"/>
      <c r="E147" s="120"/>
      <c r="F147" s="120"/>
      <c r="G147" s="120"/>
      <c r="H147" s="120"/>
      <c r="I147" s="120"/>
      <c r="J147" s="120"/>
      <c r="K147" s="120"/>
      <c r="L147" s="120"/>
      <c r="M147" s="120"/>
      <c r="N147" s="120"/>
      <c r="O147" s="130"/>
    </row>
    <row r="148" spans="1:15" s="111" customFormat="1" x14ac:dyDescent="0.2">
      <c r="A148" s="20"/>
      <c r="B148" s="21"/>
      <c r="C148" s="21"/>
      <c r="D148" s="21"/>
      <c r="E148" s="22"/>
      <c r="F148" s="22"/>
      <c r="G148" s="22"/>
      <c r="H148" s="22"/>
      <c r="I148" s="22"/>
      <c r="J148" s="22"/>
      <c r="K148" s="22"/>
      <c r="L148" s="22"/>
      <c r="M148" s="22"/>
      <c r="N148" s="23"/>
      <c r="O148" s="130"/>
    </row>
    <row r="149" spans="1:15" s="111" customFormat="1" ht="15" x14ac:dyDescent="0.2">
      <c r="A149" s="24"/>
      <c r="B149" s="440" t="s">
        <v>1677</v>
      </c>
      <c r="C149" s="441"/>
      <c r="D149" s="441"/>
      <c r="E149" s="441"/>
      <c r="F149" s="441"/>
      <c r="G149" s="441"/>
      <c r="H149" s="441"/>
      <c r="I149" s="441"/>
      <c r="J149" s="441"/>
      <c r="K149" s="441"/>
      <c r="L149" s="441"/>
      <c r="M149" s="442"/>
      <c r="N149" s="25" t="s">
        <v>91</v>
      </c>
      <c r="O149" s="130"/>
    </row>
    <row r="150" spans="1:15" s="111" customFormat="1" x14ac:dyDescent="0.2">
      <c r="A150" s="24"/>
      <c r="B150" s="26" t="s">
        <v>428</v>
      </c>
      <c r="C150" s="27" t="s">
        <v>1679</v>
      </c>
      <c r="D150" s="27"/>
      <c r="E150" s="28"/>
      <c r="F150" s="28"/>
      <c r="G150" s="28"/>
      <c r="H150" s="28"/>
      <c r="I150" s="28"/>
      <c r="J150" s="28"/>
      <c r="K150" s="28"/>
      <c r="L150" s="28"/>
      <c r="M150" s="28"/>
      <c r="N150" s="29"/>
      <c r="O150" s="130"/>
    </row>
    <row r="151" spans="1:15" s="111" customFormat="1" x14ac:dyDescent="0.2">
      <c r="A151" s="24"/>
      <c r="B151" s="26" t="s">
        <v>429</v>
      </c>
      <c r="C151" s="27" t="s">
        <v>1673</v>
      </c>
      <c r="D151" s="27"/>
      <c r="E151" s="28"/>
      <c r="F151" s="28"/>
      <c r="G151" s="28"/>
      <c r="H151" s="28"/>
      <c r="I151" s="28"/>
      <c r="J151" s="28"/>
      <c r="K151" s="28"/>
      <c r="L151" s="28"/>
      <c r="M151" s="28"/>
      <c r="N151" s="29"/>
      <c r="O151" s="130"/>
    </row>
    <row r="152" spans="1:15" s="111" customFormat="1" x14ac:dyDescent="0.2">
      <c r="A152" s="24"/>
      <c r="B152" s="26" t="s">
        <v>427</v>
      </c>
      <c r="C152" s="436" t="s">
        <v>1680</v>
      </c>
      <c r="D152" s="436"/>
      <c r="E152" s="436"/>
      <c r="F152" s="436"/>
      <c r="G152" s="436"/>
      <c r="H152" s="436"/>
      <c r="I152" s="436"/>
      <c r="J152" s="436"/>
      <c r="K152" s="436"/>
      <c r="L152" s="436"/>
      <c r="M152" s="436"/>
      <c r="N152" s="437"/>
      <c r="O152" s="130"/>
    </row>
    <row r="153" spans="1:15" s="111" customFormat="1" x14ac:dyDescent="0.2">
      <c r="A153" s="24"/>
      <c r="B153" s="27"/>
      <c r="C153" s="436"/>
      <c r="D153" s="436"/>
      <c r="E153" s="436"/>
      <c r="F153" s="436"/>
      <c r="G153" s="436"/>
      <c r="H153" s="436"/>
      <c r="I153" s="436"/>
      <c r="J153" s="436"/>
      <c r="K153" s="436"/>
      <c r="L153" s="436"/>
      <c r="M153" s="436"/>
      <c r="N153" s="437"/>
      <c r="O153" s="130"/>
    </row>
    <row r="154" spans="1:15" s="111" customFormat="1" x14ac:dyDescent="0.2">
      <c r="A154" s="24"/>
      <c r="B154" s="26" t="s">
        <v>426</v>
      </c>
      <c r="C154" s="27" t="s">
        <v>1678</v>
      </c>
      <c r="D154" s="27"/>
      <c r="E154" s="28"/>
      <c r="F154" s="28"/>
      <c r="G154" s="28"/>
      <c r="H154" s="28"/>
      <c r="I154" s="28"/>
      <c r="J154" s="28"/>
      <c r="K154" s="28"/>
      <c r="L154" s="28"/>
      <c r="M154" s="28"/>
      <c r="N154" s="29"/>
      <c r="O154" s="130"/>
    </row>
    <row r="155" spans="1:15" s="111" customFormat="1" ht="13.5" thickBot="1" x14ac:dyDescent="0.25">
      <c r="A155" s="30"/>
      <c r="B155" s="26" t="s">
        <v>430</v>
      </c>
      <c r="C155" s="31"/>
      <c r="D155" s="31"/>
      <c r="E155" s="32"/>
      <c r="F155" s="32"/>
      <c r="G155" s="32"/>
      <c r="H155" s="32"/>
      <c r="I155" s="32"/>
      <c r="J155" s="32"/>
      <c r="K155" s="32"/>
      <c r="L155" s="32"/>
      <c r="M155" s="32"/>
      <c r="N155" s="33"/>
      <c r="O155" s="130"/>
    </row>
    <row r="156" spans="1:15" s="111" customFormat="1" x14ac:dyDescent="0.2">
      <c r="A156" s="24"/>
      <c r="B156" s="21" t="s">
        <v>263</v>
      </c>
      <c r="C156" s="27"/>
      <c r="D156" s="27"/>
      <c r="E156" s="28"/>
      <c r="F156" s="28"/>
      <c r="G156" s="28"/>
      <c r="H156" s="28"/>
      <c r="I156" s="28"/>
      <c r="J156" s="67" t="s">
        <v>2108</v>
      </c>
      <c r="K156" s="63" t="s">
        <v>2109</v>
      </c>
      <c r="L156" s="63"/>
      <c r="M156" s="63"/>
      <c r="N156" s="63"/>
      <c r="O156" s="130"/>
    </row>
    <row r="157" spans="1:15" s="111" customFormat="1" ht="13.5" thickBot="1" x14ac:dyDescent="0.25">
      <c r="A157" s="30"/>
      <c r="B157" s="31"/>
      <c r="C157" s="31"/>
      <c r="D157" s="31"/>
      <c r="E157" s="32"/>
      <c r="F157" s="32"/>
      <c r="G157" s="32"/>
      <c r="H157" s="32"/>
      <c r="I157" s="32"/>
      <c r="J157" s="49" t="s">
        <v>481</v>
      </c>
      <c r="K157" s="40" t="s">
        <v>832</v>
      </c>
      <c r="L157" s="40" t="s">
        <v>2110</v>
      </c>
      <c r="M157" s="40"/>
      <c r="N157" s="40"/>
      <c r="O157" s="130"/>
    </row>
    <row r="158" spans="1:15" s="111" customFormat="1" x14ac:dyDescent="0.2">
      <c r="A158" s="20"/>
      <c r="B158" s="434" t="s">
        <v>67</v>
      </c>
      <c r="C158" s="434"/>
      <c r="D158" s="434"/>
      <c r="E158" s="22"/>
      <c r="F158" s="22" t="s">
        <v>1180</v>
      </c>
      <c r="G158" s="22" t="s">
        <v>68</v>
      </c>
      <c r="H158" s="22" t="s">
        <v>702</v>
      </c>
      <c r="I158" s="28"/>
      <c r="J158" s="75">
        <f>110.9/ATHENS!O1*ATHENS!O2</f>
        <v>201.63636363636363</v>
      </c>
      <c r="K158" s="75">
        <f>176.9/ATHENS!O1*ATHENS!O2</f>
        <v>321.63636363636363</v>
      </c>
      <c r="L158" s="44">
        <f>222/ATHENS!O1*ATHENS!O2</f>
        <v>403.63636363636363</v>
      </c>
      <c r="M158" s="42"/>
      <c r="N158" s="42"/>
      <c r="O158" s="130"/>
    </row>
    <row r="159" spans="1:15" s="111" customFormat="1" x14ac:dyDescent="0.2">
      <c r="A159" s="24"/>
      <c r="B159" s="435" t="s">
        <v>67</v>
      </c>
      <c r="C159" s="435"/>
      <c r="D159" s="435"/>
      <c r="E159" s="28"/>
      <c r="F159" s="28" t="s">
        <v>1181</v>
      </c>
      <c r="G159" s="28" t="s">
        <v>68</v>
      </c>
      <c r="H159" s="28" t="s">
        <v>702</v>
      </c>
      <c r="I159" s="28"/>
      <c r="J159" s="75">
        <f>55.5/ATHENS!O1*ATHENS!O2</f>
        <v>100.90909090909091</v>
      </c>
      <c r="K159" s="75">
        <f>88.5/ATHENS!O1*ATHENS!O2</f>
        <v>160.90909090909091</v>
      </c>
      <c r="L159" s="44">
        <f>111/ATHENS!O1*ATHENS!O2</f>
        <v>201.81818181818181</v>
      </c>
      <c r="M159" s="44"/>
      <c r="N159" s="44"/>
      <c r="O159" s="130"/>
    </row>
    <row r="160" spans="1:15" s="111" customFormat="1" x14ac:dyDescent="0.2">
      <c r="A160" s="24"/>
      <c r="B160" s="68" t="s">
        <v>67</v>
      </c>
      <c r="C160" s="27"/>
      <c r="D160" s="27"/>
      <c r="E160" s="28"/>
      <c r="F160" s="28" t="s">
        <v>1182</v>
      </c>
      <c r="G160" s="28" t="s">
        <v>68</v>
      </c>
      <c r="H160" s="28" t="s">
        <v>702</v>
      </c>
      <c r="I160" s="28"/>
      <c r="J160" s="75">
        <f>49.9/ATHENS!O1*ATHENS!O2</f>
        <v>90.72727272727272</v>
      </c>
      <c r="K160" s="75">
        <f>79.6/ATHENS!O1*ATHENS!O2</f>
        <v>144.72727272727269</v>
      </c>
      <c r="L160" s="44">
        <f>98/ATHENS!O1*ATHENS!O2</f>
        <v>178.18181818181816</v>
      </c>
      <c r="M160" s="44"/>
      <c r="N160" s="44"/>
      <c r="O160" s="130"/>
    </row>
    <row r="161" spans="1:15" s="111" customFormat="1" ht="13.5" thickBot="1" x14ac:dyDescent="0.25">
      <c r="A161" s="30"/>
      <c r="B161" s="443"/>
      <c r="C161" s="443"/>
      <c r="D161" s="443"/>
      <c r="E161" s="32"/>
      <c r="F161" s="89"/>
      <c r="G161" s="89"/>
      <c r="H161" s="32"/>
      <c r="I161" s="32"/>
      <c r="J161" s="76"/>
      <c r="K161" s="76"/>
      <c r="L161" s="46"/>
      <c r="M161" s="46"/>
      <c r="N161" s="46"/>
      <c r="O161" s="130"/>
    </row>
    <row r="162" spans="1:15" s="111" customFormat="1" x14ac:dyDescent="0.2">
      <c r="A162" s="239"/>
      <c r="B162" s="119"/>
      <c r="C162" s="119"/>
      <c r="D162" s="119"/>
      <c r="E162" s="120"/>
      <c r="F162" s="120"/>
      <c r="G162" s="120"/>
      <c r="H162" s="120"/>
      <c r="I162" s="120"/>
      <c r="J162" s="120"/>
      <c r="K162" s="120"/>
      <c r="L162" s="120"/>
      <c r="M162" s="120"/>
      <c r="N162" s="120"/>
      <c r="O162" s="130"/>
    </row>
    <row r="163" spans="1:15" s="111" customFormat="1" x14ac:dyDescent="0.2">
      <c r="A163" s="239"/>
      <c r="B163" s="119"/>
      <c r="C163" s="119"/>
      <c r="D163" s="119"/>
      <c r="E163" s="120"/>
      <c r="F163" s="120"/>
      <c r="G163" s="120"/>
      <c r="H163" s="120"/>
      <c r="I163" s="120"/>
      <c r="J163" s="120"/>
      <c r="K163" s="120"/>
      <c r="L163" s="120"/>
      <c r="M163" s="120"/>
      <c r="N163" s="120"/>
      <c r="O163" s="130"/>
    </row>
    <row r="164" spans="1:15" s="111" customFormat="1" x14ac:dyDescent="0.2">
      <c r="A164" s="239"/>
      <c r="B164" s="119"/>
      <c r="C164" s="119"/>
      <c r="D164" s="119"/>
      <c r="E164" s="120"/>
      <c r="F164" s="120"/>
      <c r="G164" s="120"/>
      <c r="H164" s="120"/>
      <c r="I164" s="120"/>
      <c r="J164" s="120"/>
      <c r="K164" s="120"/>
      <c r="L164" s="120"/>
      <c r="M164" s="120"/>
      <c r="N164" s="120"/>
      <c r="O164" s="130"/>
    </row>
    <row r="165" spans="1:15" s="111" customFormat="1" x14ac:dyDescent="0.2">
      <c r="A165" s="239"/>
      <c r="B165" s="119"/>
      <c r="C165" s="119"/>
      <c r="D165" s="119"/>
      <c r="E165" s="120"/>
      <c r="F165" s="120"/>
      <c r="G165" s="120"/>
      <c r="H165" s="120"/>
      <c r="I165" s="120"/>
      <c r="J165" s="120"/>
      <c r="K165" s="120"/>
      <c r="L165" s="120"/>
      <c r="M165" s="120"/>
      <c r="N165" s="120"/>
      <c r="O165" s="130"/>
    </row>
    <row r="166" spans="1:15" s="111" customFormat="1" x14ac:dyDescent="0.2">
      <c r="A166" s="239"/>
      <c r="B166" s="119"/>
      <c r="C166" s="119"/>
      <c r="D166" s="119"/>
      <c r="E166" s="120"/>
      <c r="F166" s="120"/>
      <c r="G166" s="120"/>
      <c r="H166" s="120"/>
      <c r="I166" s="120"/>
      <c r="J166" s="120"/>
      <c r="K166" s="120"/>
      <c r="L166" s="120"/>
      <c r="M166" s="120"/>
      <c r="N166" s="120"/>
      <c r="O166" s="130"/>
    </row>
    <row r="167" spans="1:15" s="111" customFormat="1" x14ac:dyDescent="0.2">
      <c r="A167" s="239"/>
      <c r="B167" s="119"/>
      <c r="C167" s="119"/>
      <c r="D167" s="119"/>
      <c r="E167" s="120"/>
      <c r="F167" s="120"/>
      <c r="G167" s="120"/>
      <c r="H167" s="120"/>
      <c r="I167" s="120"/>
      <c r="J167" s="120"/>
      <c r="K167" s="120"/>
      <c r="L167" s="120"/>
      <c r="M167" s="120"/>
      <c r="N167" s="120"/>
      <c r="O167" s="130"/>
    </row>
    <row r="168" spans="1:15" s="111" customFormat="1" x14ac:dyDescent="0.2">
      <c r="A168" s="239"/>
      <c r="B168" s="119"/>
      <c r="C168" s="119"/>
      <c r="D168" s="119"/>
      <c r="E168" s="120"/>
      <c r="F168" s="120"/>
      <c r="G168" s="120"/>
      <c r="H168" s="120"/>
      <c r="I168" s="120"/>
      <c r="J168" s="120"/>
      <c r="K168" s="120"/>
      <c r="L168" s="120"/>
      <c r="M168" s="120"/>
      <c r="N168" s="120"/>
      <c r="O168" s="130"/>
    </row>
    <row r="169" spans="1:15" s="111" customFormat="1" x14ac:dyDescent="0.2">
      <c r="A169" s="239"/>
      <c r="B169" s="119"/>
      <c r="C169" s="119"/>
      <c r="D169" s="119"/>
      <c r="E169" s="120"/>
      <c r="F169" s="120"/>
      <c r="G169" s="120"/>
      <c r="H169" s="120"/>
      <c r="I169" s="120"/>
      <c r="J169" s="120"/>
      <c r="K169" s="120"/>
      <c r="L169" s="120"/>
      <c r="M169" s="120"/>
      <c r="N169" s="120"/>
      <c r="O169" s="130"/>
    </row>
    <row r="170" spans="1:15" s="111" customFormat="1" x14ac:dyDescent="0.2">
      <c r="A170" s="239"/>
      <c r="B170" s="119"/>
      <c r="C170" s="119"/>
      <c r="D170" s="119"/>
      <c r="E170" s="120"/>
      <c r="F170" s="120"/>
      <c r="G170" s="120"/>
      <c r="H170" s="120"/>
      <c r="I170" s="120"/>
      <c r="J170" s="120"/>
      <c r="K170" s="120"/>
      <c r="L170" s="120"/>
      <c r="M170" s="120"/>
      <c r="N170" s="120"/>
      <c r="O170" s="130"/>
    </row>
    <row r="171" spans="1:15" s="111" customFormat="1" x14ac:dyDescent="0.2">
      <c r="A171" s="239"/>
      <c r="B171" s="119"/>
      <c r="C171" s="119"/>
      <c r="D171" s="119"/>
      <c r="E171" s="120"/>
      <c r="F171" s="120"/>
      <c r="G171" s="120"/>
      <c r="H171" s="120"/>
      <c r="I171" s="120"/>
      <c r="J171" s="120"/>
      <c r="K171" s="120"/>
      <c r="L171" s="120"/>
      <c r="M171" s="120"/>
      <c r="N171" s="120"/>
      <c r="O171" s="130"/>
    </row>
    <row r="172" spans="1:15" s="111" customFormat="1" x14ac:dyDescent="0.2">
      <c r="A172" s="239"/>
      <c r="B172" s="119"/>
      <c r="C172" s="119"/>
      <c r="D172" s="119"/>
      <c r="E172" s="120"/>
      <c r="F172" s="120"/>
      <c r="G172" s="120"/>
      <c r="H172" s="120"/>
      <c r="I172" s="120"/>
      <c r="J172" s="120"/>
      <c r="K172" s="120"/>
      <c r="L172" s="120"/>
      <c r="M172" s="120"/>
      <c r="N172" s="120"/>
      <c r="O172" s="130"/>
    </row>
    <row r="173" spans="1:15" s="111" customFormat="1" ht="13.5" thickBot="1" x14ac:dyDescent="0.25">
      <c r="A173" s="108"/>
      <c r="B173" s="109"/>
      <c r="C173" s="109"/>
      <c r="D173" s="109"/>
      <c r="E173" s="110"/>
      <c r="F173" s="110"/>
      <c r="G173" s="110"/>
      <c r="H173" s="110"/>
      <c r="I173" s="110"/>
      <c r="J173" s="110"/>
      <c r="K173" s="110"/>
      <c r="L173" s="110"/>
      <c r="M173" s="110"/>
      <c r="N173" s="110"/>
      <c r="O173" s="130"/>
    </row>
    <row r="174" spans="1:15" s="111" customFormat="1" ht="13.5" thickBot="1" x14ac:dyDescent="0.25">
      <c r="A174" s="112"/>
      <c r="B174" s="113"/>
      <c r="C174" s="113"/>
      <c r="D174" s="113"/>
      <c r="E174" s="114"/>
      <c r="F174" s="114"/>
      <c r="G174" s="114"/>
      <c r="H174" s="114"/>
      <c r="I174" s="114"/>
      <c r="J174" s="114"/>
      <c r="K174" s="114"/>
      <c r="L174" s="114"/>
      <c r="M174" s="114"/>
      <c r="N174" s="115"/>
      <c r="O174" s="130"/>
    </row>
    <row r="175" spans="1:15" s="111" customFormat="1" ht="15.75" thickBot="1" x14ac:dyDescent="0.25">
      <c r="A175" s="116"/>
      <c r="B175" s="484" t="s">
        <v>1620</v>
      </c>
      <c r="C175" s="485"/>
      <c r="D175" s="485"/>
      <c r="E175" s="485"/>
      <c r="F175" s="485"/>
      <c r="G175" s="485"/>
      <c r="H175" s="485"/>
      <c r="I175" s="485"/>
      <c r="J175" s="485"/>
      <c r="K175" s="485"/>
      <c r="L175" s="485"/>
      <c r="M175" s="486"/>
      <c r="N175" s="117" t="s">
        <v>683</v>
      </c>
      <c r="O175" s="130"/>
    </row>
    <row r="176" spans="1:15" s="111" customFormat="1" x14ac:dyDescent="0.2">
      <c r="A176" s="116"/>
      <c r="B176" s="118" t="s">
        <v>428</v>
      </c>
      <c r="C176" s="119" t="s">
        <v>1474</v>
      </c>
      <c r="D176" s="119"/>
      <c r="E176" s="120"/>
      <c r="F176" s="120"/>
      <c r="G176" s="120"/>
      <c r="H176" s="120"/>
      <c r="I176" s="120"/>
      <c r="J176" s="120"/>
      <c r="K176" s="120"/>
      <c r="L176" s="120"/>
      <c r="M176" s="120"/>
      <c r="N176" s="101"/>
      <c r="O176" s="130"/>
    </row>
    <row r="177" spans="1:15" s="111" customFormat="1" x14ac:dyDescent="0.2">
      <c r="A177" s="116"/>
      <c r="B177" s="118" t="s">
        <v>429</v>
      </c>
      <c r="C177" s="119" t="s">
        <v>1215</v>
      </c>
      <c r="D177" s="119"/>
      <c r="E177" s="120"/>
      <c r="F177" s="120"/>
      <c r="G177" s="120"/>
      <c r="H177" s="120"/>
      <c r="I177" s="120"/>
      <c r="J177" s="120"/>
      <c r="K177" s="120"/>
      <c r="L177" s="120"/>
      <c r="M177" s="120"/>
      <c r="N177" s="101"/>
      <c r="O177" s="130"/>
    </row>
    <row r="178" spans="1:15" s="111" customFormat="1" x14ac:dyDescent="0.2">
      <c r="A178" s="116"/>
      <c r="B178" s="118" t="s">
        <v>427</v>
      </c>
      <c r="C178" s="480" t="s">
        <v>1003</v>
      </c>
      <c r="D178" s="480"/>
      <c r="E178" s="480"/>
      <c r="F178" s="480"/>
      <c r="G178" s="480"/>
      <c r="H178" s="480"/>
      <c r="I178" s="480"/>
      <c r="J178" s="480"/>
      <c r="K178" s="480"/>
      <c r="L178" s="480"/>
      <c r="M178" s="480"/>
      <c r="N178" s="481"/>
      <c r="O178" s="130"/>
    </row>
    <row r="179" spans="1:15" s="111" customFormat="1" x14ac:dyDescent="0.2">
      <c r="A179" s="116"/>
      <c r="B179" s="118"/>
      <c r="C179" s="480"/>
      <c r="D179" s="480"/>
      <c r="E179" s="480"/>
      <c r="F179" s="480"/>
      <c r="G179" s="480"/>
      <c r="H179" s="480"/>
      <c r="I179" s="480"/>
      <c r="J179" s="480"/>
      <c r="K179" s="480"/>
      <c r="L179" s="480"/>
      <c r="M179" s="480"/>
      <c r="N179" s="481"/>
      <c r="O179" s="130"/>
    </row>
    <row r="180" spans="1:15" s="111" customFormat="1" x14ac:dyDescent="0.2">
      <c r="A180" s="116"/>
      <c r="B180" s="109"/>
      <c r="C180" s="480"/>
      <c r="D180" s="480"/>
      <c r="E180" s="480"/>
      <c r="F180" s="480"/>
      <c r="G180" s="480"/>
      <c r="H180" s="480"/>
      <c r="I180" s="480"/>
      <c r="J180" s="480"/>
      <c r="K180" s="480"/>
      <c r="L180" s="480"/>
      <c r="M180" s="480"/>
      <c r="N180" s="481"/>
      <c r="O180" s="130"/>
    </row>
    <row r="181" spans="1:15" s="111" customFormat="1" x14ac:dyDescent="0.2">
      <c r="A181" s="116"/>
      <c r="B181" s="118" t="s">
        <v>426</v>
      </c>
      <c r="C181" s="119" t="s">
        <v>407</v>
      </c>
      <c r="D181" s="119"/>
      <c r="E181" s="120"/>
      <c r="F181" s="120"/>
      <c r="G181" s="120"/>
      <c r="H181" s="120"/>
      <c r="I181" s="120"/>
      <c r="J181" s="120"/>
      <c r="K181" s="120"/>
      <c r="L181" s="120"/>
      <c r="M181" s="120"/>
      <c r="N181" s="101"/>
      <c r="O181" s="130"/>
    </row>
    <row r="182" spans="1:15" s="111" customFormat="1" ht="13.5" thickBot="1" x14ac:dyDescent="0.25">
      <c r="A182" s="116"/>
      <c r="B182" s="118" t="s">
        <v>430</v>
      </c>
      <c r="C182" s="119" t="s">
        <v>408</v>
      </c>
      <c r="D182" s="119"/>
      <c r="E182" s="120"/>
      <c r="F182" s="120"/>
      <c r="G182" s="120"/>
      <c r="H182" s="120"/>
      <c r="I182" s="120"/>
      <c r="J182" s="120"/>
      <c r="K182" s="120"/>
      <c r="L182" s="120"/>
      <c r="M182" s="120"/>
      <c r="N182" s="101"/>
      <c r="O182" s="130"/>
    </row>
    <row r="183" spans="1:15" s="111" customFormat="1" x14ac:dyDescent="0.2">
      <c r="A183" s="112"/>
      <c r="B183" s="113" t="s">
        <v>263</v>
      </c>
      <c r="C183" s="113"/>
      <c r="D183" s="113"/>
      <c r="E183" s="114"/>
      <c r="F183" s="114"/>
      <c r="G183" s="114"/>
      <c r="H183" s="114"/>
      <c r="I183" s="114"/>
      <c r="J183" s="127" t="s">
        <v>1810</v>
      </c>
      <c r="K183" s="126" t="s">
        <v>173</v>
      </c>
      <c r="L183" s="126"/>
      <c r="M183" s="126"/>
      <c r="N183" s="126"/>
      <c r="O183" s="130"/>
    </row>
    <row r="184" spans="1:15" s="111" customFormat="1" ht="13.5" thickBot="1" x14ac:dyDescent="0.25">
      <c r="A184" s="121"/>
      <c r="B184" s="122"/>
      <c r="C184" s="122"/>
      <c r="D184" s="122"/>
      <c r="E184" s="123"/>
      <c r="F184" s="123"/>
      <c r="G184" s="123"/>
      <c r="H184" s="123"/>
      <c r="I184" s="123"/>
      <c r="J184" s="125" t="s">
        <v>1400</v>
      </c>
      <c r="K184" s="105" t="s">
        <v>341</v>
      </c>
      <c r="L184" s="105" t="s">
        <v>1834</v>
      </c>
      <c r="M184" s="105"/>
      <c r="N184" s="105"/>
      <c r="O184" s="130"/>
    </row>
    <row r="185" spans="1:15" s="111" customFormat="1" x14ac:dyDescent="0.2">
      <c r="A185" s="112"/>
      <c r="B185" s="467" t="s">
        <v>67</v>
      </c>
      <c r="C185" s="467"/>
      <c r="D185" s="467"/>
      <c r="E185" s="114"/>
      <c r="F185" s="114" t="s">
        <v>1181</v>
      </c>
      <c r="G185" s="114" t="s">
        <v>68</v>
      </c>
      <c r="H185" s="114" t="s">
        <v>1184</v>
      </c>
      <c r="I185" s="114"/>
      <c r="J185" s="100">
        <f>349/ATHENS!O1*ATHENS!O2</f>
        <v>634.5454545454545</v>
      </c>
      <c r="K185" s="100">
        <f>417/ATHENS!O1*ATHENS!O2</f>
        <v>758.18181818181813</v>
      </c>
      <c r="L185" s="100">
        <f>498/ATHENS!O1*ATHENS!O2</f>
        <v>905.45454545454538</v>
      </c>
      <c r="M185" s="100"/>
      <c r="N185" s="126"/>
      <c r="O185" s="130"/>
    </row>
    <row r="186" spans="1:15" s="111" customFormat="1" ht="13.5" thickBot="1" x14ac:dyDescent="0.25">
      <c r="A186" s="121"/>
      <c r="B186" s="460" t="s">
        <v>1861</v>
      </c>
      <c r="C186" s="460"/>
      <c r="D186" s="460"/>
      <c r="E186" s="123"/>
      <c r="F186" s="123" t="s">
        <v>518</v>
      </c>
      <c r="G186" s="123" t="s">
        <v>68</v>
      </c>
      <c r="H186" s="123" t="s">
        <v>1184</v>
      </c>
      <c r="I186" s="123"/>
      <c r="J186" s="105">
        <f>400/ATHENS!O1*ATHENS!O2</f>
        <v>727.27272727272725</v>
      </c>
      <c r="K186" s="105">
        <f>498/ATHENS!O1*ATHENS!O2</f>
        <v>905.45454545454538</v>
      </c>
      <c r="L186" s="105">
        <f>587/ATHENS!O1*ATHENS!O2</f>
        <v>1067.2727272727273</v>
      </c>
      <c r="M186" s="105"/>
      <c r="N186" s="105"/>
      <c r="O186" s="130"/>
    </row>
    <row r="187" spans="1:15" s="111" customFormat="1" ht="13.5" thickBot="1" x14ac:dyDescent="0.25">
      <c r="A187" s="134"/>
      <c r="B187" s="135" t="s">
        <v>409</v>
      </c>
      <c r="C187" s="135"/>
      <c r="D187" s="135"/>
      <c r="E187" s="136"/>
      <c r="F187" s="136"/>
      <c r="G187" s="136"/>
      <c r="H187" s="136"/>
      <c r="I187" s="136"/>
      <c r="J187" s="136"/>
      <c r="K187" s="136"/>
      <c r="L187" s="136"/>
      <c r="M187" s="136"/>
      <c r="N187" s="137"/>
      <c r="O187" s="130"/>
    </row>
    <row r="188" spans="1:15" s="111" customFormat="1" ht="13.5" thickBot="1" x14ac:dyDescent="0.25">
      <c r="A188" s="108"/>
      <c r="B188" s="109"/>
      <c r="C188" s="109"/>
      <c r="D188" s="109"/>
      <c r="E188" s="110"/>
      <c r="F188" s="110"/>
      <c r="G188" s="110"/>
      <c r="H188" s="110"/>
      <c r="I188" s="110"/>
      <c r="J188" s="110"/>
      <c r="K188" s="110"/>
      <c r="L188" s="110"/>
      <c r="M188" s="110"/>
      <c r="N188" s="110"/>
      <c r="O188" s="130"/>
    </row>
    <row r="189" spans="1:15" s="111" customFormat="1" ht="13.5" thickBot="1" x14ac:dyDescent="0.25">
      <c r="A189" s="112"/>
      <c r="B189" s="113"/>
      <c r="C189" s="113"/>
      <c r="D189" s="113"/>
      <c r="E189" s="114"/>
      <c r="F189" s="114"/>
      <c r="G189" s="114"/>
      <c r="H189" s="114"/>
      <c r="I189" s="114"/>
      <c r="J189" s="114"/>
      <c r="K189" s="114"/>
      <c r="L189" s="114"/>
      <c r="M189" s="114"/>
      <c r="N189" s="115"/>
      <c r="O189" s="130"/>
    </row>
    <row r="190" spans="1:15" s="111" customFormat="1" ht="15.75" thickBot="1" x14ac:dyDescent="0.25">
      <c r="A190" s="116"/>
      <c r="B190" s="484" t="s">
        <v>781</v>
      </c>
      <c r="C190" s="485"/>
      <c r="D190" s="485"/>
      <c r="E190" s="485"/>
      <c r="F190" s="485"/>
      <c r="G190" s="485"/>
      <c r="H190" s="485"/>
      <c r="I190" s="485"/>
      <c r="J190" s="485"/>
      <c r="K190" s="485"/>
      <c r="L190" s="485"/>
      <c r="M190" s="486"/>
      <c r="N190" s="117" t="s">
        <v>91</v>
      </c>
      <c r="O190" s="130"/>
    </row>
    <row r="191" spans="1:15" s="111" customFormat="1" x14ac:dyDescent="0.2">
      <c r="A191" s="116"/>
      <c r="B191" s="118" t="s">
        <v>428</v>
      </c>
      <c r="C191" s="119" t="s">
        <v>782</v>
      </c>
      <c r="D191" s="119"/>
      <c r="E191" s="120"/>
      <c r="F191" s="120"/>
      <c r="G191" s="120"/>
      <c r="H191" s="120"/>
      <c r="I191" s="120"/>
      <c r="J191" s="120"/>
      <c r="K191" s="120"/>
      <c r="L191" s="120"/>
      <c r="M191" s="120"/>
      <c r="N191" s="101"/>
      <c r="O191" s="130"/>
    </row>
    <row r="192" spans="1:15" s="111" customFormat="1" x14ac:dyDescent="0.2">
      <c r="A192" s="116"/>
      <c r="B192" s="118" t="s">
        <v>429</v>
      </c>
      <c r="C192" s="119" t="s">
        <v>488</v>
      </c>
      <c r="D192" s="119"/>
      <c r="E192" s="120"/>
      <c r="F192" s="120"/>
      <c r="G192" s="120"/>
      <c r="H192" s="120"/>
      <c r="I192" s="120"/>
      <c r="J192" s="120"/>
      <c r="K192" s="120"/>
      <c r="L192" s="120"/>
      <c r="M192" s="120"/>
      <c r="N192" s="101"/>
      <c r="O192" s="130"/>
    </row>
    <row r="193" spans="1:15" s="111" customFormat="1" x14ac:dyDescent="0.2">
      <c r="A193" s="116"/>
      <c r="B193" s="118" t="s">
        <v>427</v>
      </c>
      <c r="C193" s="480" t="s">
        <v>1535</v>
      </c>
      <c r="D193" s="480"/>
      <c r="E193" s="480"/>
      <c r="F193" s="480"/>
      <c r="G193" s="480"/>
      <c r="H193" s="480"/>
      <c r="I193" s="480"/>
      <c r="J193" s="480"/>
      <c r="K193" s="480"/>
      <c r="L193" s="480"/>
      <c r="M193" s="480"/>
      <c r="N193" s="481"/>
      <c r="O193" s="130"/>
    </row>
    <row r="194" spans="1:15" s="111" customFormat="1" x14ac:dyDescent="0.2">
      <c r="A194" s="116"/>
      <c r="B194" s="118"/>
      <c r="C194" s="480"/>
      <c r="D194" s="480"/>
      <c r="E194" s="480"/>
      <c r="F194" s="480"/>
      <c r="G194" s="480"/>
      <c r="H194" s="480"/>
      <c r="I194" s="480"/>
      <c r="J194" s="480"/>
      <c r="K194" s="480"/>
      <c r="L194" s="480"/>
      <c r="M194" s="480"/>
      <c r="N194" s="481"/>
      <c r="O194" s="130"/>
    </row>
    <row r="195" spans="1:15" s="111" customFormat="1" x14ac:dyDescent="0.2">
      <c r="A195" s="116"/>
      <c r="B195" s="118"/>
      <c r="C195" s="480"/>
      <c r="D195" s="480"/>
      <c r="E195" s="480"/>
      <c r="F195" s="480"/>
      <c r="G195" s="480"/>
      <c r="H195" s="480"/>
      <c r="I195" s="480"/>
      <c r="J195" s="480"/>
      <c r="K195" s="480"/>
      <c r="L195" s="480"/>
      <c r="M195" s="480"/>
      <c r="N195" s="481"/>
      <c r="O195" s="130"/>
    </row>
    <row r="196" spans="1:15" s="111" customFormat="1" x14ac:dyDescent="0.2">
      <c r="A196" s="116"/>
      <c r="B196" s="118"/>
      <c r="C196" s="480"/>
      <c r="D196" s="480"/>
      <c r="E196" s="480"/>
      <c r="F196" s="480"/>
      <c r="G196" s="480"/>
      <c r="H196" s="480"/>
      <c r="I196" s="480"/>
      <c r="J196" s="480"/>
      <c r="K196" s="480"/>
      <c r="L196" s="480"/>
      <c r="M196" s="480"/>
      <c r="N196" s="481"/>
      <c r="O196" s="130"/>
    </row>
    <row r="197" spans="1:15" s="111" customFormat="1" x14ac:dyDescent="0.2">
      <c r="A197" s="116"/>
      <c r="B197" s="118"/>
      <c r="C197" s="480"/>
      <c r="D197" s="480"/>
      <c r="E197" s="480"/>
      <c r="F197" s="480"/>
      <c r="G197" s="480"/>
      <c r="H197" s="480"/>
      <c r="I197" s="480"/>
      <c r="J197" s="480"/>
      <c r="K197" s="480"/>
      <c r="L197" s="480"/>
      <c r="M197" s="480"/>
      <c r="N197" s="481"/>
      <c r="O197" s="130"/>
    </row>
    <row r="198" spans="1:15" s="111" customFormat="1" x14ac:dyDescent="0.2">
      <c r="A198" s="116"/>
      <c r="B198" s="118"/>
      <c r="C198" s="480"/>
      <c r="D198" s="480"/>
      <c r="E198" s="480"/>
      <c r="F198" s="480"/>
      <c r="G198" s="480"/>
      <c r="H198" s="480"/>
      <c r="I198" s="480"/>
      <c r="J198" s="480"/>
      <c r="K198" s="480"/>
      <c r="L198" s="480"/>
      <c r="M198" s="480"/>
      <c r="N198" s="481"/>
      <c r="O198" s="130"/>
    </row>
    <row r="199" spans="1:15" s="111" customFormat="1" x14ac:dyDescent="0.2">
      <c r="A199" s="116"/>
      <c r="B199" s="118"/>
      <c r="C199" s="480"/>
      <c r="D199" s="480"/>
      <c r="E199" s="480"/>
      <c r="F199" s="480"/>
      <c r="G199" s="480"/>
      <c r="H199" s="480"/>
      <c r="I199" s="480"/>
      <c r="J199" s="480"/>
      <c r="K199" s="480"/>
      <c r="L199" s="480"/>
      <c r="M199" s="480"/>
      <c r="N199" s="481"/>
      <c r="O199" s="130"/>
    </row>
    <row r="200" spans="1:15" s="111" customFormat="1" ht="13.5" thickBot="1" x14ac:dyDescent="0.25">
      <c r="A200" s="116"/>
      <c r="B200" s="118" t="s">
        <v>426</v>
      </c>
      <c r="C200" s="119" t="s">
        <v>783</v>
      </c>
      <c r="D200" s="119"/>
      <c r="E200" s="120"/>
      <c r="F200" s="120"/>
      <c r="G200" s="120"/>
      <c r="H200" s="120"/>
      <c r="I200" s="120"/>
      <c r="J200" s="120"/>
      <c r="K200" s="120"/>
      <c r="L200" s="120"/>
      <c r="M200" s="120"/>
      <c r="N200" s="101"/>
      <c r="O200" s="130"/>
    </row>
    <row r="201" spans="1:15" s="111" customFormat="1" x14ac:dyDescent="0.2">
      <c r="A201" s="112"/>
      <c r="B201" s="113" t="s">
        <v>263</v>
      </c>
      <c r="C201" s="113"/>
      <c r="D201" s="113"/>
      <c r="E201" s="114"/>
      <c r="F201" s="114"/>
      <c r="G201" s="114"/>
      <c r="H201" s="114"/>
      <c r="I201" s="114"/>
      <c r="J201" s="127" t="s">
        <v>2183</v>
      </c>
      <c r="K201" s="126" t="s">
        <v>279</v>
      </c>
      <c r="L201" s="126"/>
      <c r="M201" s="126"/>
      <c r="N201" s="126"/>
      <c r="O201" s="130"/>
    </row>
    <row r="202" spans="1:15" s="111" customFormat="1" ht="13.5" thickBot="1" x14ac:dyDescent="0.25">
      <c r="A202" s="121"/>
      <c r="B202" s="122"/>
      <c r="C202" s="122"/>
      <c r="D202" s="122"/>
      <c r="E202" s="123"/>
      <c r="F202" s="123"/>
      <c r="G202" s="123"/>
      <c r="H202" s="123"/>
      <c r="I202" s="123"/>
      <c r="J202" s="125" t="s">
        <v>1436</v>
      </c>
      <c r="K202" s="105" t="s">
        <v>520</v>
      </c>
      <c r="L202" s="105" t="s">
        <v>514</v>
      </c>
      <c r="M202" s="105"/>
      <c r="N202" s="105"/>
      <c r="O202" s="130"/>
    </row>
    <row r="203" spans="1:15" s="111" customFormat="1" x14ac:dyDescent="0.2">
      <c r="A203" s="112"/>
      <c r="B203" s="467" t="s">
        <v>901</v>
      </c>
      <c r="C203" s="467"/>
      <c r="D203" s="467"/>
      <c r="E203" s="114"/>
      <c r="F203" s="114" t="s">
        <v>518</v>
      </c>
      <c r="G203" s="114" t="s">
        <v>68</v>
      </c>
      <c r="H203" s="114" t="s">
        <v>1184</v>
      </c>
      <c r="I203" s="114"/>
      <c r="J203" s="100">
        <f>260/ATHENS!O1*ATHENS!O2</f>
        <v>472.72727272727269</v>
      </c>
      <c r="K203" s="100">
        <f>340/ATHENS!O1*ATHENS!O2</f>
        <v>618.18181818181813</v>
      </c>
      <c r="L203" s="100">
        <f>420/ATHENS!O1*ATHENS!O2</f>
        <v>763.63636363636363</v>
      </c>
      <c r="M203" s="100"/>
      <c r="N203" s="100"/>
      <c r="O203" s="130"/>
    </row>
    <row r="204" spans="1:15" s="111" customFormat="1" ht="13.5" thickBot="1" x14ac:dyDescent="0.25">
      <c r="A204" s="121"/>
      <c r="B204" s="460" t="s">
        <v>901</v>
      </c>
      <c r="C204" s="460"/>
      <c r="D204" s="460"/>
      <c r="E204" s="123"/>
      <c r="F204" s="123" t="s">
        <v>706</v>
      </c>
      <c r="G204" s="123" t="s">
        <v>68</v>
      </c>
      <c r="H204" s="123" t="s">
        <v>1184</v>
      </c>
      <c r="I204" s="123"/>
      <c r="J204" s="105">
        <f>435/ATHENS!O1*ATHENS!O2</f>
        <v>790.90909090909088</v>
      </c>
      <c r="K204" s="105">
        <f>550/ATHENS!O1*ATHENS!O2</f>
        <v>999.99999999999989</v>
      </c>
      <c r="L204" s="105">
        <f>665/ATHENS!O1*ATHENS!O2</f>
        <v>1209.090909090909</v>
      </c>
      <c r="M204" s="105"/>
      <c r="N204" s="105"/>
      <c r="O204" s="130"/>
    </row>
    <row r="205" spans="1:15" s="111" customFormat="1" ht="13.5" thickBot="1" x14ac:dyDescent="0.25">
      <c r="A205" s="108"/>
      <c r="B205" s="109"/>
      <c r="C205" s="109"/>
      <c r="D205" s="109"/>
      <c r="E205" s="110"/>
      <c r="F205" s="110"/>
      <c r="G205" s="110"/>
      <c r="H205" s="110"/>
      <c r="I205" s="110"/>
      <c r="J205" s="110"/>
      <c r="K205" s="110"/>
      <c r="L205" s="110"/>
      <c r="M205" s="110"/>
      <c r="N205" s="110"/>
      <c r="O205" s="130"/>
    </row>
    <row r="206" spans="1:15" s="111" customFormat="1" ht="13.5" thickBot="1" x14ac:dyDescent="0.25">
      <c r="A206" s="112"/>
      <c r="B206" s="113"/>
      <c r="C206" s="113"/>
      <c r="D206" s="113"/>
      <c r="E206" s="114"/>
      <c r="F206" s="114"/>
      <c r="G206" s="114"/>
      <c r="H206" s="114"/>
      <c r="I206" s="114"/>
      <c r="J206" s="114"/>
      <c r="K206" s="114"/>
      <c r="L206" s="114"/>
      <c r="M206" s="114"/>
      <c r="N206" s="115"/>
      <c r="O206" s="130"/>
    </row>
    <row r="207" spans="1:15" s="111" customFormat="1" ht="15.75" thickBot="1" x14ac:dyDescent="0.25">
      <c r="A207" s="116"/>
      <c r="B207" s="484" t="s">
        <v>421</v>
      </c>
      <c r="C207" s="485"/>
      <c r="D207" s="485"/>
      <c r="E207" s="485"/>
      <c r="F207" s="485"/>
      <c r="G207" s="485"/>
      <c r="H207" s="485"/>
      <c r="I207" s="485"/>
      <c r="J207" s="485"/>
      <c r="K207" s="485"/>
      <c r="L207" s="485"/>
      <c r="M207" s="486"/>
      <c r="N207" s="117" t="s">
        <v>91</v>
      </c>
      <c r="O207" s="130"/>
    </row>
    <row r="208" spans="1:15" s="111" customFormat="1" x14ac:dyDescent="0.2">
      <c r="A208" s="116"/>
      <c r="B208" s="118" t="s">
        <v>428</v>
      </c>
      <c r="C208" s="119" t="s">
        <v>422</v>
      </c>
      <c r="D208" s="119"/>
      <c r="E208" s="120"/>
      <c r="F208" s="120"/>
      <c r="G208" s="120"/>
      <c r="H208" s="120"/>
      <c r="I208" s="120"/>
      <c r="J208" s="120"/>
      <c r="K208" s="120"/>
      <c r="L208" s="120"/>
      <c r="M208" s="120"/>
      <c r="N208" s="101"/>
      <c r="O208" s="130"/>
    </row>
    <row r="209" spans="1:15" s="111" customFormat="1" x14ac:dyDescent="0.2">
      <c r="A209" s="116"/>
      <c r="B209" s="118" t="s">
        <v>429</v>
      </c>
      <c r="C209" s="119" t="s">
        <v>1061</v>
      </c>
      <c r="D209" s="119"/>
      <c r="E209" s="120"/>
      <c r="F209" s="120"/>
      <c r="G209" s="120"/>
      <c r="H209" s="120"/>
      <c r="I209" s="120"/>
      <c r="J209" s="120"/>
      <c r="K209" s="120"/>
      <c r="L209" s="120"/>
      <c r="M209" s="120"/>
      <c r="N209" s="101"/>
      <c r="O209" s="130"/>
    </row>
    <row r="210" spans="1:15" s="111" customFormat="1" x14ac:dyDescent="0.2">
      <c r="A210" s="116"/>
      <c r="B210" s="118" t="s">
        <v>427</v>
      </c>
      <c r="C210" s="480" t="s">
        <v>1536</v>
      </c>
      <c r="D210" s="480"/>
      <c r="E210" s="480"/>
      <c r="F210" s="480"/>
      <c r="G210" s="480"/>
      <c r="H210" s="480"/>
      <c r="I210" s="480"/>
      <c r="J210" s="480"/>
      <c r="K210" s="480"/>
      <c r="L210" s="480"/>
      <c r="M210" s="480"/>
      <c r="N210" s="481"/>
      <c r="O210" s="130"/>
    </row>
    <row r="211" spans="1:15" s="111" customFormat="1" x14ac:dyDescent="0.2">
      <c r="A211" s="116"/>
      <c r="B211" s="118"/>
      <c r="C211" s="480"/>
      <c r="D211" s="480"/>
      <c r="E211" s="480"/>
      <c r="F211" s="480"/>
      <c r="G211" s="480"/>
      <c r="H211" s="480"/>
      <c r="I211" s="480"/>
      <c r="J211" s="480"/>
      <c r="K211" s="480"/>
      <c r="L211" s="480"/>
      <c r="M211" s="480"/>
      <c r="N211" s="481"/>
      <c r="O211" s="130"/>
    </row>
    <row r="212" spans="1:15" s="111" customFormat="1" x14ac:dyDescent="0.2">
      <c r="A212" s="116"/>
      <c r="B212" s="118"/>
      <c r="C212" s="480"/>
      <c r="D212" s="480"/>
      <c r="E212" s="480"/>
      <c r="F212" s="480"/>
      <c r="G212" s="480"/>
      <c r="H212" s="480"/>
      <c r="I212" s="480"/>
      <c r="J212" s="480"/>
      <c r="K212" s="480"/>
      <c r="L212" s="480"/>
      <c r="M212" s="480"/>
      <c r="N212" s="481"/>
      <c r="O212" s="130"/>
    </row>
    <row r="213" spans="1:15" s="111" customFormat="1" x14ac:dyDescent="0.2">
      <c r="A213" s="116"/>
      <c r="B213" s="118"/>
      <c r="C213" s="480"/>
      <c r="D213" s="480"/>
      <c r="E213" s="480"/>
      <c r="F213" s="480"/>
      <c r="G213" s="480"/>
      <c r="H213" s="480"/>
      <c r="I213" s="480"/>
      <c r="J213" s="480"/>
      <c r="K213" s="480"/>
      <c r="L213" s="480"/>
      <c r="M213" s="480"/>
      <c r="N213" s="481"/>
      <c r="O213" s="130"/>
    </row>
    <row r="214" spans="1:15" s="111" customFormat="1" x14ac:dyDescent="0.2">
      <c r="A214" s="116"/>
      <c r="B214" s="118"/>
      <c r="C214" s="480"/>
      <c r="D214" s="480"/>
      <c r="E214" s="480"/>
      <c r="F214" s="480"/>
      <c r="G214" s="480"/>
      <c r="H214" s="480"/>
      <c r="I214" s="480"/>
      <c r="J214" s="480"/>
      <c r="K214" s="480"/>
      <c r="L214" s="480"/>
      <c r="M214" s="480"/>
      <c r="N214" s="481"/>
      <c r="O214" s="130"/>
    </row>
    <row r="215" spans="1:15" s="111" customFormat="1" x14ac:dyDescent="0.2">
      <c r="A215" s="116"/>
      <c r="B215" s="118" t="s">
        <v>426</v>
      </c>
      <c r="C215" s="119" t="s">
        <v>423</v>
      </c>
      <c r="D215" s="119"/>
      <c r="E215" s="120"/>
      <c r="F215" s="120"/>
      <c r="G215" s="120"/>
      <c r="H215" s="120"/>
      <c r="I215" s="120"/>
      <c r="J215" s="120"/>
      <c r="K215" s="120"/>
      <c r="L215" s="120"/>
      <c r="M215" s="120"/>
      <c r="N215" s="101"/>
      <c r="O215" s="130"/>
    </row>
    <row r="216" spans="1:15" s="111" customFormat="1" x14ac:dyDescent="0.2">
      <c r="A216" s="116"/>
      <c r="B216" s="118" t="s">
        <v>430</v>
      </c>
      <c r="C216" s="119" t="s">
        <v>543</v>
      </c>
      <c r="D216" s="119"/>
      <c r="E216" s="120"/>
      <c r="F216" s="120"/>
      <c r="G216" s="120"/>
      <c r="H216" s="120"/>
      <c r="I216" s="120"/>
      <c r="J216" s="120"/>
      <c r="K216" s="120"/>
      <c r="L216" s="120"/>
      <c r="M216" s="120"/>
      <c r="N216" s="101"/>
      <c r="O216" s="130"/>
    </row>
    <row r="217" spans="1:15" s="111" customFormat="1" ht="13.5" thickBot="1" x14ac:dyDescent="0.25">
      <c r="A217" s="116"/>
      <c r="B217" s="118"/>
      <c r="C217" s="119" t="s">
        <v>880</v>
      </c>
      <c r="D217" s="119"/>
      <c r="E217" s="120"/>
      <c r="F217" s="120"/>
      <c r="G217" s="120"/>
      <c r="H217" s="120"/>
      <c r="I217" s="120"/>
      <c r="J217" s="120"/>
      <c r="K217" s="120"/>
      <c r="L217" s="120"/>
      <c r="M217" s="120"/>
      <c r="N217" s="101"/>
      <c r="O217" s="130"/>
    </row>
    <row r="218" spans="1:15" s="111" customFormat="1" x14ac:dyDescent="0.2">
      <c r="A218" s="112"/>
      <c r="B218" s="113" t="s">
        <v>263</v>
      </c>
      <c r="C218" s="113"/>
      <c r="D218" s="113"/>
      <c r="E218" s="114"/>
      <c r="F218" s="114"/>
      <c r="G218" s="114"/>
      <c r="H218" s="114"/>
      <c r="I218" s="114"/>
      <c r="J218" s="127" t="s">
        <v>1975</v>
      </c>
      <c r="K218" s="126" t="s">
        <v>279</v>
      </c>
      <c r="L218" s="126"/>
      <c r="M218" s="126"/>
      <c r="N218" s="126"/>
      <c r="O218" s="130"/>
    </row>
    <row r="219" spans="1:15" s="111" customFormat="1" ht="13.5" thickBot="1" x14ac:dyDescent="0.25">
      <c r="A219" s="121"/>
      <c r="B219" s="122"/>
      <c r="C219" s="122"/>
      <c r="D219" s="122"/>
      <c r="E219" s="123"/>
      <c r="F219" s="123"/>
      <c r="G219" s="123"/>
      <c r="H219" s="123"/>
      <c r="I219" s="123"/>
      <c r="J219" s="125" t="s">
        <v>481</v>
      </c>
      <c r="K219" s="105" t="s">
        <v>483</v>
      </c>
      <c r="L219" s="105" t="s">
        <v>1976</v>
      </c>
      <c r="M219" s="105"/>
      <c r="N219" s="105"/>
      <c r="O219" s="130"/>
    </row>
    <row r="220" spans="1:15" s="111" customFormat="1" x14ac:dyDescent="0.2">
      <c r="A220" s="112"/>
      <c r="B220" s="467" t="s">
        <v>67</v>
      </c>
      <c r="C220" s="467"/>
      <c r="D220" s="467"/>
      <c r="E220" s="114"/>
      <c r="F220" s="114" t="s">
        <v>1181</v>
      </c>
      <c r="G220" s="114" t="s">
        <v>68</v>
      </c>
      <c r="H220" s="114" t="s">
        <v>702</v>
      </c>
      <c r="I220" s="114"/>
      <c r="J220" s="100">
        <f>72/ATHENS!O1*ATHENS!O2</f>
        <v>130.90909090909091</v>
      </c>
      <c r="K220" s="100">
        <f>98/ATHENS!O1*ATHENS!O2</f>
        <v>178.18181818181816</v>
      </c>
      <c r="L220" s="100">
        <f>118/ATHENS!O1*ATHENS!O2</f>
        <v>214.54545454545453</v>
      </c>
      <c r="M220" s="100"/>
      <c r="N220" s="100"/>
      <c r="O220" s="130"/>
    </row>
    <row r="221" spans="1:15" s="111" customFormat="1" x14ac:dyDescent="0.2">
      <c r="A221" s="116"/>
      <c r="B221" s="461" t="s">
        <v>522</v>
      </c>
      <c r="C221" s="461"/>
      <c r="D221" s="461"/>
      <c r="E221" s="120"/>
      <c r="F221" s="120" t="s">
        <v>705</v>
      </c>
      <c r="G221" s="120" t="s">
        <v>68</v>
      </c>
      <c r="H221" s="120" t="s">
        <v>1184</v>
      </c>
      <c r="I221" s="120"/>
      <c r="J221" s="100">
        <f>213/ATHENS!O1*ATHENS!O2</f>
        <v>387.27272727272725</v>
      </c>
      <c r="K221" s="100">
        <f>277/ATHENS!O1*ATHENS!O2</f>
        <v>503.63636363636357</v>
      </c>
      <c r="L221" s="100">
        <f>317/ATHENS!O1*ATHENS!O2</f>
        <v>576.36363636363626</v>
      </c>
      <c r="M221" s="100"/>
      <c r="N221" s="100"/>
      <c r="O221" s="130"/>
    </row>
    <row r="222" spans="1:15" s="111" customFormat="1" x14ac:dyDescent="0.2">
      <c r="A222" s="116"/>
      <c r="B222" s="461" t="s">
        <v>1437</v>
      </c>
      <c r="C222" s="461"/>
      <c r="D222" s="461"/>
      <c r="E222" s="120"/>
      <c r="F222" s="120" t="s">
        <v>518</v>
      </c>
      <c r="G222" s="120" t="s">
        <v>68</v>
      </c>
      <c r="H222" s="120" t="s">
        <v>1184</v>
      </c>
      <c r="I222" s="120"/>
      <c r="J222" s="100">
        <f>236/ATHENS!O1*ATHENS!O2</f>
        <v>429.09090909090907</v>
      </c>
      <c r="K222" s="100">
        <f>308/ATHENS!O1*ATHENS!O2</f>
        <v>560</v>
      </c>
      <c r="L222" s="100">
        <f>340/ATHENS!O1*ATHENS!O2</f>
        <v>618.18181818181813</v>
      </c>
      <c r="M222" s="100"/>
      <c r="N222" s="100"/>
      <c r="O222" s="130"/>
    </row>
    <row r="223" spans="1:15" s="111" customFormat="1" ht="13.5" thickBot="1" x14ac:dyDescent="0.25">
      <c r="A223" s="121"/>
      <c r="B223" s="460" t="s">
        <v>285</v>
      </c>
      <c r="C223" s="460"/>
      <c r="D223" s="460"/>
      <c r="E223" s="123"/>
      <c r="F223" s="123" t="s">
        <v>706</v>
      </c>
      <c r="G223" s="123" t="s">
        <v>68</v>
      </c>
      <c r="H223" s="123" t="s">
        <v>1184</v>
      </c>
      <c r="I223" s="123"/>
      <c r="J223" s="105">
        <f>442/ATHENS!O1*ATHENS!O2</f>
        <v>803.63636363636363</v>
      </c>
      <c r="K223" s="105">
        <f>518/ATHENS!O1*ATHENS!O2</f>
        <v>941.81818181818176</v>
      </c>
      <c r="L223" s="105">
        <f>594/ATHENS!O1*ATHENS!O2</f>
        <v>1080</v>
      </c>
      <c r="M223" s="105"/>
      <c r="N223" s="105"/>
      <c r="O223" s="130"/>
    </row>
    <row r="224" spans="1:15" s="111" customFormat="1" ht="13.5" thickBot="1" x14ac:dyDescent="0.25">
      <c r="A224" s="134"/>
      <c r="B224" s="135" t="s">
        <v>881</v>
      </c>
      <c r="C224" s="135"/>
      <c r="D224" s="135"/>
      <c r="E224" s="136"/>
      <c r="F224" s="136"/>
      <c r="G224" s="136"/>
      <c r="H224" s="136"/>
      <c r="I224" s="136"/>
      <c r="J224" s="136"/>
      <c r="K224" s="136"/>
      <c r="L224" s="136"/>
      <c r="M224" s="136"/>
      <c r="N224" s="137"/>
      <c r="O224" s="130"/>
    </row>
    <row r="225" spans="1:15" s="111" customFormat="1" ht="13.5" thickBot="1" x14ac:dyDescent="0.25">
      <c r="A225" s="108"/>
      <c r="B225" s="109"/>
      <c r="C225" s="109"/>
      <c r="D225" s="109"/>
      <c r="E225" s="110"/>
      <c r="F225" s="110"/>
      <c r="G225" s="110"/>
      <c r="H225" s="110"/>
      <c r="I225" s="110"/>
      <c r="J225" s="110"/>
      <c r="K225" s="110"/>
      <c r="L225" s="110"/>
      <c r="M225" s="110"/>
      <c r="N225" s="110"/>
      <c r="O225" s="130"/>
    </row>
    <row r="226" spans="1:15" s="111" customFormat="1" ht="13.5" thickBot="1" x14ac:dyDescent="0.25">
      <c r="A226" s="112"/>
      <c r="B226" s="113"/>
      <c r="C226" s="113"/>
      <c r="D226" s="113"/>
      <c r="E226" s="114"/>
      <c r="F226" s="114"/>
      <c r="G226" s="114"/>
      <c r="H226" s="114"/>
      <c r="I226" s="114"/>
      <c r="J226" s="114"/>
      <c r="K226" s="114"/>
      <c r="L226" s="114"/>
      <c r="M226" s="114"/>
      <c r="N226" s="115"/>
      <c r="O226" s="130"/>
    </row>
    <row r="227" spans="1:15" s="111" customFormat="1" ht="15.75" thickBot="1" x14ac:dyDescent="0.25">
      <c r="A227" s="116"/>
      <c r="B227" s="484" t="s">
        <v>778</v>
      </c>
      <c r="C227" s="485"/>
      <c r="D227" s="485"/>
      <c r="E227" s="485"/>
      <c r="F227" s="485"/>
      <c r="G227" s="485"/>
      <c r="H227" s="485"/>
      <c r="I227" s="485"/>
      <c r="J227" s="485"/>
      <c r="K227" s="485"/>
      <c r="L227" s="485"/>
      <c r="M227" s="486"/>
      <c r="N227" s="117" t="s">
        <v>96</v>
      </c>
      <c r="O227" s="130"/>
    </row>
    <row r="228" spans="1:15" s="111" customFormat="1" x14ac:dyDescent="0.2">
      <c r="A228" s="116"/>
      <c r="B228" s="118" t="s">
        <v>428</v>
      </c>
      <c r="C228" s="119" t="s">
        <v>779</v>
      </c>
      <c r="D228" s="119"/>
      <c r="E228" s="120"/>
      <c r="F228" s="120"/>
      <c r="G228" s="120"/>
      <c r="H228" s="120"/>
      <c r="I228" s="120"/>
      <c r="J228" s="120"/>
      <c r="K228" s="120"/>
      <c r="L228" s="120"/>
      <c r="M228" s="120"/>
      <c r="N228" s="101"/>
      <c r="O228" s="130"/>
    </row>
    <row r="229" spans="1:15" s="111" customFormat="1" x14ac:dyDescent="0.2">
      <c r="A229" s="116"/>
      <c r="B229" s="118" t="s">
        <v>429</v>
      </c>
      <c r="C229" s="119" t="s">
        <v>1080</v>
      </c>
      <c r="D229" s="119"/>
      <c r="E229" s="120"/>
      <c r="F229" s="120"/>
      <c r="G229" s="120"/>
      <c r="H229" s="120"/>
      <c r="I229" s="120"/>
      <c r="J229" s="120"/>
      <c r="K229" s="120"/>
      <c r="L229" s="120"/>
      <c r="M229" s="120"/>
      <c r="N229" s="101"/>
      <c r="O229" s="130"/>
    </row>
    <row r="230" spans="1:15" s="111" customFormat="1" x14ac:dyDescent="0.2">
      <c r="A230" s="116"/>
      <c r="B230" s="118" t="s">
        <v>427</v>
      </c>
      <c r="C230" s="480" t="s">
        <v>185</v>
      </c>
      <c r="D230" s="480"/>
      <c r="E230" s="480"/>
      <c r="F230" s="480"/>
      <c r="G230" s="480"/>
      <c r="H230" s="480"/>
      <c r="I230" s="480"/>
      <c r="J230" s="480"/>
      <c r="K230" s="480"/>
      <c r="L230" s="480"/>
      <c r="M230" s="480"/>
      <c r="N230" s="481"/>
      <c r="O230" s="130"/>
    </row>
    <row r="231" spans="1:15" s="111" customFormat="1" x14ac:dyDescent="0.2">
      <c r="A231" s="116"/>
      <c r="B231" s="118"/>
      <c r="C231" s="480"/>
      <c r="D231" s="480"/>
      <c r="E231" s="480"/>
      <c r="F231" s="480"/>
      <c r="G231" s="480"/>
      <c r="H231" s="480"/>
      <c r="I231" s="480"/>
      <c r="J231" s="480"/>
      <c r="K231" s="480"/>
      <c r="L231" s="480"/>
      <c r="M231" s="480"/>
      <c r="N231" s="481"/>
      <c r="O231" s="130"/>
    </row>
    <row r="232" spans="1:15" s="111" customFormat="1" x14ac:dyDescent="0.2">
      <c r="A232" s="116"/>
      <c r="B232" s="118"/>
      <c r="C232" s="480"/>
      <c r="D232" s="480"/>
      <c r="E232" s="480"/>
      <c r="F232" s="480"/>
      <c r="G232" s="480"/>
      <c r="H232" s="480"/>
      <c r="I232" s="480"/>
      <c r="J232" s="480"/>
      <c r="K232" s="480"/>
      <c r="L232" s="480"/>
      <c r="M232" s="480"/>
      <c r="N232" s="481"/>
      <c r="O232" s="130"/>
    </row>
    <row r="233" spans="1:15" s="111" customFormat="1" x14ac:dyDescent="0.2">
      <c r="A233" s="116"/>
      <c r="B233" s="118"/>
      <c r="C233" s="480"/>
      <c r="D233" s="480"/>
      <c r="E233" s="480"/>
      <c r="F233" s="480"/>
      <c r="G233" s="480"/>
      <c r="H233" s="480"/>
      <c r="I233" s="480"/>
      <c r="J233" s="480"/>
      <c r="K233" s="480"/>
      <c r="L233" s="480"/>
      <c r="M233" s="480"/>
      <c r="N233" s="481"/>
      <c r="O233" s="130"/>
    </row>
    <row r="234" spans="1:15" s="111" customFormat="1" x14ac:dyDescent="0.2">
      <c r="A234" s="116"/>
      <c r="B234" s="118"/>
      <c r="C234" s="480"/>
      <c r="D234" s="480"/>
      <c r="E234" s="480"/>
      <c r="F234" s="480"/>
      <c r="G234" s="480"/>
      <c r="H234" s="480"/>
      <c r="I234" s="480"/>
      <c r="J234" s="480"/>
      <c r="K234" s="480"/>
      <c r="L234" s="480"/>
      <c r="M234" s="480"/>
      <c r="N234" s="481"/>
      <c r="O234" s="130"/>
    </row>
    <row r="235" spans="1:15" s="111" customFormat="1" x14ac:dyDescent="0.2">
      <c r="A235" s="116"/>
      <c r="B235" s="109"/>
      <c r="C235" s="480"/>
      <c r="D235" s="480"/>
      <c r="E235" s="480"/>
      <c r="F235" s="480"/>
      <c r="G235" s="480"/>
      <c r="H235" s="480"/>
      <c r="I235" s="480"/>
      <c r="J235" s="480"/>
      <c r="K235" s="480"/>
      <c r="L235" s="480"/>
      <c r="M235" s="480"/>
      <c r="N235" s="481"/>
      <c r="O235" s="130"/>
    </row>
    <row r="236" spans="1:15" s="111" customFormat="1" ht="13.5" thickBot="1" x14ac:dyDescent="0.25">
      <c r="A236" s="116"/>
      <c r="B236" s="118" t="s">
        <v>426</v>
      </c>
      <c r="C236" s="119" t="s">
        <v>419</v>
      </c>
      <c r="D236" s="119"/>
      <c r="E236" s="120"/>
      <c r="F236" s="120"/>
      <c r="G236" s="120"/>
      <c r="H236" s="120"/>
      <c r="I236" s="120"/>
      <c r="J236" s="120"/>
      <c r="K236" s="120"/>
      <c r="L236" s="120"/>
      <c r="M236" s="120"/>
      <c r="N236" s="101"/>
      <c r="O236" s="130"/>
    </row>
    <row r="237" spans="1:15" s="111" customFormat="1" x14ac:dyDescent="0.2">
      <c r="A237" s="112"/>
      <c r="B237" s="113" t="s">
        <v>263</v>
      </c>
      <c r="C237" s="113"/>
      <c r="D237" s="113"/>
      <c r="E237" s="114"/>
      <c r="F237" s="114"/>
      <c r="G237" s="114"/>
      <c r="H237" s="114"/>
      <c r="I237" s="114"/>
      <c r="J237" s="126" t="s">
        <v>2111</v>
      </c>
      <c r="K237" s="126"/>
      <c r="L237" s="126" t="s">
        <v>396</v>
      </c>
      <c r="M237" s="126"/>
      <c r="N237" s="126"/>
      <c r="O237" s="130"/>
    </row>
    <row r="238" spans="1:15" s="111" customFormat="1" ht="13.5" thickBot="1" x14ac:dyDescent="0.25">
      <c r="A238" s="121"/>
      <c r="B238" s="122"/>
      <c r="C238" s="122"/>
      <c r="D238" s="122"/>
      <c r="E238" s="123"/>
      <c r="F238" s="123"/>
      <c r="G238" s="123"/>
      <c r="H238" s="123"/>
      <c r="I238" s="123"/>
      <c r="J238" s="105" t="s">
        <v>278</v>
      </c>
      <c r="K238" s="105" t="s">
        <v>1972</v>
      </c>
      <c r="L238" s="105" t="s">
        <v>571</v>
      </c>
      <c r="M238" s="105" t="s">
        <v>186</v>
      </c>
      <c r="N238" s="105"/>
      <c r="O238" s="130"/>
    </row>
    <row r="239" spans="1:15" s="111" customFormat="1" x14ac:dyDescent="0.2">
      <c r="A239" s="112"/>
      <c r="B239" s="467" t="s">
        <v>67</v>
      </c>
      <c r="C239" s="467"/>
      <c r="D239" s="467"/>
      <c r="E239" s="114"/>
      <c r="F239" s="114" t="s">
        <v>1180</v>
      </c>
      <c r="G239" s="114" t="s">
        <v>68</v>
      </c>
      <c r="H239" s="114" t="s">
        <v>702</v>
      </c>
      <c r="I239" s="114"/>
      <c r="J239" s="126">
        <f>73.5/ATHENS!O1*ATHENS!O2</f>
        <v>133.63636363636363</v>
      </c>
      <c r="K239" s="126">
        <f>119.5/ATHENS!O1*ATHENS!O2</f>
        <v>217.27272727272725</v>
      </c>
      <c r="L239" s="126">
        <f>137.7/ATHENS!O1*ATHENS!O2</f>
        <v>250.36363636363632</v>
      </c>
      <c r="M239" s="126">
        <f>169.5/ATHENS!O1*ATHENS!O2</f>
        <v>308.18181818181813</v>
      </c>
      <c r="N239" s="126"/>
      <c r="O239" s="130"/>
    </row>
    <row r="240" spans="1:15" s="111" customFormat="1" x14ac:dyDescent="0.2">
      <c r="A240" s="116"/>
      <c r="B240" s="461" t="s">
        <v>67</v>
      </c>
      <c r="C240" s="461"/>
      <c r="D240" s="461"/>
      <c r="E240" s="120"/>
      <c r="F240" s="120" t="s">
        <v>1181</v>
      </c>
      <c r="G240" s="120" t="s">
        <v>68</v>
      </c>
      <c r="H240" s="120" t="s">
        <v>702</v>
      </c>
      <c r="I240" s="120"/>
      <c r="J240" s="100">
        <f>38.8/ATHENS!O1*ATHENS!O2</f>
        <v>70.545454545454533</v>
      </c>
      <c r="K240" s="100">
        <f>70.5/ATHENS!O1*ATHENS!O2</f>
        <v>128.18181818181816</v>
      </c>
      <c r="L240" s="100">
        <f>79.9/ATHENS!O1*ATHENS!O2</f>
        <v>145.27272727272728</v>
      </c>
      <c r="M240" s="100">
        <f>95.6/ATHENS!O1*ATHENS!O2</f>
        <v>173.81818181818178</v>
      </c>
      <c r="N240" s="100"/>
      <c r="O240" s="130"/>
    </row>
    <row r="241" spans="1:15" s="111" customFormat="1" ht="13.5" thickBot="1" x14ac:dyDescent="0.25">
      <c r="A241" s="121"/>
      <c r="B241" s="460" t="s">
        <v>67</v>
      </c>
      <c r="C241" s="460"/>
      <c r="D241" s="460"/>
      <c r="E241" s="123"/>
      <c r="F241" s="123" t="s">
        <v>1182</v>
      </c>
      <c r="G241" s="123" t="s">
        <v>68</v>
      </c>
      <c r="H241" s="123" t="s">
        <v>702</v>
      </c>
      <c r="I241" s="123"/>
      <c r="J241" s="105">
        <f>34.9/ATHENS!O1*ATHENS!O2</f>
        <v>63.454545454545446</v>
      </c>
      <c r="K241" s="105">
        <f>57.8/ATHENS!O1*ATHENS!O2</f>
        <v>105.09090909090908</v>
      </c>
      <c r="L241" s="105">
        <f>64.5/ATHENS!O1*ATHENS!O2</f>
        <v>117.27272727272727</v>
      </c>
      <c r="M241" s="105">
        <f>76.7/ATHENS!O1*ATHENS!O2</f>
        <v>139.45454545454544</v>
      </c>
      <c r="N241" s="105"/>
      <c r="O241" s="130"/>
    </row>
    <row r="242" spans="1:15" s="111" customFormat="1" ht="13.5" thickBot="1" x14ac:dyDescent="0.25">
      <c r="A242" s="108"/>
      <c r="B242" s="109"/>
      <c r="C242" s="109"/>
      <c r="D242" s="109"/>
      <c r="E242" s="110"/>
      <c r="F242" s="110"/>
      <c r="G242" s="110"/>
      <c r="H242" s="110"/>
      <c r="I242" s="110"/>
      <c r="J242" s="110"/>
      <c r="K242" s="110"/>
      <c r="L242" s="110"/>
      <c r="M242" s="110"/>
      <c r="N242" s="110"/>
      <c r="O242" s="130"/>
    </row>
    <row r="243" spans="1:15" s="111" customFormat="1" x14ac:dyDescent="0.2">
      <c r="A243" s="112"/>
      <c r="B243" s="113"/>
      <c r="C243" s="113"/>
      <c r="D243" s="113"/>
      <c r="E243" s="114"/>
      <c r="F243" s="114"/>
      <c r="G243" s="114"/>
      <c r="H243" s="114"/>
      <c r="I243" s="114"/>
      <c r="J243" s="114"/>
      <c r="K243" s="114"/>
      <c r="L243" s="114"/>
      <c r="M243" s="114"/>
      <c r="N243" s="115"/>
      <c r="O243" s="130"/>
    </row>
    <row r="244" spans="1:15" s="111" customFormat="1" ht="13.5" thickBot="1" x14ac:dyDescent="0.25">
      <c r="A244" s="108"/>
      <c r="B244" s="109"/>
      <c r="C244" s="109"/>
      <c r="D244" s="109"/>
      <c r="E244" s="110"/>
      <c r="F244" s="110"/>
      <c r="G244" s="110"/>
      <c r="H244" s="110"/>
      <c r="I244" s="110"/>
      <c r="J244" s="110"/>
      <c r="K244" s="110"/>
      <c r="L244" s="110"/>
      <c r="M244" s="110"/>
      <c r="N244" s="110"/>
      <c r="O244" s="130"/>
    </row>
    <row r="245" spans="1:15" s="111" customFormat="1" ht="13.5" thickBot="1" x14ac:dyDescent="0.25">
      <c r="A245" s="112"/>
      <c r="B245" s="113"/>
      <c r="C245" s="113"/>
      <c r="D245" s="113"/>
      <c r="E245" s="114"/>
      <c r="F245" s="114"/>
      <c r="G245" s="114"/>
      <c r="H245" s="114"/>
      <c r="I245" s="114"/>
      <c r="J245" s="114"/>
      <c r="K245" s="114"/>
      <c r="L245" s="114"/>
      <c r="M245" s="114"/>
      <c r="N245" s="115"/>
      <c r="O245" s="130"/>
    </row>
    <row r="246" spans="1:15" s="111" customFormat="1" ht="15.75" thickBot="1" x14ac:dyDescent="0.25">
      <c r="A246" s="116"/>
      <c r="B246" s="484" t="s">
        <v>681</v>
      </c>
      <c r="C246" s="485"/>
      <c r="D246" s="485"/>
      <c r="E246" s="485"/>
      <c r="F246" s="485"/>
      <c r="G246" s="485"/>
      <c r="H246" s="485"/>
      <c r="I246" s="485"/>
      <c r="J246" s="485"/>
      <c r="K246" s="485"/>
      <c r="L246" s="485"/>
      <c r="M246" s="486"/>
      <c r="N246" s="117" t="s">
        <v>96</v>
      </c>
      <c r="O246" s="130"/>
    </row>
    <row r="247" spans="1:15" s="111" customFormat="1" x14ac:dyDescent="0.2">
      <c r="A247" s="116"/>
      <c r="B247" s="118" t="s">
        <v>428</v>
      </c>
      <c r="C247" s="119" t="s">
        <v>1497</v>
      </c>
      <c r="D247" s="119"/>
      <c r="E247" s="120"/>
      <c r="F247" s="120"/>
      <c r="G247" s="120"/>
      <c r="H247" s="120"/>
      <c r="I247" s="120"/>
      <c r="J247" s="120"/>
      <c r="K247" s="120"/>
      <c r="L247" s="120"/>
      <c r="M247" s="120"/>
      <c r="N247" s="101"/>
      <c r="O247" s="130"/>
    </row>
    <row r="248" spans="1:15" s="111" customFormat="1" x14ac:dyDescent="0.2">
      <c r="A248" s="116"/>
      <c r="B248" s="118" t="s">
        <v>429</v>
      </c>
      <c r="C248" s="119" t="s">
        <v>1062</v>
      </c>
      <c r="D248" s="119"/>
      <c r="E248" s="120"/>
      <c r="F248" s="120"/>
      <c r="G248" s="120"/>
      <c r="H248" s="120"/>
      <c r="I248" s="120"/>
      <c r="J248" s="120"/>
      <c r="K248" s="120"/>
      <c r="L248" s="120"/>
      <c r="M248" s="120"/>
      <c r="N248" s="101"/>
      <c r="O248" s="130"/>
    </row>
    <row r="249" spans="1:15" s="111" customFormat="1" x14ac:dyDescent="0.2">
      <c r="A249" s="116"/>
      <c r="B249" s="118" t="s">
        <v>427</v>
      </c>
      <c r="C249" s="480" t="s">
        <v>1537</v>
      </c>
      <c r="D249" s="480"/>
      <c r="E249" s="480"/>
      <c r="F249" s="480"/>
      <c r="G249" s="480"/>
      <c r="H249" s="480"/>
      <c r="I249" s="480"/>
      <c r="J249" s="480"/>
      <c r="K249" s="480"/>
      <c r="L249" s="480"/>
      <c r="M249" s="480"/>
      <c r="N249" s="481"/>
      <c r="O249" s="130"/>
    </row>
    <row r="250" spans="1:15" s="111" customFormat="1" x14ac:dyDescent="0.2">
      <c r="A250" s="116"/>
      <c r="B250" s="118"/>
      <c r="C250" s="480"/>
      <c r="D250" s="480"/>
      <c r="E250" s="480"/>
      <c r="F250" s="480"/>
      <c r="G250" s="480"/>
      <c r="H250" s="480"/>
      <c r="I250" s="480"/>
      <c r="J250" s="480"/>
      <c r="K250" s="480"/>
      <c r="L250" s="480"/>
      <c r="M250" s="480"/>
      <c r="N250" s="481"/>
      <c r="O250" s="130"/>
    </row>
    <row r="251" spans="1:15" s="111" customFormat="1" x14ac:dyDescent="0.2">
      <c r="A251" s="116"/>
      <c r="B251" s="118"/>
      <c r="C251" s="480"/>
      <c r="D251" s="480"/>
      <c r="E251" s="480"/>
      <c r="F251" s="480"/>
      <c r="G251" s="480"/>
      <c r="H251" s="480"/>
      <c r="I251" s="480"/>
      <c r="J251" s="480"/>
      <c r="K251" s="480"/>
      <c r="L251" s="480"/>
      <c r="M251" s="480"/>
      <c r="N251" s="481"/>
      <c r="O251" s="130"/>
    </row>
    <row r="252" spans="1:15" s="111" customFormat="1" x14ac:dyDescent="0.2">
      <c r="A252" s="116"/>
      <c r="B252" s="118" t="s">
        <v>426</v>
      </c>
      <c r="C252" s="119"/>
      <c r="D252" s="119"/>
      <c r="E252" s="120"/>
      <c r="F252" s="120"/>
      <c r="G252" s="120"/>
      <c r="H252" s="120"/>
      <c r="I252" s="120"/>
      <c r="J252" s="120"/>
      <c r="K252" s="120"/>
      <c r="L252" s="120"/>
      <c r="M252" s="120"/>
      <c r="N252" s="101"/>
      <c r="O252" s="130"/>
    </row>
    <row r="253" spans="1:15" s="111" customFormat="1" ht="13.5" thickBot="1" x14ac:dyDescent="0.25">
      <c r="A253" s="121"/>
      <c r="B253" s="133" t="s">
        <v>430</v>
      </c>
      <c r="C253" s="122"/>
      <c r="D253" s="122"/>
      <c r="E253" s="123"/>
      <c r="F253" s="123"/>
      <c r="G253" s="123"/>
      <c r="H253" s="123"/>
      <c r="I253" s="123"/>
      <c r="J253" s="123"/>
      <c r="K253" s="123"/>
      <c r="L253" s="123"/>
      <c r="M253" s="123"/>
      <c r="N253" s="104"/>
      <c r="O253" s="130"/>
    </row>
    <row r="254" spans="1:15" s="111" customFormat="1" x14ac:dyDescent="0.2">
      <c r="A254" s="112"/>
      <c r="B254" s="113" t="s">
        <v>263</v>
      </c>
      <c r="C254" s="113"/>
      <c r="D254" s="113"/>
      <c r="E254" s="114"/>
      <c r="F254" s="114"/>
      <c r="G254" s="114"/>
      <c r="H254" s="114"/>
      <c r="I254" s="114"/>
      <c r="J254" s="127" t="s">
        <v>1420</v>
      </c>
      <c r="K254" s="126" t="s">
        <v>753</v>
      </c>
      <c r="L254" s="126" t="s">
        <v>758</v>
      </c>
      <c r="M254" s="126"/>
      <c r="N254" s="126"/>
      <c r="O254" s="130"/>
    </row>
    <row r="255" spans="1:15" s="111" customFormat="1" ht="13.5" thickBot="1" x14ac:dyDescent="0.25">
      <c r="A255" s="121"/>
      <c r="B255" s="122"/>
      <c r="C255" s="122"/>
      <c r="D255" s="122"/>
      <c r="E255" s="123"/>
      <c r="F255" s="123"/>
      <c r="G255" s="123"/>
      <c r="H255" s="123"/>
      <c r="I255" s="123"/>
      <c r="J255" s="125" t="s">
        <v>1843</v>
      </c>
      <c r="K255" s="105" t="s">
        <v>1844</v>
      </c>
      <c r="L255" s="105" t="s">
        <v>342</v>
      </c>
      <c r="M255" s="105" t="s">
        <v>279</v>
      </c>
      <c r="N255" s="105" t="s">
        <v>221</v>
      </c>
      <c r="O255" s="130"/>
    </row>
    <row r="256" spans="1:15" s="111" customFormat="1" x14ac:dyDescent="0.2">
      <c r="A256" s="112"/>
      <c r="B256" s="461" t="s">
        <v>67</v>
      </c>
      <c r="C256" s="461"/>
      <c r="D256" s="461"/>
      <c r="E256" s="114"/>
      <c r="F256" s="114" t="s">
        <v>1180</v>
      </c>
      <c r="G256" s="114" t="s">
        <v>68</v>
      </c>
      <c r="H256" s="114" t="s">
        <v>702</v>
      </c>
      <c r="I256" s="114"/>
      <c r="J256" s="100">
        <f>120/ATHENS!O1*ATHENS!O2</f>
        <v>218.18181818181816</v>
      </c>
      <c r="K256" s="100">
        <f>130/ATHENS!O1*ATHENS!O2</f>
        <v>236.36363636363635</v>
      </c>
      <c r="L256" s="100">
        <f>190/ATHENS!O1*ATHENS!O2</f>
        <v>345.45454545454544</v>
      </c>
      <c r="M256" s="100">
        <f>245/ATHENS!O1*ATHENS!O2</f>
        <v>445.45454545454544</v>
      </c>
      <c r="N256" s="126">
        <f>280/ATHENS!O1*ATHENS!O2</f>
        <v>509.09090909090907</v>
      </c>
      <c r="O256" s="130"/>
    </row>
    <row r="257" spans="1:15" s="111" customFormat="1" x14ac:dyDescent="0.2">
      <c r="A257" s="116"/>
      <c r="B257" s="461" t="s">
        <v>67</v>
      </c>
      <c r="C257" s="461"/>
      <c r="D257" s="461"/>
      <c r="E257" s="120"/>
      <c r="F257" s="120" t="s">
        <v>1181</v>
      </c>
      <c r="G257" s="120" t="s">
        <v>68</v>
      </c>
      <c r="H257" s="120" t="s">
        <v>702</v>
      </c>
      <c r="I257" s="120"/>
      <c r="J257" s="100">
        <f>60/ATHENS!O1*ATHENS!O2</f>
        <v>109.09090909090908</v>
      </c>
      <c r="K257" s="100">
        <f>65/ATHENS!O1*ATHENS!O2</f>
        <v>118.18181818181817</v>
      </c>
      <c r="L257" s="100">
        <f>95/ATHENS!O1*ATHENS!O2</f>
        <v>172.72727272727272</v>
      </c>
      <c r="M257" s="100">
        <f>122.5/ATHENS!O1*ATHENS!O2</f>
        <v>222.72727272727272</v>
      </c>
      <c r="N257" s="100">
        <f>140/ATHENS!O1*ATHENS!O2</f>
        <v>254.54545454545453</v>
      </c>
      <c r="O257" s="130"/>
    </row>
    <row r="258" spans="1:15" s="111" customFormat="1" ht="13.5" thickBot="1" x14ac:dyDescent="0.25">
      <c r="A258" s="121"/>
      <c r="B258" s="460" t="s">
        <v>901</v>
      </c>
      <c r="C258" s="460"/>
      <c r="D258" s="460"/>
      <c r="E258" s="123"/>
      <c r="F258" s="123" t="s">
        <v>705</v>
      </c>
      <c r="G258" s="123" t="s">
        <v>68</v>
      </c>
      <c r="H258" s="123" t="s">
        <v>702</v>
      </c>
      <c r="I258" s="123"/>
      <c r="J258" s="105">
        <f>66.6/ATHENS!O1*ATHENS!O2</f>
        <v>121.09090909090907</v>
      </c>
      <c r="K258" s="105">
        <f>71.7/ATHENS!O1*ATHENS!O2</f>
        <v>130.36363636363635</v>
      </c>
      <c r="L258" s="105">
        <f>91.6/ATHENS!O1*ATHENS!O2</f>
        <v>166.54545454545453</v>
      </c>
      <c r="M258" s="105">
        <f>106.6/ATHENS!O1*ATHENS!O2</f>
        <v>193.81818181818178</v>
      </c>
      <c r="N258" s="105">
        <f>121.6/ATHENS!O1*ATHENS!O2</f>
        <v>221.09090909090907</v>
      </c>
      <c r="O258" s="130"/>
    </row>
    <row r="259" spans="1:15" s="111" customFormat="1" ht="13.5" thickBot="1" x14ac:dyDescent="0.25">
      <c r="A259" s="108"/>
      <c r="B259" s="109"/>
      <c r="C259" s="109"/>
      <c r="D259" s="109"/>
      <c r="E259" s="110"/>
      <c r="F259" s="110"/>
      <c r="G259" s="110"/>
      <c r="H259" s="110"/>
      <c r="I259" s="110"/>
      <c r="J259" s="110"/>
      <c r="K259" s="110"/>
      <c r="L259" s="110"/>
      <c r="M259" s="110"/>
      <c r="N259" s="110"/>
    </row>
    <row r="260" spans="1:15" s="111" customFormat="1" ht="13.5" thickBot="1" x14ac:dyDescent="0.25">
      <c r="A260" s="112"/>
      <c r="B260" s="113"/>
      <c r="C260" s="113"/>
      <c r="D260" s="113"/>
      <c r="E260" s="114"/>
      <c r="F260" s="114"/>
      <c r="G260" s="114"/>
      <c r="H260" s="114"/>
      <c r="I260" s="114"/>
      <c r="J260" s="114"/>
      <c r="K260" s="114"/>
      <c r="L260" s="114"/>
      <c r="M260" s="114"/>
      <c r="N260" s="115"/>
    </row>
    <row r="261" spans="1:15" s="111" customFormat="1" ht="15.75" thickBot="1" x14ac:dyDescent="0.25">
      <c r="A261" s="116"/>
      <c r="B261" s="484" t="s">
        <v>1534</v>
      </c>
      <c r="C261" s="485"/>
      <c r="D261" s="485"/>
      <c r="E261" s="485"/>
      <c r="F261" s="485"/>
      <c r="G261" s="485"/>
      <c r="H261" s="485"/>
      <c r="I261" s="485"/>
      <c r="J261" s="485"/>
      <c r="K261" s="485"/>
      <c r="L261" s="485"/>
      <c r="M261" s="486"/>
      <c r="N261" s="117" t="s">
        <v>1164</v>
      </c>
    </row>
    <row r="262" spans="1:15" s="111" customFormat="1" x14ac:dyDescent="0.2">
      <c r="A262" s="116"/>
      <c r="B262" s="118" t="s">
        <v>428</v>
      </c>
      <c r="C262" s="119" t="s">
        <v>1468</v>
      </c>
      <c r="D262" s="119"/>
      <c r="E262" s="120"/>
      <c r="F262" s="120"/>
      <c r="G262" s="120"/>
      <c r="H262" s="120"/>
      <c r="I262" s="120"/>
      <c r="J262" s="120"/>
      <c r="K262" s="120"/>
      <c r="L262" s="120"/>
      <c r="M262" s="120"/>
      <c r="N262" s="101"/>
    </row>
    <row r="263" spans="1:15" s="111" customFormat="1" x14ac:dyDescent="0.2">
      <c r="A263" s="116"/>
      <c r="B263" s="118" t="s">
        <v>429</v>
      </c>
      <c r="C263" s="119" t="s">
        <v>1337</v>
      </c>
      <c r="D263" s="119"/>
      <c r="E263" s="120"/>
      <c r="F263" s="120"/>
      <c r="G263" s="120"/>
      <c r="H263" s="120"/>
      <c r="I263" s="120"/>
      <c r="J263" s="120"/>
      <c r="K263" s="120"/>
      <c r="L263" s="120"/>
      <c r="M263" s="120"/>
      <c r="N263" s="101"/>
    </row>
    <row r="264" spans="1:15" s="111" customFormat="1" x14ac:dyDescent="0.2">
      <c r="A264" s="116"/>
      <c r="B264" s="118" t="s">
        <v>427</v>
      </c>
      <c r="C264" s="480" t="s">
        <v>1538</v>
      </c>
      <c r="D264" s="480"/>
      <c r="E264" s="480"/>
      <c r="F264" s="480"/>
      <c r="G264" s="480"/>
      <c r="H264" s="480"/>
      <c r="I264" s="480"/>
      <c r="J264" s="480"/>
      <c r="K264" s="480"/>
      <c r="L264" s="480"/>
      <c r="M264" s="480"/>
      <c r="N264" s="481"/>
    </row>
    <row r="265" spans="1:15" s="111" customFormat="1" x14ac:dyDescent="0.2">
      <c r="A265" s="116"/>
      <c r="B265" s="118"/>
      <c r="C265" s="480"/>
      <c r="D265" s="480"/>
      <c r="E265" s="480"/>
      <c r="F265" s="480"/>
      <c r="G265" s="480"/>
      <c r="H265" s="480"/>
      <c r="I265" s="480"/>
      <c r="J265" s="480"/>
      <c r="K265" s="480"/>
      <c r="L265" s="480"/>
      <c r="M265" s="480"/>
      <c r="N265" s="481"/>
    </row>
    <row r="266" spans="1:15" s="111" customFormat="1" x14ac:dyDescent="0.2">
      <c r="A266" s="116"/>
      <c r="B266" s="109"/>
      <c r="C266" s="480"/>
      <c r="D266" s="480"/>
      <c r="E266" s="480"/>
      <c r="F266" s="480"/>
      <c r="G266" s="480"/>
      <c r="H266" s="480"/>
      <c r="I266" s="480"/>
      <c r="J266" s="480"/>
      <c r="K266" s="480"/>
      <c r="L266" s="480"/>
      <c r="M266" s="480"/>
      <c r="N266" s="481"/>
    </row>
    <row r="267" spans="1:15" s="111" customFormat="1" x14ac:dyDescent="0.2">
      <c r="A267" s="116"/>
      <c r="B267" s="118" t="s">
        <v>426</v>
      </c>
      <c r="C267" s="119" t="s">
        <v>1469</v>
      </c>
      <c r="D267" s="119"/>
      <c r="E267" s="120"/>
      <c r="F267" s="120"/>
      <c r="G267" s="120"/>
      <c r="H267" s="120"/>
      <c r="I267" s="120"/>
      <c r="J267" s="120"/>
      <c r="K267" s="120"/>
      <c r="L267" s="120"/>
      <c r="M267" s="120"/>
      <c r="N267" s="101"/>
    </row>
    <row r="268" spans="1:15" s="111" customFormat="1" ht="13.5" thickBot="1" x14ac:dyDescent="0.25">
      <c r="A268" s="121"/>
      <c r="B268" s="118" t="s">
        <v>430</v>
      </c>
      <c r="C268" s="122" t="s">
        <v>1470</v>
      </c>
      <c r="D268" s="122"/>
      <c r="E268" s="123"/>
      <c r="F268" s="123"/>
      <c r="G268" s="123"/>
      <c r="H268" s="123"/>
      <c r="I268" s="123"/>
      <c r="J268" s="123"/>
      <c r="K268" s="123"/>
      <c r="L268" s="123"/>
      <c r="M268" s="123"/>
      <c r="N268" s="104"/>
    </row>
    <row r="269" spans="1:15" s="111" customFormat="1" x14ac:dyDescent="0.2">
      <c r="A269" s="112"/>
      <c r="B269" s="113" t="s">
        <v>263</v>
      </c>
      <c r="C269" s="113"/>
      <c r="D269" s="113"/>
      <c r="E269" s="114"/>
      <c r="F269" s="114"/>
      <c r="G269" s="114"/>
      <c r="H269" s="114"/>
      <c r="I269" s="114"/>
      <c r="J269" s="127" t="s">
        <v>753</v>
      </c>
      <c r="K269" s="127" t="s">
        <v>758</v>
      </c>
      <c r="L269" s="127"/>
      <c r="M269" s="127"/>
      <c r="N269" s="126"/>
    </row>
    <row r="270" spans="1:15" s="111" customFormat="1" ht="13.5" thickBot="1" x14ac:dyDescent="0.25">
      <c r="A270" s="121"/>
      <c r="B270" s="122"/>
      <c r="C270" s="122"/>
      <c r="D270" s="122"/>
      <c r="E270" s="123"/>
      <c r="F270" s="123"/>
      <c r="G270" s="123"/>
      <c r="H270" s="123"/>
      <c r="I270" s="123"/>
      <c r="J270" s="125" t="s">
        <v>2107</v>
      </c>
      <c r="K270" s="125" t="s">
        <v>282</v>
      </c>
      <c r="L270" s="125" t="s">
        <v>610</v>
      </c>
      <c r="M270" s="125"/>
      <c r="N270" s="105"/>
    </row>
    <row r="271" spans="1:15" s="111" customFormat="1" x14ac:dyDescent="0.2">
      <c r="A271" s="112"/>
      <c r="B271" s="467" t="s">
        <v>901</v>
      </c>
      <c r="C271" s="467"/>
      <c r="D271" s="467"/>
      <c r="E271" s="114"/>
      <c r="F271" s="114" t="s">
        <v>518</v>
      </c>
      <c r="G271" s="114" t="s">
        <v>68</v>
      </c>
      <c r="H271" s="114" t="s">
        <v>1184</v>
      </c>
      <c r="I271" s="114"/>
      <c r="J271" s="126">
        <f>407.5/ATHENS!O1*ATHENS!O2</f>
        <v>740.90909090909088</v>
      </c>
      <c r="K271" s="126">
        <f>564.5/ATHENS!O1*ATHENS!O2</f>
        <v>1026.3636363636363</v>
      </c>
      <c r="L271" s="126">
        <f>743.9/ATHENS!O1*ATHENS!O2</f>
        <v>1352.5454545454545</v>
      </c>
      <c r="M271" s="126"/>
      <c r="N271" s="126"/>
    </row>
    <row r="272" spans="1:15" s="111" customFormat="1" x14ac:dyDescent="0.2">
      <c r="A272" s="116"/>
      <c r="B272" s="461" t="s">
        <v>284</v>
      </c>
      <c r="C272" s="461"/>
      <c r="D272" s="461"/>
      <c r="E272" s="120"/>
      <c r="F272" s="120" t="s">
        <v>518</v>
      </c>
      <c r="G272" s="120" t="s">
        <v>68</v>
      </c>
      <c r="H272" s="120" t="s">
        <v>1184</v>
      </c>
      <c r="I272" s="120"/>
      <c r="J272" s="100">
        <f>599.87/ATHENS!O1*ATHENS!O2</f>
        <v>1090.6727272727271</v>
      </c>
      <c r="K272" s="100">
        <f>725.8/ATHENS!O1*ATHENS!O2</f>
        <v>1319.6363636363635</v>
      </c>
      <c r="L272" s="100">
        <f>826.5/ATHENS!O1*ATHENS!O2</f>
        <v>1502.7272727272725</v>
      </c>
      <c r="M272" s="100"/>
      <c r="N272" s="100"/>
    </row>
    <row r="273" spans="1:14" s="111" customFormat="1" x14ac:dyDescent="0.2">
      <c r="A273" s="116"/>
      <c r="B273" s="461" t="s">
        <v>901</v>
      </c>
      <c r="C273" s="461"/>
      <c r="D273" s="461"/>
      <c r="E273" s="120"/>
      <c r="F273" s="120" t="s">
        <v>706</v>
      </c>
      <c r="G273" s="120" t="s">
        <v>68</v>
      </c>
      <c r="H273" s="120" t="s">
        <v>1184</v>
      </c>
      <c r="I273" s="120"/>
      <c r="J273" s="100">
        <f>899.81/ATHENS!O1*ATHENS!O2</f>
        <v>1636.0181818181816</v>
      </c>
      <c r="K273" s="100">
        <f>1048.5/ATHENS!O1*ATHENS!O2</f>
        <v>1906.3636363636363</v>
      </c>
      <c r="L273" s="100">
        <f>1239.86/ATHENS!O1*ATHENS!O2</f>
        <v>2254.2909090909088</v>
      </c>
      <c r="M273" s="100"/>
      <c r="N273" s="100"/>
    </row>
    <row r="274" spans="1:14" s="111" customFormat="1" ht="13.5" thickBot="1" x14ac:dyDescent="0.25">
      <c r="A274" s="116"/>
      <c r="B274" s="461" t="s">
        <v>1471</v>
      </c>
      <c r="C274" s="461"/>
      <c r="D274" s="461"/>
      <c r="E274" s="120"/>
      <c r="F274" s="120" t="s">
        <v>518</v>
      </c>
      <c r="G274" s="120" t="s">
        <v>68</v>
      </c>
      <c r="H274" s="120" t="s">
        <v>1184</v>
      </c>
      <c r="I274" s="120"/>
      <c r="J274" s="100">
        <f>712.5/ATHENS!O1*ATHENS!O2</f>
        <v>1295.4545454545453</v>
      </c>
      <c r="K274" s="100">
        <f>928/ATHENS!O1*ATHENS!O2</f>
        <v>1687.272727272727</v>
      </c>
      <c r="L274" s="100">
        <f>1033.7/ATHENS!O1*ATHENS!O2</f>
        <v>1879.4545454545455</v>
      </c>
      <c r="M274" s="100"/>
      <c r="N274" s="100"/>
    </row>
    <row r="275" spans="1:14" s="111" customFormat="1" ht="13.5" thickBot="1" x14ac:dyDescent="0.25">
      <c r="A275" s="134"/>
      <c r="B275" s="135" t="s">
        <v>189</v>
      </c>
      <c r="C275" s="135"/>
      <c r="D275" s="135"/>
      <c r="E275" s="136"/>
      <c r="F275" s="136"/>
      <c r="G275" s="136"/>
      <c r="H275" s="136"/>
      <c r="I275" s="136"/>
      <c r="J275" s="136"/>
      <c r="K275" s="136"/>
      <c r="L275" s="136"/>
      <c r="M275" s="136"/>
      <c r="N275" s="137"/>
    </row>
    <row r="276" spans="1:14" s="111" customFormat="1" x14ac:dyDescent="0.2">
      <c r="A276" s="108"/>
      <c r="B276" s="109"/>
      <c r="C276" s="109"/>
      <c r="D276" s="109"/>
      <c r="E276" s="110"/>
      <c r="F276" s="110"/>
      <c r="G276" s="110"/>
      <c r="H276" s="110"/>
      <c r="I276" s="110"/>
      <c r="J276" s="110"/>
      <c r="K276" s="110"/>
      <c r="L276" s="110"/>
      <c r="M276" s="110"/>
      <c r="N276" s="110"/>
    </row>
    <row r="277" spans="1:14" s="111" customFormat="1" x14ac:dyDescent="0.2"/>
    <row r="278" spans="1:14" s="111" customFormat="1" ht="13.5" thickBot="1" x14ac:dyDescent="0.25"/>
    <row r="279" spans="1:14" s="111" customFormat="1" ht="13.5" thickBot="1" x14ac:dyDescent="0.25">
      <c r="A279" s="112"/>
      <c r="B279" s="113"/>
      <c r="C279" s="113"/>
      <c r="D279" s="113"/>
      <c r="E279" s="114"/>
      <c r="F279" s="114"/>
      <c r="G279" s="114"/>
      <c r="H279" s="114"/>
      <c r="I279" s="114"/>
      <c r="J279" s="114"/>
      <c r="K279" s="114"/>
      <c r="L279" s="114"/>
      <c r="M279" s="114"/>
      <c r="N279" s="115"/>
    </row>
    <row r="280" spans="1:14" s="111" customFormat="1" ht="15.75" thickBot="1" x14ac:dyDescent="0.25">
      <c r="A280" s="116"/>
      <c r="B280" s="484" t="s">
        <v>777</v>
      </c>
      <c r="C280" s="485"/>
      <c r="D280" s="485"/>
      <c r="E280" s="485"/>
      <c r="F280" s="485"/>
      <c r="G280" s="485"/>
      <c r="H280" s="485"/>
      <c r="I280" s="485"/>
      <c r="J280" s="485"/>
      <c r="K280" s="485"/>
      <c r="L280" s="485"/>
      <c r="M280" s="486"/>
      <c r="N280" s="117" t="s">
        <v>96</v>
      </c>
    </row>
    <row r="281" spans="1:14" s="111" customFormat="1" x14ac:dyDescent="0.2">
      <c r="A281" s="116"/>
      <c r="B281" s="118" t="s">
        <v>428</v>
      </c>
      <c r="C281" s="119" t="s">
        <v>1097</v>
      </c>
      <c r="D281" s="119"/>
      <c r="E281" s="120"/>
      <c r="F281" s="120"/>
      <c r="G281" s="120"/>
      <c r="H281" s="120"/>
      <c r="I281" s="120"/>
      <c r="J281" s="120"/>
      <c r="K281" s="120"/>
      <c r="L281" s="120"/>
      <c r="M281" s="120"/>
      <c r="N281" s="101"/>
    </row>
    <row r="282" spans="1:14" s="111" customFormat="1" x14ac:dyDescent="0.2">
      <c r="A282" s="116"/>
      <c r="B282" s="118" t="s">
        <v>429</v>
      </c>
      <c r="C282" s="119" t="s">
        <v>1081</v>
      </c>
      <c r="D282" s="119"/>
      <c r="E282" s="120"/>
      <c r="F282" s="120"/>
      <c r="G282" s="120"/>
      <c r="H282" s="120"/>
      <c r="I282" s="120"/>
      <c r="J282" s="120"/>
      <c r="K282" s="120"/>
      <c r="L282" s="120"/>
      <c r="M282" s="120"/>
      <c r="N282" s="101"/>
    </row>
    <row r="283" spans="1:14" s="111" customFormat="1" x14ac:dyDescent="0.2">
      <c r="A283" s="116"/>
      <c r="B283" s="118" t="s">
        <v>427</v>
      </c>
      <c r="C283" s="480" t="s">
        <v>1266</v>
      </c>
      <c r="D283" s="480"/>
      <c r="E283" s="480"/>
      <c r="F283" s="480"/>
      <c r="G283" s="480"/>
      <c r="H283" s="480"/>
      <c r="I283" s="480"/>
      <c r="J283" s="480"/>
      <c r="K283" s="480"/>
      <c r="L283" s="480"/>
      <c r="M283" s="480"/>
      <c r="N283" s="481"/>
    </row>
    <row r="284" spans="1:14" s="111" customFormat="1" x14ac:dyDescent="0.2">
      <c r="A284" s="116"/>
      <c r="B284" s="118"/>
      <c r="C284" s="480"/>
      <c r="D284" s="480"/>
      <c r="E284" s="480"/>
      <c r="F284" s="480"/>
      <c r="G284" s="480"/>
      <c r="H284" s="480"/>
      <c r="I284" s="480"/>
      <c r="J284" s="480"/>
      <c r="K284" s="480"/>
      <c r="L284" s="480"/>
      <c r="M284" s="480"/>
      <c r="N284" s="481"/>
    </row>
    <row r="285" spans="1:14" s="111" customFormat="1" x14ac:dyDescent="0.2">
      <c r="A285" s="116"/>
      <c r="B285" s="118"/>
      <c r="C285" s="480"/>
      <c r="D285" s="480"/>
      <c r="E285" s="480"/>
      <c r="F285" s="480"/>
      <c r="G285" s="480"/>
      <c r="H285" s="480"/>
      <c r="I285" s="480"/>
      <c r="J285" s="480"/>
      <c r="K285" s="480"/>
      <c r="L285" s="480"/>
      <c r="M285" s="480"/>
      <c r="N285" s="481"/>
    </row>
    <row r="286" spans="1:14" s="111" customFormat="1" x14ac:dyDescent="0.2">
      <c r="A286" s="116"/>
      <c r="B286" s="118"/>
      <c r="C286" s="480"/>
      <c r="D286" s="480"/>
      <c r="E286" s="480"/>
      <c r="F286" s="480"/>
      <c r="G286" s="480"/>
      <c r="H286" s="480"/>
      <c r="I286" s="480"/>
      <c r="J286" s="480"/>
      <c r="K286" s="480"/>
      <c r="L286" s="480"/>
      <c r="M286" s="480"/>
      <c r="N286" s="481"/>
    </row>
    <row r="287" spans="1:14" s="111" customFormat="1" x14ac:dyDescent="0.2">
      <c r="A287" s="116"/>
      <c r="B287" s="118"/>
      <c r="C287" s="480"/>
      <c r="D287" s="480"/>
      <c r="E287" s="480"/>
      <c r="F287" s="480"/>
      <c r="G287" s="480"/>
      <c r="H287" s="480"/>
      <c r="I287" s="480"/>
      <c r="J287" s="480"/>
      <c r="K287" s="480"/>
      <c r="L287" s="480"/>
      <c r="M287" s="480"/>
      <c r="N287" s="481"/>
    </row>
    <row r="288" spans="1:14" s="111" customFormat="1" x14ac:dyDescent="0.2">
      <c r="A288" s="116"/>
      <c r="B288" s="118"/>
      <c r="C288" s="480"/>
      <c r="D288" s="480"/>
      <c r="E288" s="480"/>
      <c r="F288" s="480"/>
      <c r="G288" s="480"/>
      <c r="H288" s="480"/>
      <c r="I288" s="480"/>
      <c r="J288" s="480"/>
      <c r="K288" s="480"/>
      <c r="L288" s="480"/>
      <c r="M288" s="480"/>
      <c r="N288" s="481"/>
    </row>
    <row r="289" spans="1:15" s="111" customFormat="1" x14ac:dyDescent="0.2">
      <c r="A289" s="116"/>
      <c r="B289" s="118" t="s">
        <v>426</v>
      </c>
      <c r="C289" s="119"/>
      <c r="D289" s="119"/>
      <c r="E289" s="120"/>
      <c r="F289" s="120"/>
      <c r="G289" s="120"/>
      <c r="H289" s="120"/>
      <c r="I289" s="120"/>
      <c r="J289" s="120"/>
      <c r="K289" s="120"/>
      <c r="L289" s="120"/>
      <c r="M289" s="120"/>
      <c r="N289" s="101"/>
    </row>
    <row r="290" spans="1:15" s="111" customFormat="1" ht="13.5" thickBot="1" x14ac:dyDescent="0.25">
      <c r="A290" s="121"/>
      <c r="B290" s="133" t="s">
        <v>430</v>
      </c>
      <c r="C290" s="122"/>
      <c r="D290" s="122"/>
      <c r="E290" s="123"/>
      <c r="F290" s="123"/>
      <c r="G290" s="123"/>
      <c r="H290" s="123"/>
      <c r="I290" s="123"/>
      <c r="J290" s="123"/>
      <c r="K290" s="123"/>
      <c r="L290" s="123"/>
      <c r="M290" s="123"/>
      <c r="N290" s="104"/>
    </row>
    <row r="291" spans="1:15" s="111" customFormat="1" x14ac:dyDescent="0.2">
      <c r="A291" s="112"/>
      <c r="B291" s="113" t="s">
        <v>263</v>
      </c>
      <c r="C291" s="113"/>
      <c r="D291" s="113"/>
      <c r="E291" s="114"/>
      <c r="F291" s="114"/>
      <c r="G291" s="114"/>
      <c r="H291" s="114"/>
      <c r="I291" s="114"/>
      <c r="J291" s="127" t="s">
        <v>1909</v>
      </c>
      <c r="K291" s="126"/>
      <c r="L291" s="126"/>
      <c r="M291" s="126"/>
      <c r="N291" s="126"/>
    </row>
    <row r="292" spans="1:15" s="111" customFormat="1" ht="13.5" thickBot="1" x14ac:dyDescent="0.25">
      <c r="A292" s="121"/>
      <c r="B292" s="122"/>
      <c r="C292" s="122"/>
      <c r="D292" s="122"/>
      <c r="E292" s="123"/>
      <c r="F292" s="123"/>
      <c r="G292" s="123"/>
      <c r="H292" s="123"/>
      <c r="I292" s="123"/>
      <c r="J292" s="125" t="s">
        <v>756</v>
      </c>
      <c r="K292" s="105" t="s">
        <v>1910</v>
      </c>
      <c r="L292" s="105" t="s">
        <v>1911</v>
      </c>
      <c r="M292" s="105" t="s">
        <v>1912</v>
      </c>
      <c r="N292" s="105"/>
    </row>
    <row r="293" spans="1:15" s="111" customFormat="1" x14ac:dyDescent="0.2">
      <c r="A293" s="112"/>
      <c r="B293" s="467" t="s">
        <v>67</v>
      </c>
      <c r="C293" s="467"/>
      <c r="D293" s="467"/>
      <c r="E293" s="114"/>
      <c r="F293" s="114" t="s">
        <v>1180</v>
      </c>
      <c r="G293" s="114" t="s">
        <v>68</v>
      </c>
      <c r="H293" s="114" t="s">
        <v>702</v>
      </c>
      <c r="I293" s="114"/>
      <c r="J293" s="100">
        <f>150/ATHENS!O1*ATHENS!O2</f>
        <v>272.72727272727269</v>
      </c>
      <c r="K293" s="100">
        <f>210/ATHENS!O1*ATHENS!O2</f>
        <v>381.81818181818181</v>
      </c>
      <c r="L293" s="100">
        <f>240/ATHENS!O1*ATHENS!O2</f>
        <v>436.36363636363632</v>
      </c>
      <c r="M293" s="100">
        <f>280/ATHENS!O1*ATHENS!O2</f>
        <v>509.09090909090907</v>
      </c>
      <c r="N293" s="126"/>
    </row>
    <row r="294" spans="1:15" s="111" customFormat="1" x14ac:dyDescent="0.2">
      <c r="A294" s="116"/>
      <c r="B294" s="461" t="s">
        <v>67</v>
      </c>
      <c r="C294" s="461"/>
      <c r="D294" s="461"/>
      <c r="E294" s="120"/>
      <c r="F294" s="120" t="s">
        <v>1181</v>
      </c>
      <c r="G294" s="120" t="s">
        <v>68</v>
      </c>
      <c r="H294" s="120" t="s">
        <v>702</v>
      </c>
      <c r="I294" s="120"/>
      <c r="J294" s="100">
        <f>75/ATHENS!O1*ATHENS!O2</f>
        <v>136.36363636363635</v>
      </c>
      <c r="K294" s="100">
        <f>105/ATHENS!O1*ATHENS!O2</f>
        <v>190.90909090909091</v>
      </c>
      <c r="L294" s="100">
        <f>120/ATHENS!O1*ATHENS!O2</f>
        <v>218.18181818181816</v>
      </c>
      <c r="M294" s="100">
        <f>140/ATHENS!O1*ATHENS!O2</f>
        <v>254.54545454545453</v>
      </c>
      <c r="N294" s="100"/>
    </row>
    <row r="295" spans="1:15" s="111" customFormat="1" x14ac:dyDescent="0.2">
      <c r="A295" s="116"/>
      <c r="B295" s="461" t="s">
        <v>67</v>
      </c>
      <c r="C295" s="461"/>
      <c r="D295" s="461"/>
      <c r="E295" s="120"/>
      <c r="F295" s="120" t="s">
        <v>1182</v>
      </c>
      <c r="G295" s="120" t="s">
        <v>68</v>
      </c>
      <c r="H295" s="120" t="s">
        <v>702</v>
      </c>
      <c r="I295" s="120"/>
      <c r="J295" s="100">
        <f>60/ATHENS!O1*ATHENS!O2</f>
        <v>109.09090909090908</v>
      </c>
      <c r="K295" s="100">
        <f>84/ATHENS!O1*ATHENS!O2</f>
        <v>152.72727272727272</v>
      </c>
      <c r="L295" s="100">
        <f>96/ATHENS!O1*ATHENS!O2</f>
        <v>174.54545454545453</v>
      </c>
      <c r="M295" s="100">
        <f>112/ATHENS!O1*ATHENS!O2</f>
        <v>203.63636363636363</v>
      </c>
      <c r="N295" s="100"/>
    </row>
    <row r="296" spans="1:15" s="111" customFormat="1" ht="13.5" thickBot="1" x14ac:dyDescent="0.25">
      <c r="A296" s="121"/>
      <c r="B296" s="460"/>
      <c r="C296" s="460"/>
      <c r="D296" s="460"/>
      <c r="E296" s="123"/>
      <c r="F296" s="123"/>
      <c r="G296" s="123"/>
      <c r="H296" s="123"/>
      <c r="I296" s="123"/>
      <c r="J296" s="105"/>
      <c r="K296" s="105"/>
      <c r="L296" s="105"/>
      <c r="M296" s="105"/>
      <c r="N296" s="105"/>
      <c r="O296" s="13"/>
    </row>
    <row r="297" spans="1:15" s="111" customFormat="1" ht="13.5" thickBot="1" x14ac:dyDescent="0.25">
      <c r="A297" s="108"/>
      <c r="B297" s="109"/>
      <c r="C297" s="109"/>
      <c r="D297" s="109"/>
      <c r="E297" s="110"/>
      <c r="F297" s="110"/>
      <c r="G297" s="110"/>
      <c r="H297" s="110"/>
      <c r="I297" s="110"/>
      <c r="J297" s="110"/>
      <c r="K297" s="110"/>
      <c r="L297" s="110"/>
      <c r="M297" s="110"/>
      <c r="N297" s="110"/>
    </row>
    <row r="298" spans="1:15" s="111" customFormat="1" ht="13.5" thickBot="1" x14ac:dyDescent="0.25">
      <c r="A298" s="112"/>
      <c r="B298" s="113"/>
      <c r="C298" s="113"/>
      <c r="D298" s="113"/>
      <c r="E298" s="114"/>
      <c r="F298" s="114"/>
      <c r="G298" s="114"/>
      <c r="H298" s="114"/>
      <c r="I298" s="114"/>
      <c r="J298" s="114"/>
      <c r="K298" s="114"/>
      <c r="L298" s="114"/>
      <c r="M298" s="114"/>
      <c r="N298" s="115"/>
    </row>
    <row r="299" spans="1:15" s="111" customFormat="1" ht="15.75" thickBot="1" x14ac:dyDescent="0.25">
      <c r="A299" s="116"/>
      <c r="B299" s="484" t="s">
        <v>811</v>
      </c>
      <c r="C299" s="485"/>
      <c r="D299" s="485"/>
      <c r="E299" s="485"/>
      <c r="F299" s="485"/>
      <c r="G299" s="485"/>
      <c r="H299" s="485"/>
      <c r="I299" s="485"/>
      <c r="J299" s="485"/>
      <c r="K299" s="485"/>
      <c r="L299" s="485"/>
      <c r="M299" s="486"/>
      <c r="N299" s="117" t="s">
        <v>96</v>
      </c>
    </row>
    <row r="300" spans="1:15" s="111" customFormat="1" x14ac:dyDescent="0.2">
      <c r="A300" s="116"/>
      <c r="B300" s="118" t="s">
        <v>428</v>
      </c>
      <c r="C300" s="119" t="s">
        <v>1346</v>
      </c>
      <c r="D300" s="119"/>
      <c r="E300" s="120"/>
      <c r="F300" s="120"/>
      <c r="G300" s="120"/>
      <c r="H300" s="120"/>
      <c r="I300" s="120"/>
      <c r="J300" s="120"/>
      <c r="K300" s="120"/>
      <c r="L300" s="120"/>
      <c r="M300" s="120"/>
      <c r="N300" s="101"/>
    </row>
    <row r="301" spans="1:15" s="111" customFormat="1" x14ac:dyDescent="0.2">
      <c r="A301" s="116"/>
      <c r="B301" s="118" t="s">
        <v>429</v>
      </c>
      <c r="C301" s="119" t="s">
        <v>1158</v>
      </c>
      <c r="D301" s="119"/>
      <c r="E301" s="120"/>
      <c r="F301" s="120"/>
      <c r="G301" s="120"/>
      <c r="H301" s="120"/>
      <c r="I301" s="120"/>
      <c r="J301" s="120"/>
      <c r="K301" s="120"/>
      <c r="L301" s="120"/>
      <c r="M301" s="120"/>
      <c r="N301" s="101"/>
    </row>
    <row r="302" spans="1:15" s="111" customFormat="1" x14ac:dyDescent="0.2">
      <c r="A302" s="116"/>
      <c r="B302" s="118" t="s">
        <v>427</v>
      </c>
      <c r="C302" s="480" t="s">
        <v>1267</v>
      </c>
      <c r="D302" s="480"/>
      <c r="E302" s="480"/>
      <c r="F302" s="480"/>
      <c r="G302" s="480"/>
      <c r="H302" s="480"/>
      <c r="I302" s="480"/>
      <c r="J302" s="480"/>
      <c r="K302" s="480"/>
      <c r="L302" s="480"/>
      <c r="M302" s="480"/>
      <c r="N302" s="481"/>
    </row>
    <row r="303" spans="1:15" s="111" customFormat="1" x14ac:dyDescent="0.2">
      <c r="A303" s="116"/>
      <c r="B303" s="118"/>
      <c r="C303" s="480"/>
      <c r="D303" s="480"/>
      <c r="E303" s="480"/>
      <c r="F303" s="480"/>
      <c r="G303" s="480"/>
      <c r="H303" s="480"/>
      <c r="I303" s="480"/>
      <c r="J303" s="480"/>
      <c r="K303" s="480"/>
      <c r="L303" s="480"/>
      <c r="M303" s="480"/>
      <c r="N303" s="481"/>
    </row>
    <row r="304" spans="1:15" s="111" customFormat="1" x14ac:dyDescent="0.2">
      <c r="A304" s="116"/>
      <c r="B304" s="118" t="s">
        <v>426</v>
      </c>
      <c r="C304" s="119" t="s">
        <v>1334</v>
      </c>
      <c r="D304" s="119"/>
      <c r="E304" s="120"/>
      <c r="F304" s="120"/>
      <c r="G304" s="120"/>
      <c r="H304" s="120"/>
      <c r="I304" s="120"/>
      <c r="J304" s="120"/>
      <c r="K304" s="120"/>
      <c r="L304" s="120"/>
      <c r="M304" s="120"/>
      <c r="N304" s="101"/>
    </row>
    <row r="305" spans="1:14" s="111" customFormat="1" ht="13.5" thickBot="1" x14ac:dyDescent="0.25">
      <c r="A305" s="116"/>
      <c r="B305" s="118" t="s">
        <v>430</v>
      </c>
      <c r="C305" s="119"/>
      <c r="D305" s="119"/>
      <c r="E305" s="120"/>
      <c r="F305" s="120"/>
      <c r="G305" s="120"/>
      <c r="H305" s="120"/>
      <c r="I305" s="120"/>
      <c r="J305" s="120"/>
      <c r="K305" s="120"/>
      <c r="L305" s="120"/>
      <c r="M305" s="120"/>
      <c r="N305" s="101"/>
    </row>
    <row r="306" spans="1:14" s="111" customFormat="1" x14ac:dyDescent="0.2">
      <c r="A306" s="112"/>
      <c r="B306" s="113" t="s">
        <v>263</v>
      </c>
      <c r="C306" s="113"/>
      <c r="D306" s="113"/>
      <c r="E306" s="114"/>
      <c r="F306" s="114"/>
      <c r="G306" s="114"/>
      <c r="H306" s="114"/>
      <c r="I306" s="114"/>
      <c r="J306" s="127" t="s">
        <v>521</v>
      </c>
      <c r="K306" s="126" t="s">
        <v>1495</v>
      </c>
      <c r="L306" s="126" t="s">
        <v>1341</v>
      </c>
      <c r="M306" s="126"/>
      <c r="N306" s="126"/>
    </row>
    <row r="307" spans="1:14" s="111" customFormat="1" ht="13.5" thickBot="1" x14ac:dyDescent="0.25">
      <c r="A307" s="121"/>
      <c r="B307" s="122"/>
      <c r="C307" s="122"/>
      <c r="D307" s="122"/>
      <c r="E307" s="123"/>
      <c r="F307" s="123"/>
      <c r="G307" s="123"/>
      <c r="H307" s="123"/>
      <c r="I307" s="123"/>
      <c r="J307" s="125" t="s">
        <v>481</v>
      </c>
      <c r="K307" s="105" t="s">
        <v>341</v>
      </c>
      <c r="L307" s="105" t="s">
        <v>520</v>
      </c>
      <c r="M307" s="105" t="s">
        <v>123</v>
      </c>
      <c r="N307" s="105"/>
    </row>
    <row r="308" spans="1:14" s="111" customFormat="1" x14ac:dyDescent="0.2">
      <c r="A308" s="112"/>
      <c r="B308" s="467" t="s">
        <v>67</v>
      </c>
      <c r="C308" s="467"/>
      <c r="D308" s="467"/>
      <c r="E308" s="114"/>
      <c r="F308" s="114" t="s">
        <v>1180</v>
      </c>
      <c r="G308" s="114" t="s">
        <v>68</v>
      </c>
      <c r="H308" s="114" t="s">
        <v>702</v>
      </c>
      <c r="I308" s="114"/>
      <c r="J308" s="100">
        <f>79/ATHENS!O1*ATHENS!O2</f>
        <v>143.63636363636363</v>
      </c>
      <c r="K308" s="100">
        <f>100/ATHENS!O1*ATHENS!O2</f>
        <v>181.81818181818181</v>
      </c>
      <c r="L308" s="100">
        <f>131/ATHENS!O1*ATHENS!O2</f>
        <v>238.18181818181816</v>
      </c>
      <c r="M308" s="100">
        <f>167/ATHENS!O1*ATHENS!O2</f>
        <v>303.63636363636363</v>
      </c>
      <c r="N308" s="100"/>
    </row>
    <row r="309" spans="1:14" s="111" customFormat="1" x14ac:dyDescent="0.2">
      <c r="A309" s="116"/>
      <c r="B309" s="461" t="s">
        <v>67</v>
      </c>
      <c r="C309" s="461"/>
      <c r="D309" s="461"/>
      <c r="E309" s="120"/>
      <c r="F309" s="120" t="s">
        <v>1181</v>
      </c>
      <c r="G309" s="120" t="s">
        <v>68</v>
      </c>
      <c r="H309" s="120" t="s">
        <v>702</v>
      </c>
      <c r="I309" s="120"/>
      <c r="J309" s="100">
        <f>43.5/ATHENS!O1*ATHENS!O2</f>
        <v>79.090909090909079</v>
      </c>
      <c r="K309" s="100">
        <f>54.5/ATHENS!O1*ATHENS!O2</f>
        <v>99.090909090909079</v>
      </c>
      <c r="L309" s="100">
        <f>72/ATHENS!O1*ATHENS!O2</f>
        <v>130.90909090909091</v>
      </c>
      <c r="M309" s="100">
        <f>92/ATHENS!O1*ATHENS!O2</f>
        <v>167.27272727272725</v>
      </c>
      <c r="N309" s="100"/>
    </row>
    <row r="310" spans="1:14" s="111" customFormat="1" x14ac:dyDescent="0.2">
      <c r="A310" s="116"/>
      <c r="B310" s="461" t="s">
        <v>67</v>
      </c>
      <c r="C310" s="461"/>
      <c r="D310" s="461"/>
      <c r="E310" s="120"/>
      <c r="F310" s="120" t="s">
        <v>1182</v>
      </c>
      <c r="G310" s="120" t="s">
        <v>68</v>
      </c>
      <c r="H310" s="120" t="s">
        <v>702</v>
      </c>
      <c r="I310" s="120"/>
      <c r="J310" s="100">
        <f>39.6/ATHENS!O1*ATHENS!O2</f>
        <v>72</v>
      </c>
      <c r="K310" s="100">
        <f>49.5/ATHENS!O1*ATHENS!O2</f>
        <v>89.999999999999986</v>
      </c>
      <c r="L310" s="100">
        <f>64.6/ATHENS!O1*ATHENS!O2</f>
        <v>117.45454545454544</v>
      </c>
      <c r="M310" s="100">
        <f>83.5/ATHENS!O1*ATHENS!O2</f>
        <v>151.81818181818181</v>
      </c>
      <c r="N310" s="100"/>
    </row>
    <row r="311" spans="1:14" s="111" customFormat="1" ht="13.5" thickBot="1" x14ac:dyDescent="0.25">
      <c r="A311" s="121"/>
      <c r="B311" s="460" t="s">
        <v>67</v>
      </c>
      <c r="C311" s="460"/>
      <c r="D311" s="460"/>
      <c r="E311" s="123"/>
      <c r="F311" s="123" t="s">
        <v>257</v>
      </c>
      <c r="G311" s="123" t="s">
        <v>68</v>
      </c>
      <c r="H311" s="123" t="s">
        <v>702</v>
      </c>
      <c r="I311" s="123"/>
      <c r="J311" s="105">
        <f>37/ATHENS!O1*ATHENS!O2</f>
        <v>67.272727272727266</v>
      </c>
      <c r="K311" s="105">
        <f>47/ATHENS!O1*ATHENS!O2</f>
        <v>85.454545454545453</v>
      </c>
      <c r="L311" s="105">
        <f>61/ATHENS!O1*ATHENS!O2</f>
        <v>110.90909090909091</v>
      </c>
      <c r="M311" s="105">
        <f>75/ATHENS!O1*ATHENS!O2</f>
        <v>136.36363636363635</v>
      </c>
      <c r="N311" s="105"/>
    </row>
    <row r="312" spans="1:14" s="111" customFormat="1" ht="13.5" thickBot="1" x14ac:dyDescent="0.25">
      <c r="A312" s="108"/>
      <c r="B312" s="109"/>
      <c r="C312" s="109"/>
      <c r="D312" s="109"/>
      <c r="E312" s="110"/>
      <c r="F312" s="110"/>
      <c r="G312" s="110"/>
      <c r="H312" s="110"/>
      <c r="I312" s="110"/>
      <c r="J312" s="110"/>
      <c r="K312" s="110"/>
      <c r="L312" s="110"/>
      <c r="M312" s="110"/>
      <c r="N312" s="110"/>
    </row>
    <row r="313" spans="1:14" s="111" customFormat="1" ht="13.5" thickBot="1" x14ac:dyDescent="0.25">
      <c r="A313" s="112"/>
      <c r="B313" s="113"/>
      <c r="C313" s="113"/>
      <c r="D313" s="113"/>
      <c r="E313" s="114"/>
      <c r="F313" s="114"/>
      <c r="G313" s="114"/>
      <c r="H313" s="114"/>
      <c r="I313" s="114"/>
      <c r="J313" s="114"/>
      <c r="K313" s="114"/>
      <c r="L313" s="114"/>
      <c r="M313" s="114"/>
      <c r="N313" s="115"/>
    </row>
    <row r="314" spans="1:14" s="111" customFormat="1" ht="15.75" thickBot="1" x14ac:dyDescent="0.25">
      <c r="A314" s="116"/>
      <c r="B314" s="484" t="s">
        <v>1621</v>
      </c>
      <c r="C314" s="485"/>
      <c r="D314" s="485"/>
      <c r="E314" s="485"/>
      <c r="F314" s="485"/>
      <c r="G314" s="485"/>
      <c r="H314" s="485"/>
      <c r="I314" s="485"/>
      <c r="J314" s="485"/>
      <c r="K314" s="485"/>
      <c r="L314" s="485"/>
      <c r="M314" s="486"/>
      <c r="N314" s="117" t="s">
        <v>1164</v>
      </c>
    </row>
    <row r="315" spans="1:14" s="111" customFormat="1" x14ac:dyDescent="0.2">
      <c r="A315" s="116"/>
      <c r="B315" s="118" t="s">
        <v>428</v>
      </c>
      <c r="C315" s="119" t="s">
        <v>1474</v>
      </c>
      <c r="D315" s="119"/>
      <c r="E315" s="120"/>
      <c r="F315" s="120"/>
      <c r="G315" s="120"/>
      <c r="H315" s="120"/>
      <c r="I315" s="120"/>
      <c r="J315" s="120"/>
      <c r="K315" s="120"/>
      <c r="L315" s="120"/>
      <c r="M315" s="120"/>
      <c r="N315" s="101"/>
    </row>
    <row r="316" spans="1:14" s="111" customFormat="1" x14ac:dyDescent="0.2">
      <c r="A316" s="116"/>
      <c r="B316" s="118" t="s">
        <v>429</v>
      </c>
      <c r="C316" s="119" t="s">
        <v>1248</v>
      </c>
      <c r="D316" s="119"/>
      <c r="E316" s="120"/>
      <c r="F316" s="120"/>
      <c r="G316" s="120"/>
      <c r="H316" s="120"/>
      <c r="I316" s="120"/>
      <c r="J316" s="120"/>
      <c r="K316" s="120"/>
      <c r="L316" s="120"/>
      <c r="M316" s="120"/>
      <c r="N316" s="101"/>
    </row>
    <row r="317" spans="1:14" s="111" customFormat="1" x14ac:dyDescent="0.2">
      <c r="A317" s="116"/>
      <c r="B317" s="118" t="s">
        <v>427</v>
      </c>
      <c r="C317" s="480" t="s">
        <v>1268</v>
      </c>
      <c r="D317" s="480"/>
      <c r="E317" s="480"/>
      <c r="F317" s="480"/>
      <c r="G317" s="480"/>
      <c r="H317" s="480"/>
      <c r="I317" s="480"/>
      <c r="J317" s="480"/>
      <c r="K317" s="480"/>
      <c r="L317" s="480"/>
      <c r="M317" s="480"/>
      <c r="N317" s="481"/>
    </row>
    <row r="318" spans="1:14" s="111" customFormat="1" x14ac:dyDescent="0.2">
      <c r="A318" s="116"/>
      <c r="B318" s="118"/>
      <c r="C318" s="480"/>
      <c r="D318" s="480"/>
      <c r="E318" s="480"/>
      <c r="F318" s="480"/>
      <c r="G318" s="480"/>
      <c r="H318" s="480"/>
      <c r="I318" s="480"/>
      <c r="J318" s="480"/>
      <c r="K318" s="480"/>
      <c r="L318" s="480"/>
      <c r="M318" s="480"/>
      <c r="N318" s="481"/>
    </row>
    <row r="319" spans="1:14" s="111" customFormat="1" x14ac:dyDescent="0.2">
      <c r="A319" s="116"/>
      <c r="B319" s="109"/>
      <c r="C319" s="480"/>
      <c r="D319" s="480"/>
      <c r="E319" s="480"/>
      <c r="F319" s="480"/>
      <c r="G319" s="480"/>
      <c r="H319" s="480"/>
      <c r="I319" s="480"/>
      <c r="J319" s="480"/>
      <c r="K319" s="480"/>
      <c r="L319" s="480"/>
      <c r="M319" s="480"/>
      <c r="N319" s="481"/>
    </row>
    <row r="320" spans="1:14" s="111" customFormat="1" x14ac:dyDescent="0.2">
      <c r="A320" s="116"/>
      <c r="B320" s="118" t="s">
        <v>426</v>
      </c>
      <c r="C320" s="119" t="s">
        <v>1475</v>
      </c>
      <c r="D320" s="119"/>
      <c r="E320" s="120"/>
      <c r="F320" s="120"/>
      <c r="G320" s="120"/>
      <c r="H320" s="120"/>
      <c r="I320" s="120"/>
      <c r="J320" s="120"/>
      <c r="K320" s="120"/>
      <c r="L320" s="120"/>
      <c r="M320" s="120"/>
      <c r="N320" s="101"/>
    </row>
    <row r="321" spans="1:14" s="111" customFormat="1" x14ac:dyDescent="0.2">
      <c r="A321" s="116"/>
      <c r="B321" s="118" t="s">
        <v>430</v>
      </c>
      <c r="C321" s="119" t="s">
        <v>1498</v>
      </c>
      <c r="D321" s="119"/>
      <c r="E321" s="120"/>
      <c r="F321" s="120"/>
      <c r="G321" s="120"/>
      <c r="H321" s="120"/>
      <c r="I321" s="120"/>
      <c r="J321" s="120"/>
      <c r="K321" s="120"/>
      <c r="L321" s="120"/>
      <c r="M321" s="120"/>
      <c r="N321" s="101"/>
    </row>
    <row r="322" spans="1:14" s="111" customFormat="1" ht="13.5" thickBot="1" x14ac:dyDescent="0.25">
      <c r="A322" s="121"/>
      <c r="B322" s="133"/>
      <c r="C322" s="122" t="s">
        <v>1476</v>
      </c>
      <c r="D322" s="122"/>
      <c r="E322" s="123"/>
      <c r="F322" s="123"/>
      <c r="G322" s="123"/>
      <c r="H322" s="123"/>
      <c r="I322" s="123"/>
      <c r="J322" s="123"/>
      <c r="K322" s="123"/>
      <c r="L322" s="123"/>
      <c r="M322" s="123"/>
      <c r="N322" s="104"/>
    </row>
    <row r="323" spans="1:14" s="111" customFormat="1" x14ac:dyDescent="0.2">
      <c r="A323" s="112"/>
      <c r="B323" s="113" t="s">
        <v>263</v>
      </c>
      <c r="C323" s="113"/>
      <c r="D323" s="113"/>
      <c r="E323" s="114"/>
      <c r="F323" s="114"/>
      <c r="G323" s="114"/>
      <c r="H323" s="114"/>
      <c r="I323" s="114"/>
      <c r="J323" s="127"/>
      <c r="K323" s="126" t="s">
        <v>753</v>
      </c>
      <c r="L323" s="126" t="s">
        <v>758</v>
      </c>
      <c r="M323" s="126"/>
      <c r="N323" s="126"/>
    </row>
    <row r="324" spans="1:14" s="111" customFormat="1" ht="13.5" thickBot="1" x14ac:dyDescent="0.25">
      <c r="A324" s="121"/>
      <c r="B324" s="122"/>
      <c r="C324" s="122"/>
      <c r="D324" s="122"/>
      <c r="E324" s="123"/>
      <c r="F324" s="123"/>
      <c r="G324" s="123"/>
      <c r="H324" s="123"/>
      <c r="I324" s="123"/>
      <c r="J324" s="125" t="s">
        <v>907</v>
      </c>
      <c r="K324" s="105" t="s">
        <v>833</v>
      </c>
      <c r="L324" s="105" t="s">
        <v>1222</v>
      </c>
      <c r="M324" s="105" t="s">
        <v>610</v>
      </c>
      <c r="N324" s="105"/>
    </row>
    <row r="325" spans="1:14" s="111" customFormat="1" x14ac:dyDescent="0.2">
      <c r="A325" s="112"/>
      <c r="B325" s="461" t="s">
        <v>874</v>
      </c>
      <c r="C325" s="461"/>
      <c r="D325" s="461"/>
      <c r="E325" s="114"/>
      <c r="F325" s="114" t="s">
        <v>703</v>
      </c>
      <c r="G325" s="114" t="s">
        <v>68</v>
      </c>
      <c r="H325" s="114" t="s">
        <v>1184</v>
      </c>
      <c r="I325" s="114"/>
      <c r="J325" s="100">
        <f>87/ATHENS!O1*ATHENS!O2</f>
        <v>158.18181818181816</v>
      </c>
      <c r="K325" s="100">
        <f>105/ATHENS!O1*ATHENS!O2</f>
        <v>190.90909090909091</v>
      </c>
      <c r="L325" s="100">
        <f>154/ATHENS!O1*ATHENS!O2</f>
        <v>280</v>
      </c>
      <c r="M325" s="100">
        <f>188/ATHENS!O1*ATHENS!O2</f>
        <v>341.81818181818181</v>
      </c>
      <c r="N325" s="126"/>
    </row>
    <row r="326" spans="1:14" s="111" customFormat="1" x14ac:dyDescent="0.2">
      <c r="A326" s="116"/>
      <c r="B326" s="461" t="s">
        <v>874</v>
      </c>
      <c r="C326" s="461"/>
      <c r="D326" s="461"/>
      <c r="E326" s="120"/>
      <c r="F326" s="120" t="s">
        <v>518</v>
      </c>
      <c r="G326" s="120" t="s">
        <v>68</v>
      </c>
      <c r="H326" s="120" t="s">
        <v>1184</v>
      </c>
      <c r="I326" s="120"/>
      <c r="J326" s="100">
        <f>87/ATHENS!O1*ATHENS!O2</f>
        <v>158.18181818181816</v>
      </c>
      <c r="K326" s="100">
        <f>105/ATHENS!O1*ATHENS!O2</f>
        <v>190.90909090909091</v>
      </c>
      <c r="L326" s="100">
        <f>154/ATHENS!O1*ATHENS!O2</f>
        <v>280</v>
      </c>
      <c r="M326" s="100">
        <f>188/ATHENS!O1*ATHENS!O2</f>
        <v>341.81818181818181</v>
      </c>
      <c r="N326" s="100"/>
    </row>
    <row r="327" spans="1:14" s="111" customFormat="1" ht="13.5" thickBot="1" x14ac:dyDescent="0.25">
      <c r="A327" s="116"/>
      <c r="B327" s="461" t="s">
        <v>522</v>
      </c>
      <c r="C327" s="461"/>
      <c r="D327" s="461"/>
      <c r="E327" s="120"/>
      <c r="F327" s="120" t="s">
        <v>705</v>
      </c>
      <c r="G327" s="120" t="s">
        <v>68</v>
      </c>
      <c r="H327" s="120" t="s">
        <v>1184</v>
      </c>
      <c r="I327" s="120"/>
      <c r="J327" s="100">
        <f>109/ATHENS!O1*ATHENS!O2</f>
        <v>198.18181818181816</v>
      </c>
      <c r="K327" s="100">
        <f>135/ATHENS!O1*ATHENS!O2</f>
        <v>245.45454545454544</v>
      </c>
      <c r="L327" s="100">
        <f>180/ATHENS!O1*ATHENS!O2</f>
        <v>327.27272727272725</v>
      </c>
      <c r="M327" s="100">
        <f>215/ATHENS!O1*ATHENS!O2</f>
        <v>390.90909090909088</v>
      </c>
      <c r="N327" s="100"/>
    </row>
    <row r="328" spans="1:14" s="111" customFormat="1" ht="13.5" thickBot="1" x14ac:dyDescent="0.25">
      <c r="A328" s="134"/>
      <c r="B328" s="135" t="s">
        <v>1477</v>
      </c>
      <c r="C328" s="135"/>
      <c r="D328" s="135"/>
      <c r="E328" s="136"/>
      <c r="F328" s="136"/>
      <c r="G328" s="136"/>
      <c r="H328" s="136"/>
      <c r="I328" s="136"/>
      <c r="J328" s="136"/>
      <c r="K328" s="136"/>
      <c r="L328" s="136"/>
      <c r="M328" s="136"/>
      <c r="N328" s="137"/>
    </row>
    <row r="329" spans="1:14" s="111" customFormat="1" ht="13.5" thickBot="1" x14ac:dyDescent="0.25">
      <c r="A329" s="108"/>
      <c r="B329" s="109"/>
      <c r="C329" s="109"/>
      <c r="D329" s="109"/>
      <c r="E329" s="110"/>
      <c r="F329" s="110"/>
      <c r="G329" s="110"/>
      <c r="H329" s="110"/>
      <c r="I329" s="110"/>
      <c r="J329" s="110"/>
      <c r="K329" s="110"/>
      <c r="L329" s="110"/>
      <c r="M329" s="110"/>
      <c r="N329" s="110"/>
    </row>
    <row r="330" spans="1:14" s="111" customFormat="1" ht="13.5" thickBot="1" x14ac:dyDescent="0.25">
      <c r="A330" s="112"/>
      <c r="B330" s="113"/>
      <c r="C330" s="113"/>
      <c r="D330" s="113"/>
      <c r="E330" s="114"/>
      <c r="F330" s="114"/>
      <c r="G330" s="114"/>
      <c r="H330" s="114"/>
      <c r="I330" s="114"/>
      <c r="J330" s="114"/>
      <c r="K330" s="114"/>
      <c r="L330" s="114"/>
      <c r="M330" s="114"/>
      <c r="N330" s="115"/>
    </row>
    <row r="331" spans="1:14" s="111" customFormat="1" ht="15.75" thickBot="1" x14ac:dyDescent="0.25">
      <c r="A331" s="116"/>
      <c r="B331" s="484" t="s">
        <v>1247</v>
      </c>
      <c r="C331" s="485"/>
      <c r="D331" s="485"/>
      <c r="E331" s="485"/>
      <c r="F331" s="485"/>
      <c r="G331" s="485"/>
      <c r="H331" s="485"/>
      <c r="I331" s="485"/>
      <c r="J331" s="485"/>
      <c r="K331" s="485"/>
      <c r="L331" s="485"/>
      <c r="M331" s="486"/>
      <c r="N331" s="117" t="s">
        <v>96</v>
      </c>
    </row>
    <row r="332" spans="1:14" s="111" customFormat="1" x14ac:dyDescent="0.2">
      <c r="A332" s="116"/>
      <c r="B332" s="118" t="s">
        <v>428</v>
      </c>
      <c r="C332" s="119" t="s">
        <v>1346</v>
      </c>
      <c r="D332" s="119"/>
      <c r="E332" s="120"/>
      <c r="F332" s="120"/>
      <c r="G332" s="120"/>
      <c r="H332" s="120"/>
      <c r="I332" s="120"/>
      <c r="J332" s="120"/>
      <c r="K332" s="120"/>
      <c r="L332" s="120"/>
      <c r="M332" s="120"/>
      <c r="N332" s="101"/>
    </row>
    <row r="333" spans="1:14" s="111" customFormat="1" x14ac:dyDescent="0.2">
      <c r="A333" s="116"/>
      <c r="B333" s="118" t="s">
        <v>429</v>
      </c>
      <c r="C333" s="119" t="s">
        <v>837</v>
      </c>
      <c r="D333" s="119"/>
      <c r="E333" s="120"/>
      <c r="F333" s="120"/>
      <c r="G333" s="120"/>
      <c r="H333" s="120"/>
      <c r="I333" s="120"/>
      <c r="J333" s="120"/>
      <c r="K333" s="120"/>
      <c r="L333" s="120"/>
      <c r="M333" s="120"/>
      <c r="N333" s="101"/>
    </row>
    <row r="334" spans="1:14" s="111" customFormat="1" x14ac:dyDescent="0.2">
      <c r="A334" s="116"/>
      <c r="B334" s="118" t="s">
        <v>427</v>
      </c>
      <c r="C334" s="480" t="s">
        <v>1269</v>
      </c>
      <c r="D334" s="480"/>
      <c r="E334" s="480"/>
      <c r="F334" s="480"/>
      <c r="G334" s="480"/>
      <c r="H334" s="480"/>
      <c r="I334" s="480"/>
      <c r="J334" s="480"/>
      <c r="K334" s="480"/>
      <c r="L334" s="480"/>
      <c r="M334" s="480"/>
      <c r="N334" s="481"/>
    </row>
    <row r="335" spans="1:14" s="111" customFormat="1" x14ac:dyDescent="0.2">
      <c r="A335" s="116"/>
      <c r="B335" s="118"/>
      <c r="C335" s="480"/>
      <c r="D335" s="480"/>
      <c r="E335" s="480"/>
      <c r="F335" s="480"/>
      <c r="G335" s="480"/>
      <c r="H335" s="480"/>
      <c r="I335" s="480"/>
      <c r="J335" s="480"/>
      <c r="K335" s="480"/>
      <c r="L335" s="480"/>
      <c r="M335" s="480"/>
      <c r="N335" s="481"/>
    </row>
    <row r="336" spans="1:14" s="111" customFormat="1" x14ac:dyDescent="0.2">
      <c r="A336" s="116"/>
      <c r="B336" s="109"/>
      <c r="C336" s="480"/>
      <c r="D336" s="480"/>
      <c r="E336" s="480"/>
      <c r="F336" s="480"/>
      <c r="G336" s="480"/>
      <c r="H336" s="480"/>
      <c r="I336" s="480"/>
      <c r="J336" s="480"/>
      <c r="K336" s="480"/>
      <c r="L336" s="480"/>
      <c r="M336" s="480"/>
      <c r="N336" s="481"/>
    </row>
    <row r="337" spans="1:14" s="111" customFormat="1" x14ac:dyDescent="0.2">
      <c r="A337" s="116"/>
      <c r="B337" s="118" t="s">
        <v>426</v>
      </c>
      <c r="C337" s="119" t="s">
        <v>378</v>
      </c>
      <c r="D337" s="119"/>
      <c r="E337" s="120"/>
      <c r="F337" s="120"/>
      <c r="G337" s="120"/>
      <c r="H337" s="120"/>
      <c r="I337" s="120"/>
      <c r="J337" s="120"/>
      <c r="K337" s="120"/>
      <c r="L337" s="120"/>
      <c r="M337" s="120"/>
      <c r="N337" s="101"/>
    </row>
    <row r="338" spans="1:14" s="111" customFormat="1" ht="13.5" thickBot="1" x14ac:dyDescent="0.25">
      <c r="A338" s="116"/>
      <c r="B338" s="118" t="s">
        <v>430</v>
      </c>
      <c r="C338" s="119"/>
      <c r="D338" s="119"/>
      <c r="E338" s="120"/>
      <c r="F338" s="120"/>
      <c r="G338" s="120"/>
      <c r="H338" s="120"/>
      <c r="I338" s="120"/>
      <c r="J338" s="120"/>
      <c r="K338" s="120"/>
      <c r="L338" s="120"/>
      <c r="M338" s="120"/>
      <c r="N338" s="101"/>
    </row>
    <row r="339" spans="1:14" s="111" customFormat="1" x14ac:dyDescent="0.2">
      <c r="A339" s="112"/>
      <c r="B339" s="113" t="s">
        <v>263</v>
      </c>
      <c r="C339" s="113"/>
      <c r="D339" s="113"/>
      <c r="E339" s="114"/>
      <c r="F339" s="114"/>
      <c r="G339" s="114"/>
      <c r="H339" s="114"/>
      <c r="I339" s="114"/>
      <c r="J339" s="126" t="s">
        <v>753</v>
      </c>
      <c r="K339" s="126"/>
      <c r="L339" s="126" t="s">
        <v>2114</v>
      </c>
      <c r="M339" s="126"/>
      <c r="N339" s="126"/>
    </row>
    <row r="340" spans="1:14" s="111" customFormat="1" ht="13.5" thickBot="1" x14ac:dyDescent="0.25">
      <c r="A340" s="121"/>
      <c r="B340" s="122"/>
      <c r="C340" s="122"/>
      <c r="D340" s="122"/>
      <c r="E340" s="123"/>
      <c r="F340" s="123"/>
      <c r="G340" s="123"/>
      <c r="H340" s="123"/>
      <c r="I340" s="123"/>
      <c r="J340" s="105" t="s">
        <v>833</v>
      </c>
      <c r="K340" s="105" t="s">
        <v>132</v>
      </c>
      <c r="L340" s="105" t="s">
        <v>2115</v>
      </c>
      <c r="M340" s="105" t="s">
        <v>2094</v>
      </c>
      <c r="N340" s="105"/>
    </row>
    <row r="341" spans="1:14" s="111" customFormat="1" x14ac:dyDescent="0.2">
      <c r="A341" s="112"/>
      <c r="B341" s="467" t="s">
        <v>67</v>
      </c>
      <c r="C341" s="467"/>
      <c r="D341" s="467"/>
      <c r="E341" s="114"/>
      <c r="F341" s="114" t="s">
        <v>1180</v>
      </c>
      <c r="G341" s="114" t="s">
        <v>68</v>
      </c>
      <c r="H341" s="114" t="s">
        <v>702</v>
      </c>
      <c r="I341" s="114"/>
      <c r="J341" s="126">
        <f>84.7/ATHENS!O1*ATHENS!O2</f>
        <v>154</v>
      </c>
      <c r="K341" s="126">
        <f>135.5/ATHENS!O1*ATHENS!O2</f>
        <v>246.36363636363635</v>
      </c>
      <c r="L341" s="126">
        <f>158.5/ATHENS!O1*ATHENS!O2</f>
        <v>288.18181818181813</v>
      </c>
      <c r="M341" s="126">
        <f>173.8/ATHENS!O1*ATHENS!O2</f>
        <v>316</v>
      </c>
      <c r="N341" s="126"/>
    </row>
    <row r="342" spans="1:14" s="111" customFormat="1" x14ac:dyDescent="0.2">
      <c r="A342" s="116"/>
      <c r="B342" s="461" t="s">
        <v>67</v>
      </c>
      <c r="C342" s="461"/>
      <c r="D342" s="461"/>
      <c r="E342" s="120"/>
      <c r="F342" s="120" t="s">
        <v>1181</v>
      </c>
      <c r="G342" s="120" t="s">
        <v>68</v>
      </c>
      <c r="H342" s="120" t="s">
        <v>702</v>
      </c>
      <c r="I342" s="120"/>
      <c r="J342" s="100">
        <f>44.5/ATHENS!O1*ATHENS!O2</f>
        <v>80.909090909090907</v>
      </c>
      <c r="K342" s="100">
        <f>77/ATHENS!O1*ATHENS!O2</f>
        <v>140</v>
      </c>
      <c r="L342" s="100">
        <f>91.7/ATHENS!O1*ATHENS!O2</f>
        <v>166.72727272727272</v>
      </c>
      <c r="M342" s="100">
        <f>99.8/ATHENS!O1*ATHENS!O2</f>
        <v>181.45454545454544</v>
      </c>
      <c r="N342" s="100"/>
    </row>
    <row r="343" spans="1:14" s="111" customFormat="1" x14ac:dyDescent="0.2">
      <c r="A343" s="116"/>
      <c r="B343" s="461" t="s">
        <v>67</v>
      </c>
      <c r="C343" s="461"/>
      <c r="D343" s="461"/>
      <c r="E343" s="120"/>
      <c r="F343" s="120" t="s">
        <v>1182</v>
      </c>
      <c r="G343" s="120" t="s">
        <v>68</v>
      </c>
      <c r="H343" s="120" t="s">
        <v>702</v>
      </c>
      <c r="I343" s="120"/>
      <c r="J343" s="100">
        <f>36.5/ATHENS!O1*ATHENS!O2</f>
        <v>66.36363636363636</v>
      </c>
      <c r="K343" s="100">
        <f>60.5/ATHENS!O1*ATHENS!O2</f>
        <v>109.99999999999999</v>
      </c>
      <c r="L343" s="100">
        <f>71.6/ATHENS!O1*ATHENS!O2</f>
        <v>130.18181818181816</v>
      </c>
      <c r="M343" s="100">
        <f>80.5/ATHENS!O1*ATHENS!O2</f>
        <v>146.36363636363635</v>
      </c>
      <c r="N343" s="100"/>
    </row>
    <row r="344" spans="1:14" s="111" customFormat="1" ht="13.5" thickBot="1" x14ac:dyDescent="0.25">
      <c r="A344" s="121"/>
      <c r="B344" s="460" t="s">
        <v>902</v>
      </c>
      <c r="C344" s="460"/>
      <c r="D344" s="460"/>
      <c r="E344" s="123"/>
      <c r="F344" s="123"/>
      <c r="G344" s="123"/>
      <c r="H344" s="123" t="s">
        <v>702</v>
      </c>
      <c r="I344" s="123"/>
      <c r="J344" s="105">
        <f>18/ATHENS!O1*ATHENS!O2</f>
        <v>32.727272727272727</v>
      </c>
      <c r="K344" s="105">
        <f>18/ATHENS!O1*ATHENS!O2</f>
        <v>32.727272727272727</v>
      </c>
      <c r="L344" s="105">
        <f>18/ATHENS!O1*ATHENS!O2</f>
        <v>32.727272727272727</v>
      </c>
      <c r="M344" s="105">
        <f>18/ATHENS!O1*ATHENS!O2</f>
        <v>32.727272727272727</v>
      </c>
      <c r="N344" s="105"/>
    </row>
    <row r="345" spans="1:14" s="111" customFormat="1" ht="13.5" thickBot="1" x14ac:dyDescent="0.25">
      <c r="A345" s="108"/>
      <c r="B345" s="109"/>
      <c r="C345" s="109"/>
      <c r="D345" s="109"/>
      <c r="E345" s="110"/>
      <c r="F345" s="110"/>
      <c r="G345" s="110"/>
      <c r="H345" s="110"/>
      <c r="I345" s="110"/>
      <c r="J345" s="110"/>
      <c r="K345" s="110"/>
      <c r="L345" s="110"/>
      <c r="M345" s="110"/>
      <c r="N345" s="110"/>
    </row>
    <row r="346" spans="1:14" s="111" customFormat="1" ht="13.5" thickBot="1" x14ac:dyDescent="0.25">
      <c r="A346" s="112"/>
      <c r="B346" s="113"/>
      <c r="C346" s="113"/>
      <c r="D346" s="113"/>
      <c r="E346" s="114"/>
      <c r="F346" s="114"/>
      <c r="G346" s="114"/>
      <c r="H346" s="114"/>
      <c r="I346" s="114"/>
      <c r="J346" s="114"/>
      <c r="K346" s="114"/>
      <c r="L346" s="114"/>
      <c r="M346" s="114"/>
      <c r="N346" s="115"/>
    </row>
    <row r="347" spans="1:14" s="111" customFormat="1" ht="15.75" thickBot="1" x14ac:dyDescent="0.25">
      <c r="A347" s="116"/>
      <c r="B347" s="484" t="s">
        <v>1628</v>
      </c>
      <c r="C347" s="485"/>
      <c r="D347" s="485"/>
      <c r="E347" s="485"/>
      <c r="F347" s="485"/>
      <c r="G347" s="485"/>
      <c r="H347" s="485"/>
      <c r="I347" s="485"/>
      <c r="J347" s="485"/>
      <c r="K347" s="485"/>
      <c r="L347" s="485"/>
      <c r="M347" s="486"/>
      <c r="N347" s="117" t="s">
        <v>96</v>
      </c>
    </row>
    <row r="348" spans="1:14" s="111" customFormat="1" x14ac:dyDescent="0.2">
      <c r="A348" s="116"/>
      <c r="B348" s="118" t="s">
        <v>428</v>
      </c>
      <c r="C348" s="119" t="s">
        <v>1097</v>
      </c>
      <c r="D348" s="119"/>
      <c r="E348" s="120"/>
      <c r="F348" s="120"/>
      <c r="G348" s="120"/>
      <c r="H348" s="120"/>
      <c r="I348" s="120"/>
      <c r="J348" s="120"/>
      <c r="K348" s="120"/>
      <c r="L348" s="120"/>
      <c r="M348" s="120"/>
      <c r="N348" s="101"/>
    </row>
    <row r="349" spans="1:14" s="111" customFormat="1" x14ac:dyDescent="0.2">
      <c r="A349" s="116"/>
      <c r="B349" s="118" t="s">
        <v>429</v>
      </c>
      <c r="C349" s="119" t="s">
        <v>307</v>
      </c>
      <c r="D349" s="119"/>
      <c r="E349" s="120"/>
      <c r="F349" s="120"/>
      <c r="G349" s="120"/>
      <c r="H349" s="120"/>
      <c r="I349" s="120"/>
      <c r="J349" s="120"/>
      <c r="K349" s="120"/>
      <c r="L349" s="120"/>
      <c r="M349" s="120"/>
      <c r="N349" s="101"/>
    </row>
    <row r="350" spans="1:14" s="111" customFormat="1" x14ac:dyDescent="0.2">
      <c r="A350" s="116"/>
      <c r="B350" s="118" t="s">
        <v>427</v>
      </c>
      <c r="C350" s="480" t="s">
        <v>1270</v>
      </c>
      <c r="D350" s="480"/>
      <c r="E350" s="480"/>
      <c r="F350" s="480"/>
      <c r="G350" s="480"/>
      <c r="H350" s="480"/>
      <c r="I350" s="480"/>
      <c r="J350" s="480"/>
      <c r="K350" s="480"/>
      <c r="L350" s="480"/>
      <c r="M350" s="480"/>
      <c r="N350" s="481"/>
    </row>
    <row r="351" spans="1:14" s="111" customFormat="1" x14ac:dyDescent="0.2">
      <c r="A351" s="116"/>
      <c r="B351" s="118"/>
      <c r="C351" s="480"/>
      <c r="D351" s="480"/>
      <c r="E351" s="480"/>
      <c r="F351" s="480"/>
      <c r="G351" s="480"/>
      <c r="H351" s="480"/>
      <c r="I351" s="480"/>
      <c r="J351" s="480"/>
      <c r="K351" s="480"/>
      <c r="L351" s="480"/>
      <c r="M351" s="480"/>
      <c r="N351" s="481"/>
    </row>
    <row r="352" spans="1:14" s="111" customFormat="1" x14ac:dyDescent="0.2">
      <c r="A352" s="116"/>
      <c r="B352" s="109"/>
      <c r="C352" s="480"/>
      <c r="D352" s="480"/>
      <c r="E352" s="480"/>
      <c r="F352" s="480"/>
      <c r="G352" s="480"/>
      <c r="H352" s="480"/>
      <c r="I352" s="480"/>
      <c r="J352" s="480"/>
      <c r="K352" s="480"/>
      <c r="L352" s="480"/>
      <c r="M352" s="480"/>
      <c r="N352" s="481"/>
    </row>
    <row r="353" spans="1:14" s="111" customFormat="1" x14ac:dyDescent="0.2">
      <c r="A353" s="116"/>
      <c r="B353" s="118" t="s">
        <v>426</v>
      </c>
      <c r="C353" s="119"/>
      <c r="D353" s="119"/>
      <c r="E353" s="120"/>
      <c r="F353" s="120"/>
      <c r="G353" s="120"/>
      <c r="H353" s="120"/>
      <c r="I353" s="120"/>
      <c r="J353" s="120"/>
      <c r="K353" s="120"/>
      <c r="L353" s="120"/>
      <c r="M353" s="120"/>
      <c r="N353" s="101"/>
    </row>
    <row r="354" spans="1:14" s="111" customFormat="1" ht="13.5" thickBot="1" x14ac:dyDescent="0.25">
      <c r="A354" s="116"/>
      <c r="B354" s="118" t="s">
        <v>430</v>
      </c>
      <c r="C354" s="119"/>
      <c r="D354" s="119"/>
      <c r="E354" s="120"/>
      <c r="F354" s="120"/>
      <c r="G354" s="120"/>
      <c r="H354" s="120"/>
      <c r="I354" s="120"/>
      <c r="J354" s="120"/>
      <c r="K354" s="120"/>
      <c r="L354" s="120"/>
      <c r="M354" s="120"/>
      <c r="N354" s="101"/>
    </row>
    <row r="355" spans="1:14" s="111" customFormat="1" x14ac:dyDescent="0.2">
      <c r="A355" s="112"/>
      <c r="B355" s="113" t="s">
        <v>263</v>
      </c>
      <c r="C355" s="113"/>
      <c r="D355" s="113"/>
      <c r="E355" s="114"/>
      <c r="F355" s="114"/>
      <c r="G355" s="114"/>
      <c r="H355" s="114"/>
      <c r="I355" s="114"/>
      <c r="J355" s="126" t="s">
        <v>339</v>
      </c>
      <c r="K355" s="126"/>
      <c r="L355" s="126"/>
      <c r="M355" s="126"/>
      <c r="N355" s="126"/>
    </row>
    <row r="356" spans="1:14" s="111" customFormat="1" ht="13.5" thickBot="1" x14ac:dyDescent="0.25">
      <c r="A356" s="121"/>
      <c r="B356" s="122"/>
      <c r="C356" s="122"/>
      <c r="D356" s="122"/>
      <c r="E356" s="123"/>
      <c r="F356" s="123"/>
      <c r="G356" s="123"/>
      <c r="H356" s="123"/>
      <c r="I356" s="123"/>
      <c r="J356" s="105" t="s">
        <v>481</v>
      </c>
      <c r="K356" s="105" t="s">
        <v>279</v>
      </c>
      <c r="L356" s="105" t="s">
        <v>221</v>
      </c>
      <c r="M356" s="105"/>
      <c r="N356" s="105"/>
    </row>
    <row r="357" spans="1:14" s="111" customFormat="1" x14ac:dyDescent="0.2">
      <c r="A357" s="112"/>
      <c r="B357" s="467" t="s">
        <v>67</v>
      </c>
      <c r="C357" s="467"/>
      <c r="D357" s="467"/>
      <c r="E357" s="114"/>
      <c r="F357" s="114" t="s">
        <v>1181</v>
      </c>
      <c r="G357" s="114" t="s">
        <v>68</v>
      </c>
      <c r="H357" s="114" t="s">
        <v>702</v>
      </c>
      <c r="I357" s="114"/>
      <c r="J357" s="126">
        <f>37.5/ATHENS!O1*ATHENS!O2</f>
        <v>68.181818181818173</v>
      </c>
      <c r="K357" s="126">
        <f>45/ATHENS!O1*ATHENS!O2</f>
        <v>81.818181818181813</v>
      </c>
      <c r="L357" s="126">
        <f>46.6/ATHENS!O1*ATHENS!O2</f>
        <v>84.72727272727272</v>
      </c>
      <c r="M357" s="126"/>
      <c r="N357" s="126"/>
    </row>
    <row r="358" spans="1:14" s="111" customFormat="1" x14ac:dyDescent="0.2">
      <c r="A358" s="116"/>
      <c r="B358" s="461" t="s">
        <v>874</v>
      </c>
      <c r="C358" s="461"/>
      <c r="D358" s="461"/>
      <c r="E358" s="120"/>
      <c r="F358" s="120" t="s">
        <v>518</v>
      </c>
      <c r="G358" s="120" t="s">
        <v>68</v>
      </c>
      <c r="H358" s="120" t="s">
        <v>702</v>
      </c>
      <c r="I358" s="120"/>
      <c r="J358" s="100">
        <f>82.5/ATHENS!O1*ATHENS!O2</f>
        <v>150</v>
      </c>
      <c r="K358" s="100">
        <f>95/ATHENS!O1*ATHENS!O2</f>
        <v>172.72727272727272</v>
      </c>
      <c r="L358" s="100">
        <f>130/ATHENS!O1*ATHENS!O2</f>
        <v>236.36363636363635</v>
      </c>
      <c r="M358" s="100"/>
      <c r="N358" s="100"/>
    </row>
    <row r="359" spans="1:14" s="111" customFormat="1" ht="13.5" thickBot="1" x14ac:dyDescent="0.25">
      <c r="A359" s="121"/>
      <c r="B359" s="460"/>
      <c r="C359" s="460"/>
      <c r="D359" s="460"/>
      <c r="E359" s="123"/>
      <c r="F359" s="123"/>
      <c r="G359" s="123"/>
      <c r="H359" s="123"/>
      <c r="I359" s="123"/>
      <c r="J359" s="105"/>
      <c r="K359" s="105"/>
      <c r="L359" s="105"/>
      <c r="M359" s="105"/>
      <c r="N359" s="105"/>
    </row>
    <row r="360" spans="1:14" s="111" customFormat="1" ht="13.5" thickBot="1" x14ac:dyDescent="0.25">
      <c r="A360" s="108"/>
      <c r="B360" s="109"/>
      <c r="C360" s="109"/>
      <c r="D360" s="109"/>
      <c r="E360" s="110"/>
      <c r="F360" s="110"/>
      <c r="G360" s="110"/>
      <c r="H360" s="110"/>
      <c r="I360" s="110"/>
      <c r="J360" s="110"/>
      <c r="K360" s="110"/>
      <c r="L360" s="110"/>
      <c r="M360" s="110"/>
      <c r="N360" s="110"/>
    </row>
    <row r="361" spans="1:14" s="111" customFormat="1" ht="13.5" thickBot="1" x14ac:dyDescent="0.25">
      <c r="A361" s="112"/>
      <c r="B361" s="113"/>
      <c r="C361" s="113"/>
      <c r="D361" s="113"/>
      <c r="E361" s="114"/>
      <c r="F361" s="114"/>
      <c r="G361" s="114"/>
      <c r="H361" s="114"/>
      <c r="I361" s="114"/>
      <c r="J361" s="114"/>
      <c r="K361" s="114"/>
      <c r="L361" s="114"/>
      <c r="M361" s="114"/>
      <c r="N361" s="115"/>
    </row>
    <row r="362" spans="1:14" s="111" customFormat="1" ht="15.75" thickBot="1" x14ac:dyDescent="0.25">
      <c r="A362" s="116"/>
      <c r="B362" s="484" t="s">
        <v>1096</v>
      </c>
      <c r="C362" s="485"/>
      <c r="D362" s="485"/>
      <c r="E362" s="485"/>
      <c r="F362" s="485"/>
      <c r="G362" s="485"/>
      <c r="H362" s="485"/>
      <c r="I362" s="485"/>
      <c r="J362" s="485"/>
      <c r="K362" s="485"/>
      <c r="L362" s="485"/>
      <c r="M362" s="486"/>
      <c r="N362" s="117" t="s">
        <v>96</v>
      </c>
    </row>
    <row r="363" spans="1:14" s="111" customFormat="1" x14ac:dyDescent="0.2">
      <c r="A363" s="116"/>
      <c r="B363" s="118" t="s">
        <v>428</v>
      </c>
      <c r="C363" s="141" t="s">
        <v>1097</v>
      </c>
      <c r="D363" s="119"/>
      <c r="E363" s="120"/>
      <c r="F363" s="120"/>
      <c r="G363" s="120"/>
      <c r="H363" s="120"/>
      <c r="I363" s="120"/>
      <c r="J363" s="120"/>
      <c r="K363" s="120"/>
      <c r="L363" s="120"/>
      <c r="M363" s="120"/>
      <c r="N363" s="101"/>
    </row>
    <row r="364" spans="1:14" s="111" customFormat="1" x14ac:dyDescent="0.2">
      <c r="A364" s="116"/>
      <c r="B364" s="118" t="s">
        <v>429</v>
      </c>
      <c r="C364" s="119" t="s">
        <v>1082</v>
      </c>
      <c r="D364" s="119"/>
      <c r="E364" s="120"/>
      <c r="F364" s="120"/>
      <c r="G364" s="120"/>
      <c r="H364" s="120"/>
      <c r="I364" s="120"/>
      <c r="J364" s="120"/>
      <c r="K364" s="120"/>
      <c r="L364" s="120"/>
      <c r="M364" s="120"/>
      <c r="N364" s="101"/>
    </row>
    <row r="365" spans="1:14" s="111" customFormat="1" x14ac:dyDescent="0.2">
      <c r="A365" s="116"/>
      <c r="B365" s="118" t="s">
        <v>427</v>
      </c>
      <c r="C365" s="480" t="s">
        <v>1271</v>
      </c>
      <c r="D365" s="480"/>
      <c r="E365" s="480"/>
      <c r="F365" s="480"/>
      <c r="G365" s="480"/>
      <c r="H365" s="480"/>
      <c r="I365" s="480"/>
      <c r="J365" s="480"/>
      <c r="K365" s="480"/>
      <c r="L365" s="480"/>
      <c r="M365" s="480"/>
      <c r="N365" s="481"/>
    </row>
    <row r="366" spans="1:14" s="111" customFormat="1" x14ac:dyDescent="0.2">
      <c r="A366" s="116"/>
      <c r="B366" s="118"/>
      <c r="C366" s="480"/>
      <c r="D366" s="480"/>
      <c r="E366" s="480"/>
      <c r="F366" s="480"/>
      <c r="G366" s="480"/>
      <c r="H366" s="480"/>
      <c r="I366" s="480"/>
      <c r="J366" s="480"/>
      <c r="K366" s="480"/>
      <c r="L366" s="480"/>
      <c r="M366" s="480"/>
      <c r="N366" s="481"/>
    </row>
    <row r="367" spans="1:14" s="111" customFormat="1" x14ac:dyDescent="0.2">
      <c r="A367" s="116"/>
      <c r="B367" s="118"/>
      <c r="C367" s="480"/>
      <c r="D367" s="480"/>
      <c r="E367" s="480"/>
      <c r="F367" s="480"/>
      <c r="G367" s="480"/>
      <c r="H367" s="480"/>
      <c r="I367" s="480"/>
      <c r="J367" s="480"/>
      <c r="K367" s="480"/>
      <c r="L367" s="480"/>
      <c r="M367" s="480"/>
      <c r="N367" s="481"/>
    </row>
    <row r="368" spans="1:14" s="111" customFormat="1" x14ac:dyDescent="0.2">
      <c r="A368" s="116"/>
      <c r="B368" s="118" t="s">
        <v>426</v>
      </c>
      <c r="C368" s="119"/>
      <c r="D368" s="119"/>
      <c r="E368" s="120"/>
      <c r="F368" s="120"/>
      <c r="G368" s="120"/>
      <c r="H368" s="120"/>
      <c r="I368" s="120"/>
      <c r="J368" s="120"/>
      <c r="K368" s="120"/>
      <c r="L368" s="120"/>
      <c r="M368" s="120"/>
      <c r="N368" s="101"/>
    </row>
    <row r="369" spans="1:14" s="111" customFormat="1" ht="13.5" thickBot="1" x14ac:dyDescent="0.25">
      <c r="A369" s="116"/>
      <c r="B369" s="118" t="s">
        <v>430</v>
      </c>
      <c r="C369" s="119"/>
      <c r="D369" s="119"/>
      <c r="E369" s="120"/>
      <c r="F369" s="120"/>
      <c r="G369" s="120"/>
      <c r="H369" s="120"/>
      <c r="I369" s="120"/>
      <c r="J369" s="120"/>
      <c r="K369" s="120"/>
      <c r="L369" s="120"/>
      <c r="M369" s="120"/>
      <c r="N369" s="101"/>
    </row>
    <row r="370" spans="1:14" s="111" customFormat="1" x14ac:dyDescent="0.2">
      <c r="A370" s="112"/>
      <c r="B370" s="113" t="s">
        <v>263</v>
      </c>
      <c r="C370" s="113"/>
      <c r="D370" s="113"/>
      <c r="E370" s="114"/>
      <c r="F370" s="114"/>
      <c r="G370" s="114"/>
      <c r="H370" s="114"/>
      <c r="I370" s="114"/>
      <c r="J370" s="127" t="s">
        <v>758</v>
      </c>
      <c r="K370" s="126"/>
      <c r="L370" s="126"/>
      <c r="M370" s="126"/>
      <c r="N370" s="126"/>
    </row>
    <row r="371" spans="1:14" s="111" customFormat="1" ht="13.5" thickBot="1" x14ac:dyDescent="0.25">
      <c r="A371" s="121"/>
      <c r="B371" s="122"/>
      <c r="C371" s="122"/>
      <c r="D371" s="122"/>
      <c r="E371" s="123"/>
      <c r="F371" s="123"/>
      <c r="G371" s="123"/>
      <c r="H371" s="123"/>
      <c r="I371" s="123"/>
      <c r="J371" s="125" t="s">
        <v>481</v>
      </c>
      <c r="K371" s="105" t="s">
        <v>279</v>
      </c>
      <c r="L371" s="105" t="s">
        <v>221</v>
      </c>
      <c r="M371" s="105"/>
      <c r="N371" s="105"/>
    </row>
    <row r="372" spans="1:14" s="111" customFormat="1" x14ac:dyDescent="0.2">
      <c r="A372" s="112"/>
      <c r="B372" s="467" t="s">
        <v>901</v>
      </c>
      <c r="C372" s="467"/>
      <c r="D372" s="467"/>
      <c r="E372" s="114"/>
      <c r="F372" s="114" t="s">
        <v>518</v>
      </c>
      <c r="G372" s="114" t="s">
        <v>68</v>
      </c>
      <c r="H372" s="114" t="s">
        <v>1184</v>
      </c>
      <c r="I372" s="114"/>
      <c r="J372" s="100">
        <f>118/ATHENS!O1*ATHENS!O2</f>
        <v>214.54545454545453</v>
      </c>
      <c r="K372" s="100">
        <f>165/ATHENS!O1*ATHENS!O2</f>
        <v>300</v>
      </c>
      <c r="L372" s="100">
        <f>181/ATHENS!O1*ATHENS!O2</f>
        <v>329.09090909090907</v>
      </c>
      <c r="M372" s="100"/>
      <c r="N372" s="100"/>
    </row>
    <row r="373" spans="1:14" s="111" customFormat="1" ht="13.5" thickBot="1" x14ac:dyDescent="0.25">
      <c r="A373" s="121"/>
      <c r="B373" s="460" t="s">
        <v>901</v>
      </c>
      <c r="C373" s="460"/>
      <c r="D373" s="460"/>
      <c r="E373" s="123"/>
      <c r="F373" s="123" t="s">
        <v>705</v>
      </c>
      <c r="G373" s="123" t="s">
        <v>68</v>
      </c>
      <c r="H373" s="123" t="s">
        <v>1184</v>
      </c>
      <c r="I373" s="123"/>
      <c r="J373" s="105">
        <f>235/ATHENS!O1*ATHENS!O2</f>
        <v>427.27272727272725</v>
      </c>
      <c r="K373" s="105">
        <f>280/ATHENS!O1*ATHENS!O2</f>
        <v>509.09090909090907</v>
      </c>
      <c r="L373" s="105">
        <f>327/ATHENS!O1*ATHENS!O2</f>
        <v>594.5454545454545</v>
      </c>
      <c r="M373" s="105"/>
      <c r="N373" s="105"/>
    </row>
    <row r="374" spans="1:14" s="111" customFormat="1" ht="13.5" thickBot="1" x14ac:dyDescent="0.25">
      <c r="A374" s="108"/>
      <c r="B374" s="109"/>
      <c r="C374" s="109"/>
      <c r="D374" s="109"/>
      <c r="E374" s="110"/>
      <c r="F374" s="110"/>
      <c r="G374" s="110"/>
      <c r="H374" s="110"/>
      <c r="I374" s="110"/>
      <c r="J374" s="110"/>
      <c r="K374" s="110"/>
      <c r="L374" s="110"/>
      <c r="M374" s="110"/>
      <c r="N374" s="110"/>
    </row>
    <row r="375" spans="1:14" s="111" customFormat="1" ht="13.5" thickBot="1" x14ac:dyDescent="0.25">
      <c r="A375" s="112"/>
      <c r="B375" s="113"/>
      <c r="C375" s="113"/>
      <c r="D375" s="113"/>
      <c r="E375" s="114"/>
      <c r="F375" s="114"/>
      <c r="G375" s="114"/>
      <c r="H375" s="114"/>
      <c r="I375" s="114"/>
      <c r="J375" s="114"/>
      <c r="K375" s="114"/>
      <c r="L375" s="114"/>
      <c r="M375" s="114"/>
      <c r="N375" s="115"/>
    </row>
    <row r="376" spans="1:14" s="111" customFormat="1" ht="15.75" thickBot="1" x14ac:dyDescent="0.25">
      <c r="A376" s="116"/>
      <c r="B376" s="484" t="s">
        <v>1622</v>
      </c>
      <c r="C376" s="485"/>
      <c r="D376" s="485"/>
      <c r="E376" s="485"/>
      <c r="F376" s="485"/>
      <c r="G376" s="485"/>
      <c r="H376" s="485"/>
      <c r="I376" s="485"/>
      <c r="J376" s="485"/>
      <c r="K376" s="485"/>
      <c r="L376" s="485"/>
      <c r="M376" s="486"/>
      <c r="N376" s="117" t="s">
        <v>1164</v>
      </c>
    </row>
    <row r="377" spans="1:14" s="111" customFormat="1" x14ac:dyDescent="0.2">
      <c r="A377" s="116"/>
      <c r="B377" s="118" t="s">
        <v>428</v>
      </c>
      <c r="C377" s="119" t="s">
        <v>1472</v>
      </c>
      <c r="D377" s="119"/>
      <c r="E377" s="120"/>
      <c r="F377" s="120"/>
      <c r="G377" s="120"/>
      <c r="H377" s="120"/>
      <c r="I377" s="120"/>
      <c r="J377" s="120"/>
      <c r="K377" s="120"/>
      <c r="L377" s="120"/>
      <c r="M377" s="120"/>
      <c r="N377" s="101"/>
    </row>
    <row r="378" spans="1:14" s="111" customFormat="1" x14ac:dyDescent="0.2">
      <c r="A378" s="116"/>
      <c r="B378" s="118" t="s">
        <v>429</v>
      </c>
      <c r="C378" s="119" t="s">
        <v>493</v>
      </c>
      <c r="D378" s="119"/>
      <c r="E378" s="120"/>
      <c r="F378" s="120"/>
      <c r="G378" s="120"/>
      <c r="H378" s="120"/>
      <c r="I378" s="120"/>
      <c r="J378" s="120"/>
      <c r="K378" s="120"/>
      <c r="L378" s="120"/>
      <c r="M378" s="120"/>
      <c r="N378" s="101"/>
    </row>
    <row r="379" spans="1:14" s="111" customFormat="1" x14ac:dyDescent="0.2">
      <c r="A379" s="116"/>
      <c r="B379" s="118" t="s">
        <v>427</v>
      </c>
      <c r="C379" s="480" t="s">
        <v>1272</v>
      </c>
      <c r="D379" s="480"/>
      <c r="E379" s="480"/>
      <c r="F379" s="480"/>
      <c r="G379" s="480"/>
      <c r="H379" s="480"/>
      <c r="I379" s="480"/>
      <c r="J379" s="480"/>
      <c r="K379" s="480"/>
      <c r="L379" s="480"/>
      <c r="M379" s="480"/>
      <c r="N379" s="481"/>
    </row>
    <row r="380" spans="1:14" s="111" customFormat="1" x14ac:dyDescent="0.2">
      <c r="A380" s="116"/>
      <c r="B380" s="109"/>
      <c r="C380" s="480"/>
      <c r="D380" s="480"/>
      <c r="E380" s="480"/>
      <c r="F380" s="480"/>
      <c r="G380" s="480"/>
      <c r="H380" s="480"/>
      <c r="I380" s="480"/>
      <c r="J380" s="480"/>
      <c r="K380" s="480"/>
      <c r="L380" s="480"/>
      <c r="M380" s="480"/>
      <c r="N380" s="481"/>
    </row>
    <row r="381" spans="1:14" s="111" customFormat="1" x14ac:dyDescent="0.2">
      <c r="A381" s="116"/>
      <c r="B381" s="118" t="s">
        <v>426</v>
      </c>
      <c r="C381" s="119" t="s">
        <v>933</v>
      </c>
      <c r="D381" s="119"/>
      <c r="E381" s="120"/>
      <c r="F381" s="120"/>
      <c r="G381" s="120"/>
      <c r="H381" s="120"/>
      <c r="I381" s="120"/>
      <c r="J381" s="120"/>
      <c r="K381" s="120"/>
      <c r="L381" s="120"/>
      <c r="M381" s="120"/>
      <c r="N381" s="101"/>
    </row>
    <row r="382" spans="1:14" s="111" customFormat="1" ht="13.5" thickBot="1" x14ac:dyDescent="0.25">
      <c r="A382" s="116"/>
      <c r="B382" s="118" t="s">
        <v>430</v>
      </c>
      <c r="C382" s="119"/>
      <c r="D382" s="119"/>
      <c r="E382" s="120"/>
      <c r="F382" s="120"/>
      <c r="G382" s="120"/>
      <c r="H382" s="120"/>
      <c r="I382" s="120"/>
      <c r="J382" s="120"/>
      <c r="K382" s="120"/>
      <c r="L382" s="120"/>
      <c r="M382" s="120"/>
      <c r="N382" s="101"/>
    </row>
    <row r="383" spans="1:14" s="111" customFormat="1" x14ac:dyDescent="0.2">
      <c r="A383" s="112"/>
      <c r="B383" s="113" t="s">
        <v>263</v>
      </c>
      <c r="C383" s="113"/>
      <c r="D383" s="113"/>
      <c r="E383" s="114"/>
      <c r="F383" s="114"/>
      <c r="G383" s="114"/>
      <c r="H383" s="114"/>
      <c r="I383" s="114"/>
      <c r="J383" s="127" t="s">
        <v>1971</v>
      </c>
      <c r="K383" s="126" t="s">
        <v>1972</v>
      </c>
      <c r="L383" s="126"/>
      <c r="M383" s="126"/>
      <c r="N383" s="126"/>
    </row>
    <row r="384" spans="1:14" s="111" customFormat="1" ht="13.5" thickBot="1" x14ac:dyDescent="0.25">
      <c r="A384" s="121"/>
      <c r="B384" s="122"/>
      <c r="C384" s="122"/>
      <c r="D384" s="122"/>
      <c r="E384" s="123"/>
      <c r="F384" s="123"/>
      <c r="G384" s="123"/>
      <c r="H384" s="123"/>
      <c r="I384" s="123"/>
      <c r="J384" s="125" t="s">
        <v>833</v>
      </c>
      <c r="K384" s="105" t="s">
        <v>1973</v>
      </c>
      <c r="L384" s="105" t="s">
        <v>1974</v>
      </c>
      <c r="M384" s="105"/>
      <c r="N384" s="105"/>
    </row>
    <row r="385" spans="1:14" s="111" customFormat="1" x14ac:dyDescent="0.2">
      <c r="A385" s="112"/>
      <c r="B385" s="467" t="s">
        <v>67</v>
      </c>
      <c r="C385" s="467"/>
      <c r="D385" s="467"/>
      <c r="E385" s="114"/>
      <c r="F385" s="114" t="s">
        <v>1181</v>
      </c>
      <c r="G385" s="114" t="s">
        <v>68</v>
      </c>
      <c r="H385" s="114" t="s">
        <v>702</v>
      </c>
      <c r="I385" s="114"/>
      <c r="J385" s="100">
        <f>76/ATHENS!O1*ATHENS!O2</f>
        <v>138.18181818181816</v>
      </c>
      <c r="K385" s="100">
        <f>128/ATHENS!O1*ATHENS!O2</f>
        <v>232.72727272727272</v>
      </c>
      <c r="L385" s="100">
        <f>168/ATHENS!O1*ATHENS!O2</f>
        <v>305.45454545454544</v>
      </c>
      <c r="M385" s="100"/>
      <c r="N385" s="126"/>
    </row>
    <row r="386" spans="1:14" s="111" customFormat="1" x14ac:dyDescent="0.2">
      <c r="A386" s="116"/>
      <c r="B386" s="461" t="s">
        <v>1305</v>
      </c>
      <c r="C386" s="461"/>
      <c r="D386" s="461"/>
      <c r="E386" s="120"/>
      <c r="F386" s="120" t="s">
        <v>518</v>
      </c>
      <c r="G386" s="120" t="s">
        <v>68</v>
      </c>
      <c r="H386" s="120" t="s">
        <v>702</v>
      </c>
      <c r="I386" s="120"/>
      <c r="J386" s="100">
        <f>136/ATHENS!O1*ATHENS!O2</f>
        <v>247.27272727272725</v>
      </c>
      <c r="K386" s="100">
        <f>184/ATHENS!O1*ATHENS!O2</f>
        <v>334.5454545454545</v>
      </c>
      <c r="L386" s="100">
        <f>228/ATHENS!O1*ATHENS!O2</f>
        <v>414.5454545454545</v>
      </c>
      <c r="M386" s="100"/>
      <c r="N386" s="100"/>
    </row>
    <row r="387" spans="1:14" s="111" customFormat="1" ht="13.5" thickBot="1" x14ac:dyDescent="0.25">
      <c r="A387" s="121"/>
      <c r="B387" s="460" t="s">
        <v>1305</v>
      </c>
      <c r="C387" s="460"/>
      <c r="D387" s="460"/>
      <c r="E387" s="123"/>
      <c r="F387" s="123" t="s">
        <v>705</v>
      </c>
      <c r="G387" s="123" t="s">
        <v>68</v>
      </c>
      <c r="H387" s="123" t="s">
        <v>702</v>
      </c>
      <c r="I387" s="123"/>
      <c r="J387" s="105">
        <f>120.6/ATHENS!O1*ATHENS!O2</f>
        <v>219.27272727272725</v>
      </c>
      <c r="K387" s="105">
        <f>152.6/ATHENS!O1*ATHENS!O2</f>
        <v>277.45454545454544</v>
      </c>
      <c r="L387" s="105">
        <f>182/ATHENS!O1*ATHENS!O2</f>
        <v>330.90909090909088</v>
      </c>
      <c r="M387" s="105"/>
      <c r="N387" s="105"/>
    </row>
    <row r="388" spans="1:14" s="111" customFormat="1" ht="13.5" thickBot="1" x14ac:dyDescent="0.25">
      <c r="A388" s="108"/>
      <c r="B388" s="109"/>
      <c r="C388" s="109"/>
      <c r="D388" s="109"/>
      <c r="E388" s="110"/>
      <c r="F388" s="110"/>
      <c r="G388" s="110"/>
      <c r="H388" s="110"/>
      <c r="I388" s="110"/>
      <c r="J388" s="110"/>
      <c r="K388" s="110"/>
      <c r="L388" s="110"/>
      <c r="M388" s="110"/>
      <c r="N388" s="110"/>
    </row>
    <row r="389" spans="1:14" s="111" customFormat="1" ht="13.5" thickBot="1" x14ac:dyDescent="0.25">
      <c r="A389" s="112"/>
      <c r="B389" s="113"/>
      <c r="C389" s="113"/>
      <c r="D389" s="113"/>
      <c r="E389" s="114"/>
      <c r="F389" s="114"/>
      <c r="G389" s="114"/>
      <c r="H389" s="114"/>
      <c r="I389" s="114"/>
      <c r="J389" s="114"/>
      <c r="K389" s="114"/>
      <c r="L389" s="114"/>
      <c r="M389" s="114"/>
      <c r="N389" s="115"/>
    </row>
    <row r="390" spans="1:14" s="111" customFormat="1" ht="15.75" thickBot="1" x14ac:dyDescent="0.25">
      <c r="A390" s="116"/>
      <c r="B390" s="484" t="s">
        <v>1629</v>
      </c>
      <c r="C390" s="485"/>
      <c r="D390" s="485"/>
      <c r="E390" s="485"/>
      <c r="F390" s="485"/>
      <c r="G390" s="485"/>
      <c r="H390" s="485"/>
      <c r="I390" s="485"/>
      <c r="J390" s="485"/>
      <c r="K390" s="485"/>
      <c r="L390" s="485"/>
      <c r="M390" s="486"/>
      <c r="N390" s="117" t="s">
        <v>1164</v>
      </c>
    </row>
    <row r="391" spans="1:14" s="111" customFormat="1" x14ac:dyDescent="0.2">
      <c r="A391" s="116"/>
      <c r="B391" s="118" t="s">
        <v>428</v>
      </c>
      <c r="C391" s="119" t="s">
        <v>1472</v>
      </c>
      <c r="D391" s="119"/>
      <c r="E391" s="120"/>
      <c r="F391" s="120"/>
      <c r="G391" s="120"/>
      <c r="H391" s="120"/>
      <c r="I391" s="120"/>
      <c r="J391" s="120"/>
      <c r="K391" s="120"/>
      <c r="L391" s="120"/>
      <c r="M391" s="120"/>
      <c r="N391" s="101"/>
    </row>
    <row r="392" spans="1:14" s="111" customFormat="1" x14ac:dyDescent="0.2">
      <c r="A392" s="116"/>
      <c r="B392" s="118" t="s">
        <v>429</v>
      </c>
      <c r="C392" s="119" t="s">
        <v>1214</v>
      </c>
      <c r="D392" s="119"/>
      <c r="E392" s="120"/>
      <c r="F392" s="120"/>
      <c r="G392" s="120"/>
      <c r="H392" s="120"/>
      <c r="I392" s="120"/>
      <c r="J392" s="120"/>
      <c r="K392" s="120"/>
      <c r="L392" s="120"/>
      <c r="M392" s="120"/>
      <c r="N392" s="101"/>
    </row>
    <row r="393" spans="1:14" s="111" customFormat="1" x14ac:dyDescent="0.2">
      <c r="A393" s="116"/>
      <c r="B393" s="118" t="s">
        <v>427</v>
      </c>
      <c r="C393" s="480" t="s">
        <v>1463</v>
      </c>
      <c r="D393" s="480"/>
      <c r="E393" s="480"/>
      <c r="F393" s="480"/>
      <c r="G393" s="480"/>
      <c r="H393" s="480"/>
      <c r="I393" s="480"/>
      <c r="J393" s="480"/>
      <c r="K393" s="480"/>
      <c r="L393" s="480"/>
      <c r="M393" s="480"/>
      <c r="N393" s="481"/>
    </row>
    <row r="394" spans="1:14" s="111" customFormat="1" x14ac:dyDescent="0.2">
      <c r="A394" s="116"/>
      <c r="B394" s="118"/>
      <c r="C394" s="480"/>
      <c r="D394" s="480"/>
      <c r="E394" s="480"/>
      <c r="F394" s="480"/>
      <c r="G394" s="480"/>
      <c r="H394" s="480"/>
      <c r="I394" s="480"/>
      <c r="J394" s="480"/>
      <c r="K394" s="480"/>
      <c r="L394" s="480"/>
      <c r="M394" s="480"/>
      <c r="N394" s="481"/>
    </row>
    <row r="395" spans="1:14" s="111" customFormat="1" x14ac:dyDescent="0.2">
      <c r="A395" s="116"/>
      <c r="B395" s="118"/>
      <c r="C395" s="480"/>
      <c r="D395" s="480"/>
      <c r="E395" s="480"/>
      <c r="F395" s="480"/>
      <c r="G395" s="480"/>
      <c r="H395" s="480"/>
      <c r="I395" s="480"/>
      <c r="J395" s="480"/>
      <c r="K395" s="480"/>
      <c r="L395" s="480"/>
      <c r="M395" s="480"/>
      <c r="N395" s="481"/>
    </row>
    <row r="396" spans="1:14" s="111" customFormat="1" x14ac:dyDescent="0.2">
      <c r="A396" s="116"/>
      <c r="B396" s="118"/>
      <c r="C396" s="480"/>
      <c r="D396" s="480"/>
      <c r="E396" s="480"/>
      <c r="F396" s="480"/>
      <c r="G396" s="480"/>
      <c r="H396" s="480"/>
      <c r="I396" s="480"/>
      <c r="J396" s="480"/>
      <c r="K396" s="480"/>
      <c r="L396" s="480"/>
      <c r="M396" s="480"/>
      <c r="N396" s="481"/>
    </row>
    <row r="397" spans="1:14" s="111" customFormat="1" x14ac:dyDescent="0.2">
      <c r="A397" s="116"/>
      <c r="B397" s="118" t="s">
        <v>426</v>
      </c>
      <c r="C397" s="119" t="s">
        <v>405</v>
      </c>
      <c r="D397" s="119"/>
      <c r="E397" s="120"/>
      <c r="F397" s="120"/>
      <c r="G397" s="120"/>
      <c r="H397" s="120"/>
      <c r="I397" s="120"/>
      <c r="J397" s="120"/>
      <c r="K397" s="120"/>
      <c r="L397" s="120"/>
      <c r="M397" s="120"/>
      <c r="N397" s="101"/>
    </row>
    <row r="398" spans="1:14" s="111" customFormat="1" x14ac:dyDescent="0.2">
      <c r="A398" s="116"/>
      <c r="B398" s="118" t="s">
        <v>430</v>
      </c>
      <c r="C398" s="119" t="s">
        <v>1498</v>
      </c>
      <c r="D398" s="119"/>
      <c r="E398" s="120"/>
      <c r="F398" s="120"/>
      <c r="G398" s="120"/>
      <c r="H398" s="120"/>
      <c r="I398" s="120"/>
      <c r="J398" s="120"/>
      <c r="K398" s="120"/>
      <c r="L398" s="120"/>
      <c r="M398" s="120"/>
      <c r="N398" s="101"/>
    </row>
    <row r="399" spans="1:14" s="111" customFormat="1" ht="13.5" thickBot="1" x14ac:dyDescent="0.25">
      <c r="A399" s="121"/>
      <c r="B399" s="133"/>
      <c r="C399" s="122" t="s">
        <v>406</v>
      </c>
      <c r="D399" s="122"/>
      <c r="E399" s="123"/>
      <c r="F399" s="123"/>
      <c r="G399" s="123"/>
      <c r="H399" s="123"/>
      <c r="I399" s="123"/>
      <c r="J399" s="123"/>
      <c r="K399" s="123"/>
      <c r="L399" s="123"/>
      <c r="M399" s="123"/>
      <c r="N399" s="104"/>
    </row>
    <row r="400" spans="1:14" s="111" customFormat="1" x14ac:dyDescent="0.2">
      <c r="A400" s="112"/>
      <c r="B400" s="113" t="s">
        <v>263</v>
      </c>
      <c r="C400" s="113"/>
      <c r="D400" s="113"/>
      <c r="E400" s="114"/>
      <c r="F400" s="114"/>
      <c r="G400" s="114"/>
      <c r="H400" s="114"/>
      <c r="I400" s="114"/>
      <c r="J400" s="127" t="s">
        <v>907</v>
      </c>
      <c r="K400" s="126" t="s">
        <v>1402</v>
      </c>
      <c r="L400" s="126" t="s">
        <v>1757</v>
      </c>
      <c r="M400" s="126" t="s">
        <v>1439</v>
      </c>
      <c r="N400" s="126"/>
    </row>
    <row r="401" spans="1:14" s="111" customFormat="1" ht="13.5" thickBot="1" x14ac:dyDescent="0.25">
      <c r="A401" s="121"/>
      <c r="B401" s="122"/>
      <c r="C401" s="122"/>
      <c r="D401" s="122"/>
      <c r="E401" s="123"/>
      <c r="F401" s="123"/>
      <c r="G401" s="123"/>
      <c r="H401" s="123"/>
      <c r="I401" s="123"/>
      <c r="J401" s="125"/>
      <c r="K401" s="105" t="s">
        <v>481</v>
      </c>
      <c r="L401" s="105" t="s">
        <v>341</v>
      </c>
      <c r="M401" s="105"/>
      <c r="N401" s="105"/>
    </row>
    <row r="402" spans="1:14" s="111" customFormat="1" ht="13.5" thickBot="1" x14ac:dyDescent="0.25">
      <c r="A402" s="112"/>
      <c r="B402" s="113" t="s">
        <v>67</v>
      </c>
      <c r="C402" s="113"/>
      <c r="D402" s="113"/>
      <c r="E402" s="114"/>
      <c r="F402" s="114" t="s">
        <v>1181</v>
      </c>
      <c r="G402" s="114" t="s">
        <v>68</v>
      </c>
      <c r="H402" s="114" t="s">
        <v>1184</v>
      </c>
      <c r="I402" s="114"/>
      <c r="J402" s="100">
        <f>96/ATHENS!O1*ATHENS!O2</f>
        <v>174.54545454545453</v>
      </c>
      <c r="K402" s="100">
        <f>176/ATHENS!O1*ATHENS!O2</f>
        <v>320</v>
      </c>
      <c r="L402" s="100">
        <f>256/ATHENS!O1*ATHENS!O2</f>
        <v>465.45454545454544</v>
      </c>
      <c r="M402" s="100">
        <f>375/ATHENS!O1*ATHENS!O2</f>
        <v>681.81818181818176</v>
      </c>
      <c r="N402" s="100"/>
    </row>
    <row r="403" spans="1:14" s="111" customFormat="1" ht="13.5" thickBot="1" x14ac:dyDescent="0.25">
      <c r="A403" s="121"/>
      <c r="B403" s="113" t="s">
        <v>67</v>
      </c>
      <c r="C403" s="122"/>
      <c r="D403" s="122"/>
      <c r="E403" s="123"/>
      <c r="F403" s="123" t="s">
        <v>1182</v>
      </c>
      <c r="G403" s="123" t="s">
        <v>68</v>
      </c>
      <c r="H403" s="123" t="s">
        <v>1184</v>
      </c>
      <c r="I403" s="123"/>
      <c r="J403" s="105">
        <f>144/ATHENS!O1*ATHENS!O2</f>
        <v>261.81818181818181</v>
      </c>
      <c r="K403" s="105">
        <f>240/ATHENS!O1*ATHENS!O2</f>
        <v>436.36363636363632</v>
      </c>
      <c r="L403" s="105">
        <f>336/ATHENS!O1*ATHENS!O2</f>
        <v>610.90909090909088</v>
      </c>
      <c r="M403" s="105">
        <f>487/ATHENS!O1*ATHENS!O2</f>
        <v>885.45454545454538</v>
      </c>
      <c r="N403" s="105"/>
    </row>
    <row r="404" spans="1:14" s="111" customFormat="1" ht="13.5" thickBot="1" x14ac:dyDescent="0.25">
      <c r="A404" s="108"/>
      <c r="B404" s="109"/>
      <c r="C404" s="109"/>
      <c r="D404" s="109"/>
      <c r="E404" s="110"/>
      <c r="F404" s="110"/>
      <c r="G404" s="110"/>
      <c r="H404" s="110"/>
      <c r="I404" s="110"/>
      <c r="J404" s="110"/>
      <c r="K404" s="110"/>
      <c r="L404" s="110"/>
      <c r="M404" s="110"/>
      <c r="N404" s="110"/>
    </row>
    <row r="405" spans="1:14" s="111" customFormat="1" ht="13.5" thickBot="1" x14ac:dyDescent="0.25">
      <c r="A405" s="112"/>
      <c r="B405" s="113"/>
      <c r="C405" s="113"/>
      <c r="D405" s="113"/>
      <c r="E405" s="114"/>
      <c r="F405" s="114"/>
      <c r="G405" s="114"/>
      <c r="H405" s="114"/>
      <c r="I405" s="114"/>
      <c r="J405" s="114"/>
      <c r="K405" s="114"/>
      <c r="L405" s="114"/>
      <c r="M405" s="114"/>
      <c r="N405" s="115"/>
    </row>
    <row r="406" spans="1:14" s="111" customFormat="1" ht="15.75" thickBot="1" x14ac:dyDescent="0.25">
      <c r="A406" s="116"/>
      <c r="B406" s="484" t="s">
        <v>1482</v>
      </c>
      <c r="C406" s="485"/>
      <c r="D406" s="485"/>
      <c r="E406" s="485"/>
      <c r="F406" s="485"/>
      <c r="G406" s="485"/>
      <c r="H406" s="485"/>
      <c r="I406" s="485"/>
      <c r="J406" s="485"/>
      <c r="K406" s="485"/>
      <c r="L406" s="485"/>
      <c r="M406" s="486"/>
      <c r="N406" s="117" t="s">
        <v>96</v>
      </c>
    </row>
    <row r="407" spans="1:14" s="111" customFormat="1" x14ac:dyDescent="0.2">
      <c r="A407" s="116"/>
      <c r="B407" s="118" t="s">
        <v>428</v>
      </c>
      <c r="C407" s="119" t="s">
        <v>1219</v>
      </c>
      <c r="D407" s="119"/>
      <c r="E407" s="120"/>
      <c r="F407" s="120"/>
      <c r="G407" s="120"/>
      <c r="H407" s="120"/>
      <c r="I407" s="120"/>
      <c r="J407" s="120"/>
      <c r="K407" s="120"/>
      <c r="L407" s="120"/>
      <c r="M407" s="120"/>
      <c r="N407" s="101"/>
    </row>
    <row r="408" spans="1:14" s="111" customFormat="1" x14ac:dyDescent="0.2">
      <c r="A408" s="116"/>
      <c r="B408" s="118" t="s">
        <v>429</v>
      </c>
      <c r="C408" s="119" t="s">
        <v>1157</v>
      </c>
      <c r="D408" s="119"/>
      <c r="E408" s="120"/>
      <c r="F408" s="120"/>
      <c r="G408" s="120"/>
      <c r="H408" s="120"/>
      <c r="I408" s="120"/>
      <c r="J408" s="120"/>
      <c r="K408" s="120"/>
      <c r="L408" s="120"/>
      <c r="M408" s="120"/>
      <c r="N408" s="101"/>
    </row>
    <row r="409" spans="1:14" s="111" customFormat="1" x14ac:dyDescent="0.2">
      <c r="A409" s="116"/>
      <c r="B409" s="118" t="s">
        <v>427</v>
      </c>
      <c r="C409" s="480" t="s">
        <v>1464</v>
      </c>
      <c r="D409" s="480"/>
      <c r="E409" s="480"/>
      <c r="F409" s="480"/>
      <c r="G409" s="480"/>
      <c r="H409" s="480"/>
      <c r="I409" s="480"/>
      <c r="J409" s="480"/>
      <c r="K409" s="480"/>
      <c r="L409" s="480"/>
      <c r="M409" s="480"/>
      <c r="N409" s="481"/>
    </row>
    <row r="410" spans="1:14" s="111" customFormat="1" x14ac:dyDescent="0.2">
      <c r="A410" s="116"/>
      <c r="B410" s="118"/>
      <c r="C410" s="480"/>
      <c r="D410" s="480"/>
      <c r="E410" s="480"/>
      <c r="F410" s="480"/>
      <c r="G410" s="480"/>
      <c r="H410" s="480"/>
      <c r="I410" s="480"/>
      <c r="J410" s="480"/>
      <c r="K410" s="480"/>
      <c r="L410" s="480"/>
      <c r="M410" s="480"/>
      <c r="N410" s="481"/>
    </row>
    <row r="411" spans="1:14" s="111" customFormat="1" x14ac:dyDescent="0.2">
      <c r="A411" s="116"/>
      <c r="B411" s="118"/>
      <c r="C411" s="480"/>
      <c r="D411" s="480"/>
      <c r="E411" s="480"/>
      <c r="F411" s="480"/>
      <c r="G411" s="480"/>
      <c r="H411" s="480"/>
      <c r="I411" s="480"/>
      <c r="J411" s="480"/>
      <c r="K411" s="480"/>
      <c r="L411" s="480"/>
      <c r="M411" s="480"/>
      <c r="N411" s="481"/>
    </row>
    <row r="412" spans="1:14" s="111" customFormat="1" x14ac:dyDescent="0.2">
      <c r="A412" s="116"/>
      <c r="B412" s="109"/>
      <c r="C412" s="480"/>
      <c r="D412" s="480"/>
      <c r="E412" s="480"/>
      <c r="F412" s="480"/>
      <c r="G412" s="480"/>
      <c r="H412" s="480"/>
      <c r="I412" s="480"/>
      <c r="J412" s="480"/>
      <c r="K412" s="480"/>
      <c r="L412" s="480"/>
      <c r="M412" s="480"/>
      <c r="N412" s="481"/>
    </row>
    <row r="413" spans="1:14" s="111" customFormat="1" x14ac:dyDescent="0.2">
      <c r="A413" s="116"/>
      <c r="B413" s="109"/>
      <c r="C413" s="480"/>
      <c r="D413" s="480"/>
      <c r="E413" s="480"/>
      <c r="F413" s="480"/>
      <c r="G413" s="480"/>
      <c r="H413" s="480"/>
      <c r="I413" s="480"/>
      <c r="J413" s="480"/>
      <c r="K413" s="480"/>
      <c r="L413" s="480"/>
      <c r="M413" s="480"/>
      <c r="N413" s="481"/>
    </row>
    <row r="414" spans="1:14" s="111" customFormat="1" x14ac:dyDescent="0.2">
      <c r="A414" s="116"/>
      <c r="B414" s="118" t="s">
        <v>426</v>
      </c>
      <c r="C414" s="119" t="s">
        <v>1172</v>
      </c>
      <c r="D414" s="119"/>
      <c r="E414" s="120"/>
      <c r="F414" s="120"/>
      <c r="G414" s="120"/>
      <c r="H414" s="120"/>
      <c r="I414" s="120"/>
      <c r="J414" s="120"/>
      <c r="K414" s="120"/>
      <c r="L414" s="120"/>
      <c r="M414" s="120"/>
      <c r="N414" s="101"/>
    </row>
    <row r="415" spans="1:14" s="111" customFormat="1" ht="13.5" thickBot="1" x14ac:dyDescent="0.25">
      <c r="A415" s="116"/>
      <c r="B415" s="118" t="s">
        <v>430</v>
      </c>
      <c r="C415" s="119"/>
      <c r="D415" s="119"/>
      <c r="E415" s="120"/>
      <c r="F415" s="120"/>
      <c r="G415" s="120"/>
      <c r="H415" s="120"/>
      <c r="I415" s="120"/>
      <c r="J415" s="120"/>
      <c r="K415" s="120"/>
      <c r="L415" s="120"/>
      <c r="M415" s="120"/>
      <c r="N415" s="101"/>
    </row>
    <row r="416" spans="1:14" s="111" customFormat="1" x14ac:dyDescent="0.2">
      <c r="A416" s="112"/>
      <c r="B416" s="113" t="s">
        <v>263</v>
      </c>
      <c r="C416" s="113"/>
      <c r="D416" s="113"/>
      <c r="E416" s="114"/>
      <c r="F416" s="114"/>
      <c r="G416" s="114"/>
      <c r="H416" s="114"/>
      <c r="I416" s="114"/>
      <c r="J416" s="126" t="s">
        <v>758</v>
      </c>
      <c r="K416" s="126" t="s">
        <v>279</v>
      </c>
      <c r="L416" s="126" t="s">
        <v>820</v>
      </c>
      <c r="M416" s="126"/>
      <c r="N416" s="126"/>
    </row>
    <row r="417" spans="1:14" s="111" customFormat="1" ht="13.5" thickBot="1" x14ac:dyDescent="0.25">
      <c r="A417" s="121"/>
      <c r="B417" s="122"/>
      <c r="C417" s="122"/>
      <c r="D417" s="122"/>
      <c r="E417" s="123"/>
      <c r="F417" s="123"/>
      <c r="G417" s="123"/>
      <c r="H417" s="123"/>
      <c r="I417" s="123"/>
      <c r="J417" s="105" t="s">
        <v>481</v>
      </c>
      <c r="K417" s="105" t="s">
        <v>280</v>
      </c>
      <c r="L417" s="105" t="s">
        <v>1440</v>
      </c>
      <c r="M417" s="105" t="s">
        <v>822</v>
      </c>
      <c r="N417" s="105"/>
    </row>
    <row r="418" spans="1:14" s="111" customFormat="1" x14ac:dyDescent="0.2">
      <c r="A418" s="112"/>
      <c r="B418" s="467" t="s">
        <v>67</v>
      </c>
      <c r="C418" s="467"/>
      <c r="D418" s="467"/>
      <c r="E418" s="114"/>
      <c r="F418" s="114" t="s">
        <v>1180</v>
      </c>
      <c r="G418" s="114" t="s">
        <v>68</v>
      </c>
      <c r="H418" s="114" t="s">
        <v>702</v>
      </c>
      <c r="I418" s="114"/>
      <c r="J418" s="126">
        <f>75/ATHENS!O1*ATHENS!O2</f>
        <v>136.36363636363635</v>
      </c>
      <c r="K418" s="126">
        <f>93/ATHENS!O1*ATHENS!O2</f>
        <v>169.09090909090907</v>
      </c>
      <c r="L418" s="126">
        <f>111/ATHENS!O1*ATHENS!O2</f>
        <v>201.81818181818181</v>
      </c>
      <c r="M418" s="126">
        <f>132/ATHENS!O1*ATHENS!O2</f>
        <v>239.99999999999997</v>
      </c>
      <c r="N418" s="126"/>
    </row>
    <row r="419" spans="1:14" s="111" customFormat="1" x14ac:dyDescent="0.2">
      <c r="A419" s="116"/>
      <c r="B419" s="461" t="s">
        <v>67</v>
      </c>
      <c r="C419" s="461"/>
      <c r="D419" s="461"/>
      <c r="E419" s="120"/>
      <c r="F419" s="120" t="s">
        <v>1181</v>
      </c>
      <c r="G419" s="120" t="s">
        <v>68</v>
      </c>
      <c r="H419" s="120" t="s">
        <v>702</v>
      </c>
      <c r="I419" s="120"/>
      <c r="J419" s="100">
        <f>47/ATHENS!O1*ATHENS!O2</f>
        <v>85.454545454545453</v>
      </c>
      <c r="K419" s="100">
        <f>58/ATHENS!O1*ATHENS!O2</f>
        <v>105.45454545454544</v>
      </c>
      <c r="L419" s="100">
        <f>69.5/ATHENS!O1*ATHENS!O2</f>
        <v>126.36363636363636</v>
      </c>
      <c r="M419" s="100">
        <f>82.5/ATHENS!O1*ATHENS!O2</f>
        <v>150</v>
      </c>
      <c r="N419" s="100"/>
    </row>
    <row r="420" spans="1:14" s="111" customFormat="1" ht="13.5" thickBot="1" x14ac:dyDescent="0.25">
      <c r="A420" s="121"/>
      <c r="B420" s="460" t="s">
        <v>67</v>
      </c>
      <c r="C420" s="460"/>
      <c r="D420" s="460"/>
      <c r="E420" s="123"/>
      <c r="F420" s="123" t="s">
        <v>1182</v>
      </c>
      <c r="G420" s="123" t="s">
        <v>68</v>
      </c>
      <c r="H420" s="123" t="s">
        <v>702</v>
      </c>
      <c r="I420" s="123"/>
      <c r="J420" s="105">
        <f>42.5/ATHENS!O1*ATHENS!O2</f>
        <v>77.272727272727266</v>
      </c>
      <c r="K420" s="105">
        <f>52.5/ATHENS!O1*ATHENS!O2</f>
        <v>95.454545454545453</v>
      </c>
      <c r="L420" s="105">
        <f>62.5/ATHENS!O1*ATHENS!O2</f>
        <v>113.63636363636363</v>
      </c>
      <c r="M420" s="105">
        <f>74.5/ATHENS!O1*ATHENS!O2</f>
        <v>135.45454545454544</v>
      </c>
      <c r="N420" s="105"/>
    </row>
    <row r="421" spans="1:14" s="111" customFormat="1" ht="13.5" thickBot="1" x14ac:dyDescent="0.25">
      <c r="A421" s="108"/>
      <c r="B421" s="109"/>
      <c r="C421" s="109"/>
      <c r="D421" s="109"/>
      <c r="E421" s="110"/>
      <c r="F421" s="110"/>
      <c r="G421" s="110"/>
      <c r="H421" s="110"/>
      <c r="I421" s="110"/>
      <c r="J421" s="110"/>
      <c r="K421" s="110"/>
      <c r="L421" s="110"/>
      <c r="M421" s="110"/>
      <c r="N421" s="110"/>
    </row>
    <row r="422" spans="1:14" s="111" customFormat="1" ht="13.5" thickBot="1" x14ac:dyDescent="0.25">
      <c r="A422" s="112"/>
      <c r="B422" s="113"/>
      <c r="C422" s="113"/>
      <c r="D422" s="113"/>
      <c r="E422" s="114"/>
      <c r="F422" s="114"/>
      <c r="G422" s="114"/>
      <c r="H422" s="114"/>
      <c r="I422" s="114"/>
      <c r="J422" s="114"/>
      <c r="K422" s="114"/>
      <c r="L422" s="114"/>
      <c r="M422" s="114"/>
      <c r="N422" s="115"/>
    </row>
    <row r="423" spans="1:14" s="111" customFormat="1" ht="15.75" thickBot="1" x14ac:dyDescent="0.25">
      <c r="A423" s="116"/>
      <c r="B423" s="484" t="s">
        <v>648</v>
      </c>
      <c r="C423" s="485"/>
      <c r="D423" s="485"/>
      <c r="E423" s="485"/>
      <c r="F423" s="485"/>
      <c r="G423" s="485"/>
      <c r="H423" s="485"/>
      <c r="I423" s="485"/>
      <c r="J423" s="485"/>
      <c r="K423" s="485"/>
      <c r="L423" s="485"/>
      <c r="M423" s="486"/>
      <c r="N423" s="117" t="s">
        <v>96</v>
      </c>
    </row>
    <row r="424" spans="1:14" s="111" customFormat="1" x14ac:dyDescent="0.2">
      <c r="A424" s="116"/>
      <c r="B424" s="118" t="s">
        <v>428</v>
      </c>
      <c r="C424" s="119" t="s">
        <v>1474</v>
      </c>
      <c r="D424" s="119"/>
      <c r="E424" s="120"/>
      <c r="F424" s="120"/>
      <c r="G424" s="120"/>
      <c r="H424" s="120"/>
      <c r="I424" s="120"/>
      <c r="J424" s="120"/>
      <c r="K424" s="120"/>
      <c r="L424" s="120"/>
      <c r="M424" s="120"/>
      <c r="N424" s="101"/>
    </row>
    <row r="425" spans="1:14" s="111" customFormat="1" x14ac:dyDescent="0.2">
      <c r="A425" s="116"/>
      <c r="B425" s="118" t="s">
        <v>429</v>
      </c>
      <c r="C425" s="119" t="s">
        <v>164</v>
      </c>
      <c r="D425" s="119"/>
      <c r="E425" s="120"/>
      <c r="F425" s="120"/>
      <c r="G425" s="120"/>
      <c r="H425" s="120"/>
      <c r="I425" s="120"/>
      <c r="J425" s="120"/>
      <c r="K425" s="120"/>
      <c r="L425" s="120"/>
      <c r="M425" s="120"/>
      <c r="N425" s="101"/>
    </row>
    <row r="426" spans="1:14" s="111" customFormat="1" x14ac:dyDescent="0.2">
      <c r="A426" s="116"/>
      <c r="B426" s="118" t="s">
        <v>427</v>
      </c>
      <c r="C426" s="480" t="s">
        <v>1465</v>
      </c>
      <c r="D426" s="480"/>
      <c r="E426" s="480"/>
      <c r="F426" s="480"/>
      <c r="G426" s="480"/>
      <c r="H426" s="480"/>
      <c r="I426" s="480"/>
      <c r="J426" s="480"/>
      <c r="K426" s="480"/>
      <c r="L426" s="480"/>
      <c r="M426" s="480"/>
      <c r="N426" s="481"/>
    </row>
    <row r="427" spans="1:14" s="111" customFormat="1" x14ac:dyDescent="0.2">
      <c r="A427" s="116"/>
      <c r="B427" s="118"/>
      <c r="C427" s="480"/>
      <c r="D427" s="480"/>
      <c r="E427" s="480"/>
      <c r="F427" s="480"/>
      <c r="G427" s="480"/>
      <c r="H427" s="480"/>
      <c r="I427" s="480"/>
      <c r="J427" s="480"/>
      <c r="K427" s="480"/>
      <c r="L427" s="480"/>
      <c r="M427" s="480"/>
      <c r="N427" s="481"/>
    </row>
    <row r="428" spans="1:14" s="111" customFormat="1" x14ac:dyDescent="0.2">
      <c r="A428" s="116"/>
      <c r="B428" s="109"/>
      <c r="C428" s="480"/>
      <c r="D428" s="480"/>
      <c r="E428" s="480"/>
      <c r="F428" s="480"/>
      <c r="G428" s="480"/>
      <c r="H428" s="480"/>
      <c r="I428" s="480"/>
      <c r="J428" s="480"/>
      <c r="K428" s="480"/>
      <c r="L428" s="480"/>
      <c r="M428" s="480"/>
      <c r="N428" s="481"/>
    </row>
    <row r="429" spans="1:14" s="111" customFormat="1" x14ac:dyDescent="0.2">
      <c r="A429" s="116"/>
      <c r="B429" s="118" t="s">
        <v>426</v>
      </c>
      <c r="C429" s="119" t="s">
        <v>419</v>
      </c>
      <c r="D429" s="119"/>
      <c r="E429" s="120"/>
      <c r="F429" s="120"/>
      <c r="G429" s="120"/>
      <c r="H429" s="120"/>
      <c r="I429" s="120"/>
      <c r="J429" s="120"/>
      <c r="K429" s="120"/>
      <c r="L429" s="120"/>
      <c r="M429" s="120"/>
      <c r="N429" s="101"/>
    </row>
    <row r="430" spans="1:14" s="111" customFormat="1" ht="13.5" thickBot="1" x14ac:dyDescent="0.25">
      <c r="A430" s="116"/>
      <c r="B430" s="118" t="s">
        <v>430</v>
      </c>
      <c r="C430" s="119"/>
      <c r="D430" s="119"/>
      <c r="E430" s="120"/>
      <c r="F430" s="120"/>
      <c r="G430" s="120"/>
      <c r="H430" s="120"/>
      <c r="I430" s="120"/>
      <c r="J430" s="120"/>
      <c r="K430" s="120"/>
      <c r="L430" s="120"/>
      <c r="M430" s="120"/>
      <c r="N430" s="101"/>
    </row>
    <row r="431" spans="1:14" s="111" customFormat="1" x14ac:dyDescent="0.2">
      <c r="A431" s="112"/>
      <c r="B431" s="113" t="s">
        <v>263</v>
      </c>
      <c r="C431" s="113"/>
      <c r="D431" s="113"/>
      <c r="E431" s="114"/>
      <c r="F431" s="114"/>
      <c r="G431" s="114"/>
      <c r="H431" s="114"/>
      <c r="I431" s="114"/>
      <c r="J431" s="126" t="s">
        <v>1971</v>
      </c>
      <c r="K431" s="126"/>
      <c r="L431" s="126" t="s">
        <v>2117</v>
      </c>
      <c r="M431" s="126"/>
      <c r="N431" s="126"/>
    </row>
    <row r="432" spans="1:14" s="111" customFormat="1" ht="13.5" thickBot="1" x14ac:dyDescent="0.25">
      <c r="A432" s="121"/>
      <c r="B432" s="122"/>
      <c r="C432" s="122"/>
      <c r="D432" s="122"/>
      <c r="E432" s="123"/>
      <c r="F432" s="123"/>
      <c r="G432" s="123"/>
      <c r="H432" s="123"/>
      <c r="I432" s="123"/>
      <c r="J432" s="105" t="s">
        <v>756</v>
      </c>
      <c r="K432" s="105" t="s">
        <v>2116</v>
      </c>
      <c r="L432" s="105" t="s">
        <v>2118</v>
      </c>
      <c r="M432" s="105" t="s">
        <v>2119</v>
      </c>
      <c r="N432" s="105"/>
    </row>
    <row r="433" spans="1:14" s="111" customFormat="1" x14ac:dyDescent="0.2">
      <c r="A433" s="112"/>
      <c r="B433" s="467" t="s">
        <v>67</v>
      </c>
      <c r="C433" s="467"/>
      <c r="D433" s="467"/>
      <c r="E433" s="114"/>
      <c r="F433" s="114" t="s">
        <v>1180</v>
      </c>
      <c r="G433" s="114" t="s">
        <v>68</v>
      </c>
      <c r="H433" s="114" t="s">
        <v>702</v>
      </c>
      <c r="I433" s="114"/>
      <c r="J433" s="126">
        <f>68.8/ATHENS!O1*ATHENS!O2</f>
        <v>125.09090909090908</v>
      </c>
      <c r="K433" s="126">
        <f>126.5/ATHENS!O1*ATHENS!O2</f>
        <v>229.99999999999997</v>
      </c>
      <c r="L433" s="126">
        <f>158.7/ATHENS!O1*ATHENS!O2</f>
        <v>288.5454545454545</v>
      </c>
      <c r="M433" s="126">
        <f>179.5/ATHENS!O1*ATHENS!O2</f>
        <v>326.36363636363632</v>
      </c>
      <c r="N433" s="126"/>
    </row>
    <row r="434" spans="1:14" s="111" customFormat="1" x14ac:dyDescent="0.2">
      <c r="A434" s="116"/>
      <c r="B434" s="461" t="s">
        <v>67</v>
      </c>
      <c r="C434" s="461"/>
      <c r="D434" s="461"/>
      <c r="E434" s="120"/>
      <c r="F434" s="120" t="s">
        <v>1181</v>
      </c>
      <c r="G434" s="120" t="s">
        <v>68</v>
      </c>
      <c r="H434" s="120" t="s">
        <v>702</v>
      </c>
      <c r="I434" s="120"/>
      <c r="J434" s="100">
        <f>45.7/ATHENS!O1*ATHENS!O2</f>
        <v>83.090909090909093</v>
      </c>
      <c r="K434" s="100">
        <f>73.5/ATHENS!O1*ATHENS!O2</f>
        <v>133.63636363636363</v>
      </c>
      <c r="L434" s="100">
        <f>93.5/ATHENS!O1*ATHENS!O2</f>
        <v>170</v>
      </c>
      <c r="M434" s="100">
        <f>104.5/ATHENS!O1*ATHENS!O2</f>
        <v>189.99999999999997</v>
      </c>
      <c r="N434" s="100"/>
    </row>
    <row r="435" spans="1:14" s="111" customFormat="1" x14ac:dyDescent="0.2">
      <c r="A435" s="116"/>
      <c r="B435" s="461" t="s">
        <v>67</v>
      </c>
      <c r="C435" s="461"/>
      <c r="D435" s="461"/>
      <c r="E435" s="120"/>
      <c r="F435" s="120" t="s">
        <v>1182</v>
      </c>
      <c r="G435" s="120" t="s">
        <v>68</v>
      </c>
      <c r="H435" s="120" t="s">
        <v>702</v>
      </c>
      <c r="I435" s="120"/>
      <c r="J435" s="100">
        <f>42.8/ATHENS!O1*ATHENS!O2</f>
        <v>77.818181818181813</v>
      </c>
      <c r="K435" s="100">
        <f>62.9/ATHENS!O1*ATHENS!O2</f>
        <v>114.36363636363635</v>
      </c>
      <c r="L435" s="100">
        <f>76.5/ATHENS!O1*ATHENS!O2</f>
        <v>139.09090909090909</v>
      </c>
      <c r="M435" s="100">
        <f>85.5/ATHENS!O1*ATHENS!O2</f>
        <v>155.45454545454544</v>
      </c>
      <c r="N435" s="100"/>
    </row>
    <row r="436" spans="1:14" s="111" customFormat="1" x14ac:dyDescent="0.2">
      <c r="A436" s="116"/>
      <c r="B436" s="461" t="s">
        <v>760</v>
      </c>
      <c r="C436" s="461"/>
      <c r="D436" s="461"/>
      <c r="E436" s="120"/>
      <c r="F436" s="120" t="s">
        <v>1181</v>
      </c>
      <c r="G436" s="120" t="s">
        <v>68</v>
      </c>
      <c r="H436" s="120" t="s">
        <v>702</v>
      </c>
      <c r="I436" s="120"/>
      <c r="J436" s="100">
        <f>60.5/ATHENS!O1*ATHENS!O2</f>
        <v>109.99999999999999</v>
      </c>
      <c r="K436" s="100">
        <f>92.9/ATHENS!O1*ATHENS!O2</f>
        <v>168.90909090909091</v>
      </c>
      <c r="L436" s="100">
        <f>113.5/ATHENS!O1*ATHENS!O2</f>
        <v>206.36363636363635</v>
      </c>
      <c r="M436" s="100">
        <f>130.5/ATHENS!O1*ATHENS!O2</f>
        <v>237.27272727272725</v>
      </c>
      <c r="N436" s="100"/>
    </row>
    <row r="437" spans="1:14" s="111" customFormat="1" ht="13.5" thickBot="1" x14ac:dyDescent="0.25">
      <c r="A437" s="121"/>
      <c r="B437" s="460" t="s">
        <v>902</v>
      </c>
      <c r="C437" s="460"/>
      <c r="D437" s="460"/>
      <c r="E437" s="123"/>
      <c r="F437" s="123"/>
      <c r="G437" s="123"/>
      <c r="H437" s="123"/>
      <c r="I437" s="123"/>
      <c r="J437" s="105">
        <f>18/ATHENS!O1*ATHENS!O2</f>
        <v>32.727272727272727</v>
      </c>
      <c r="K437" s="105">
        <f>18/ATHENS!O1*ATHENS!O2</f>
        <v>32.727272727272727</v>
      </c>
      <c r="L437" s="105">
        <f>18/ATHENS!O1*ATHENS!O2</f>
        <v>32.727272727272727</v>
      </c>
      <c r="M437" s="100">
        <f>18/ATHENS!O1*ATHENS!O2</f>
        <v>32.727272727272727</v>
      </c>
      <c r="N437" s="105"/>
    </row>
    <row r="438" spans="1:14" s="111" customFormat="1" ht="13.5" thickBot="1" x14ac:dyDescent="0.25">
      <c r="A438" s="108"/>
      <c r="B438" s="109"/>
      <c r="C438" s="109"/>
      <c r="D438" s="109"/>
      <c r="E438" s="110"/>
      <c r="F438" s="110"/>
      <c r="G438" s="110"/>
      <c r="H438" s="110"/>
      <c r="I438" s="110"/>
      <c r="J438" s="110"/>
      <c r="K438" s="110"/>
      <c r="L438" s="110"/>
      <c r="M438" s="110"/>
      <c r="N438" s="110"/>
    </row>
    <row r="439" spans="1:14" s="111" customFormat="1" ht="13.5" thickBot="1" x14ac:dyDescent="0.25">
      <c r="A439" s="112"/>
      <c r="B439" s="113"/>
      <c r="C439" s="113"/>
      <c r="D439" s="113"/>
      <c r="E439" s="114"/>
      <c r="F439" s="114"/>
      <c r="G439" s="114"/>
      <c r="H439" s="114"/>
      <c r="I439" s="114"/>
      <c r="J439" s="114"/>
      <c r="K439" s="114"/>
      <c r="L439" s="114"/>
      <c r="M439" s="114"/>
      <c r="N439" s="115"/>
    </row>
    <row r="440" spans="1:14" s="111" customFormat="1" ht="15.75" thickBot="1" x14ac:dyDescent="0.25">
      <c r="A440" s="116"/>
      <c r="B440" s="484" t="s">
        <v>204</v>
      </c>
      <c r="C440" s="485"/>
      <c r="D440" s="485"/>
      <c r="E440" s="485"/>
      <c r="F440" s="485"/>
      <c r="G440" s="485"/>
      <c r="H440" s="485"/>
      <c r="I440" s="485"/>
      <c r="J440" s="485"/>
      <c r="K440" s="485"/>
      <c r="L440" s="485"/>
      <c r="M440" s="486"/>
      <c r="N440" s="117" t="s">
        <v>96</v>
      </c>
    </row>
    <row r="441" spans="1:14" s="111" customFormat="1" x14ac:dyDescent="0.2">
      <c r="A441" s="116"/>
      <c r="B441" s="118" t="s">
        <v>428</v>
      </c>
      <c r="C441" s="119" t="s">
        <v>422</v>
      </c>
      <c r="D441" s="119"/>
      <c r="E441" s="120"/>
      <c r="F441" s="120"/>
      <c r="G441" s="120"/>
      <c r="H441" s="120"/>
      <c r="I441" s="120"/>
      <c r="J441" s="120"/>
      <c r="K441" s="120"/>
      <c r="L441" s="120"/>
      <c r="M441" s="120"/>
      <c r="N441" s="101"/>
    </row>
    <row r="442" spans="1:14" s="111" customFormat="1" x14ac:dyDescent="0.2">
      <c r="A442" s="116"/>
      <c r="B442" s="118" t="s">
        <v>429</v>
      </c>
      <c r="C442" s="119" t="s">
        <v>1083</v>
      </c>
      <c r="D442" s="119"/>
      <c r="E442" s="120"/>
      <c r="F442" s="120"/>
      <c r="G442" s="120"/>
      <c r="H442" s="120"/>
      <c r="I442" s="120"/>
      <c r="J442" s="120"/>
      <c r="K442" s="120"/>
      <c r="L442" s="120"/>
      <c r="M442" s="120"/>
      <c r="N442" s="101"/>
    </row>
    <row r="443" spans="1:14" s="111" customFormat="1" x14ac:dyDescent="0.2">
      <c r="A443" s="116"/>
      <c r="B443" s="118" t="s">
        <v>427</v>
      </c>
      <c r="C443" s="480" t="s">
        <v>306</v>
      </c>
      <c r="D443" s="480"/>
      <c r="E443" s="480"/>
      <c r="F443" s="480"/>
      <c r="G443" s="480"/>
      <c r="H443" s="480"/>
      <c r="I443" s="480"/>
      <c r="J443" s="480"/>
      <c r="K443" s="480"/>
      <c r="L443" s="480"/>
      <c r="M443" s="480"/>
      <c r="N443" s="481"/>
    </row>
    <row r="444" spans="1:14" s="111" customFormat="1" x14ac:dyDescent="0.2">
      <c r="A444" s="116"/>
      <c r="B444" s="118"/>
      <c r="C444" s="480"/>
      <c r="D444" s="480"/>
      <c r="E444" s="480"/>
      <c r="F444" s="480"/>
      <c r="G444" s="480"/>
      <c r="H444" s="480"/>
      <c r="I444" s="480"/>
      <c r="J444" s="480"/>
      <c r="K444" s="480"/>
      <c r="L444" s="480"/>
      <c r="M444" s="480"/>
      <c r="N444" s="481"/>
    </row>
    <row r="445" spans="1:14" s="111" customFormat="1" x14ac:dyDescent="0.2">
      <c r="A445" s="116"/>
      <c r="B445" s="118"/>
      <c r="C445" s="480"/>
      <c r="D445" s="480"/>
      <c r="E445" s="480"/>
      <c r="F445" s="480"/>
      <c r="G445" s="480"/>
      <c r="H445" s="480"/>
      <c r="I445" s="480"/>
      <c r="J445" s="480"/>
      <c r="K445" s="480"/>
      <c r="L445" s="480"/>
      <c r="M445" s="480"/>
      <c r="N445" s="481"/>
    </row>
    <row r="446" spans="1:14" s="111" customFormat="1" x14ac:dyDescent="0.2">
      <c r="A446" s="116"/>
      <c r="B446" s="118"/>
      <c r="C446" s="480"/>
      <c r="D446" s="480"/>
      <c r="E446" s="480"/>
      <c r="F446" s="480"/>
      <c r="G446" s="480"/>
      <c r="H446" s="480"/>
      <c r="I446" s="480"/>
      <c r="J446" s="480"/>
      <c r="K446" s="480"/>
      <c r="L446" s="480"/>
      <c r="M446" s="480"/>
      <c r="N446" s="481"/>
    </row>
    <row r="447" spans="1:14" s="111" customFormat="1" x14ac:dyDescent="0.2">
      <c r="A447" s="116"/>
      <c r="B447" s="118"/>
      <c r="C447" s="480"/>
      <c r="D447" s="480"/>
      <c r="E447" s="480"/>
      <c r="F447" s="480"/>
      <c r="G447" s="480"/>
      <c r="H447" s="480"/>
      <c r="I447" s="480"/>
      <c r="J447" s="480"/>
      <c r="K447" s="480"/>
      <c r="L447" s="480"/>
      <c r="M447" s="480"/>
      <c r="N447" s="481"/>
    </row>
    <row r="448" spans="1:14" s="111" customFormat="1" x14ac:dyDescent="0.2">
      <c r="A448" s="116"/>
      <c r="B448" s="118"/>
      <c r="C448" s="480"/>
      <c r="D448" s="480"/>
      <c r="E448" s="480"/>
      <c r="F448" s="480"/>
      <c r="G448" s="480"/>
      <c r="H448" s="480"/>
      <c r="I448" s="480"/>
      <c r="J448" s="480"/>
      <c r="K448" s="480"/>
      <c r="L448" s="480"/>
      <c r="M448" s="480"/>
      <c r="N448" s="481"/>
    </row>
    <row r="449" spans="1:14" s="111" customFormat="1" x14ac:dyDescent="0.2">
      <c r="A449" s="116"/>
      <c r="B449" s="118"/>
      <c r="C449" s="480"/>
      <c r="D449" s="480"/>
      <c r="E449" s="480"/>
      <c r="F449" s="480"/>
      <c r="G449" s="480"/>
      <c r="H449" s="480"/>
      <c r="I449" s="480"/>
      <c r="J449" s="480"/>
      <c r="K449" s="480"/>
      <c r="L449" s="480"/>
      <c r="M449" s="480"/>
      <c r="N449" s="481"/>
    </row>
    <row r="450" spans="1:14" s="111" customFormat="1" x14ac:dyDescent="0.2">
      <c r="A450" s="116"/>
      <c r="B450" s="118"/>
      <c r="C450" s="480"/>
      <c r="D450" s="480"/>
      <c r="E450" s="480"/>
      <c r="F450" s="480"/>
      <c r="G450" s="480"/>
      <c r="H450" s="480"/>
      <c r="I450" s="480"/>
      <c r="J450" s="480"/>
      <c r="K450" s="480"/>
      <c r="L450" s="480"/>
      <c r="M450" s="480"/>
      <c r="N450" s="481"/>
    </row>
    <row r="451" spans="1:14" s="111" customFormat="1" x14ac:dyDescent="0.2">
      <c r="A451" s="116"/>
      <c r="B451" s="109"/>
      <c r="C451" s="480"/>
      <c r="D451" s="480"/>
      <c r="E451" s="480"/>
      <c r="F451" s="480"/>
      <c r="G451" s="480"/>
      <c r="H451" s="480"/>
      <c r="I451" s="480"/>
      <c r="J451" s="480"/>
      <c r="K451" s="480"/>
      <c r="L451" s="480"/>
      <c r="M451" s="480"/>
      <c r="N451" s="481"/>
    </row>
    <row r="452" spans="1:14" s="111" customFormat="1" x14ac:dyDescent="0.2">
      <c r="A452" s="116"/>
      <c r="B452" s="118" t="s">
        <v>426</v>
      </c>
      <c r="C452" s="119"/>
      <c r="D452" s="119"/>
      <c r="E452" s="120"/>
      <c r="F452" s="120"/>
      <c r="G452" s="120"/>
      <c r="H452" s="120"/>
      <c r="I452" s="120"/>
      <c r="J452" s="120"/>
      <c r="K452" s="120"/>
      <c r="L452" s="120"/>
      <c r="M452" s="120"/>
      <c r="N452" s="101"/>
    </row>
    <row r="453" spans="1:14" s="111" customFormat="1" ht="13.5" thickBot="1" x14ac:dyDescent="0.25">
      <c r="A453" s="116"/>
      <c r="B453" s="118" t="s">
        <v>430</v>
      </c>
      <c r="C453" s="119"/>
      <c r="D453" s="119"/>
      <c r="E453" s="120"/>
      <c r="F453" s="120"/>
      <c r="G453" s="120"/>
      <c r="H453" s="120"/>
      <c r="I453" s="120"/>
      <c r="J453" s="120"/>
      <c r="K453" s="120"/>
      <c r="L453" s="120"/>
      <c r="M453" s="120"/>
      <c r="N453" s="101"/>
    </row>
    <row r="454" spans="1:14" s="111" customFormat="1" x14ac:dyDescent="0.2">
      <c r="A454" s="112"/>
      <c r="B454" s="113" t="s">
        <v>263</v>
      </c>
      <c r="C454" s="113"/>
      <c r="D454" s="113"/>
      <c r="E454" s="114"/>
      <c r="F454" s="114"/>
      <c r="G454" s="114"/>
      <c r="H454" s="114"/>
      <c r="I454" s="114"/>
      <c r="J454" s="126" t="s">
        <v>1596</v>
      </c>
      <c r="K454" s="126"/>
      <c r="L454" s="126" t="s">
        <v>1399</v>
      </c>
      <c r="M454" s="126"/>
      <c r="N454" s="126"/>
    </row>
    <row r="455" spans="1:14" s="111" customFormat="1" ht="13.5" thickBot="1" x14ac:dyDescent="0.25">
      <c r="A455" s="121"/>
      <c r="B455" s="122"/>
      <c r="C455" s="122"/>
      <c r="D455" s="122"/>
      <c r="E455" s="123"/>
      <c r="F455" s="123"/>
      <c r="G455" s="123"/>
      <c r="H455" s="123"/>
      <c r="I455" s="123"/>
      <c r="J455" s="105" t="s">
        <v>481</v>
      </c>
      <c r="K455" s="105" t="s">
        <v>2120</v>
      </c>
      <c r="L455" s="105" t="s">
        <v>81</v>
      </c>
      <c r="M455" s="105" t="s">
        <v>1419</v>
      </c>
      <c r="N455" s="105"/>
    </row>
    <row r="456" spans="1:14" s="111" customFormat="1" x14ac:dyDescent="0.2">
      <c r="A456" s="112"/>
      <c r="B456" s="467" t="s">
        <v>522</v>
      </c>
      <c r="C456" s="467"/>
      <c r="D456" s="467"/>
      <c r="E456" s="114"/>
      <c r="F456" s="114" t="s">
        <v>518</v>
      </c>
      <c r="G456" s="114" t="s">
        <v>68</v>
      </c>
      <c r="H456" s="114" t="s">
        <v>702</v>
      </c>
      <c r="I456" s="114"/>
      <c r="J456" s="126">
        <f>61.7/ATHENS!O1*ATHENS!O2</f>
        <v>112.18181818181817</v>
      </c>
      <c r="K456" s="126">
        <f>117.7/ATHENS!O1*ATHENS!O2</f>
        <v>214</v>
      </c>
      <c r="L456" s="126">
        <f>151.8/ATHENS!O1*ATHENS!O2</f>
        <v>276</v>
      </c>
      <c r="M456" s="126">
        <f>193.9/ATHENS!O1*ATHENS!O2</f>
        <v>352.5454545454545</v>
      </c>
      <c r="N456" s="126"/>
    </row>
    <row r="457" spans="1:14" s="111" customFormat="1" ht="13.5" thickBot="1" x14ac:dyDescent="0.25">
      <c r="A457" s="121"/>
      <c r="B457" s="460" t="s">
        <v>285</v>
      </c>
      <c r="C457" s="460"/>
      <c r="D457" s="460"/>
      <c r="E457" s="123"/>
      <c r="F457" s="123" t="s">
        <v>518</v>
      </c>
      <c r="G457" s="123" t="s">
        <v>68</v>
      </c>
      <c r="H457" s="123" t="s">
        <v>702</v>
      </c>
      <c r="I457" s="123"/>
      <c r="J457" s="105">
        <f>78.5/ATHENS!O1*ATHENS!O2</f>
        <v>142.72727272727272</v>
      </c>
      <c r="K457" s="105">
        <f>138.5/ATHENS!O1*ATHENS!O2</f>
        <v>251.81818181818178</v>
      </c>
      <c r="L457" s="105">
        <f>181.5/ATHENS!O1*ATHENS!O2</f>
        <v>330</v>
      </c>
      <c r="M457" s="105">
        <f>236.5/ATHENS!O1*ATHENS!O2</f>
        <v>429.99999999999994</v>
      </c>
      <c r="N457" s="105"/>
    </row>
    <row r="458" spans="1:14" s="111" customFormat="1" ht="13.5" thickBot="1" x14ac:dyDescent="0.25">
      <c r="A458" s="108"/>
      <c r="B458" s="109"/>
      <c r="C458" s="109"/>
      <c r="D458" s="109"/>
      <c r="E458" s="110"/>
      <c r="F458" s="110"/>
      <c r="G458" s="110"/>
      <c r="H458" s="110"/>
      <c r="I458" s="110"/>
      <c r="J458" s="110"/>
      <c r="K458" s="110"/>
      <c r="L458" s="110"/>
      <c r="M458" s="110"/>
      <c r="N458" s="110"/>
    </row>
    <row r="459" spans="1:14" s="111" customFormat="1" ht="13.5" thickBot="1" x14ac:dyDescent="0.25">
      <c r="A459" s="112"/>
      <c r="B459" s="113"/>
      <c r="C459" s="113"/>
      <c r="D459" s="113"/>
      <c r="E459" s="114"/>
      <c r="F459" s="114"/>
      <c r="G459" s="114"/>
      <c r="H459" s="114"/>
      <c r="I459" s="114"/>
      <c r="J459" s="114"/>
      <c r="K459" s="114"/>
      <c r="L459" s="114"/>
      <c r="M459" s="114"/>
      <c r="N459" s="115"/>
    </row>
    <row r="460" spans="1:14" s="111" customFormat="1" ht="15.75" thickBot="1" x14ac:dyDescent="0.25">
      <c r="A460" s="116"/>
      <c r="B460" s="484" t="s">
        <v>557</v>
      </c>
      <c r="C460" s="485"/>
      <c r="D460" s="485"/>
      <c r="E460" s="485"/>
      <c r="F460" s="485"/>
      <c r="G460" s="485"/>
      <c r="H460" s="485"/>
      <c r="I460" s="485"/>
      <c r="J460" s="485"/>
      <c r="K460" s="485"/>
      <c r="L460" s="485"/>
      <c r="M460" s="486"/>
      <c r="N460" s="117" t="s">
        <v>96</v>
      </c>
    </row>
    <row r="461" spans="1:14" s="111" customFormat="1" x14ac:dyDescent="0.2">
      <c r="A461" s="116"/>
      <c r="B461" s="118" t="s">
        <v>428</v>
      </c>
      <c r="C461" s="119" t="s">
        <v>1346</v>
      </c>
      <c r="D461" s="119"/>
      <c r="E461" s="120"/>
      <c r="F461" s="120"/>
      <c r="G461" s="120"/>
      <c r="H461" s="120"/>
      <c r="I461" s="120"/>
      <c r="J461" s="120"/>
      <c r="K461" s="120"/>
      <c r="L461" s="120"/>
      <c r="M461" s="120"/>
      <c r="N461" s="101"/>
    </row>
    <row r="462" spans="1:14" s="111" customFormat="1" x14ac:dyDescent="0.2">
      <c r="A462" s="116"/>
      <c r="B462" s="118" t="s">
        <v>429</v>
      </c>
      <c r="C462" s="119" t="s">
        <v>307</v>
      </c>
      <c r="D462" s="119"/>
      <c r="E462" s="120"/>
      <c r="F462" s="120"/>
      <c r="G462" s="120"/>
      <c r="H462" s="120"/>
      <c r="I462" s="120"/>
      <c r="J462" s="120"/>
      <c r="K462" s="120"/>
      <c r="L462" s="120"/>
      <c r="M462" s="120"/>
      <c r="N462" s="101"/>
    </row>
    <row r="463" spans="1:14" s="111" customFormat="1" x14ac:dyDescent="0.2">
      <c r="A463" s="116"/>
      <c r="B463" s="118" t="s">
        <v>427</v>
      </c>
      <c r="C463" s="480" t="s">
        <v>1613</v>
      </c>
      <c r="D463" s="480"/>
      <c r="E463" s="480"/>
      <c r="F463" s="480"/>
      <c r="G463" s="480"/>
      <c r="H463" s="480"/>
      <c r="I463" s="480"/>
      <c r="J463" s="480"/>
      <c r="K463" s="480"/>
      <c r="L463" s="480"/>
      <c r="M463" s="480"/>
      <c r="N463" s="481"/>
    </row>
    <row r="464" spans="1:14" s="111" customFormat="1" x14ac:dyDescent="0.2">
      <c r="A464" s="116"/>
      <c r="B464" s="118"/>
      <c r="C464" s="480"/>
      <c r="D464" s="480"/>
      <c r="E464" s="480"/>
      <c r="F464" s="480"/>
      <c r="G464" s="480"/>
      <c r="H464" s="480"/>
      <c r="I464" s="480"/>
      <c r="J464" s="480"/>
      <c r="K464" s="480"/>
      <c r="L464" s="480"/>
      <c r="M464" s="480"/>
      <c r="N464" s="481"/>
    </row>
    <row r="465" spans="1:14" s="111" customFormat="1" x14ac:dyDescent="0.2">
      <c r="A465" s="116"/>
      <c r="B465" s="118"/>
      <c r="C465" s="480"/>
      <c r="D465" s="480"/>
      <c r="E465" s="480"/>
      <c r="F465" s="480"/>
      <c r="G465" s="480"/>
      <c r="H465" s="480"/>
      <c r="I465" s="480"/>
      <c r="J465" s="480"/>
      <c r="K465" s="480"/>
      <c r="L465" s="480"/>
      <c r="M465" s="480"/>
      <c r="N465" s="481"/>
    </row>
    <row r="466" spans="1:14" s="111" customFormat="1" x14ac:dyDescent="0.2">
      <c r="A466" s="116"/>
      <c r="B466" s="118" t="s">
        <v>426</v>
      </c>
      <c r="C466" s="119"/>
      <c r="D466" s="119"/>
      <c r="E466" s="120"/>
      <c r="F466" s="120"/>
      <c r="G466" s="120"/>
      <c r="H466" s="120"/>
      <c r="I466" s="120"/>
      <c r="J466" s="120"/>
      <c r="K466" s="120"/>
      <c r="L466" s="120"/>
      <c r="M466" s="120"/>
      <c r="N466" s="101"/>
    </row>
    <row r="467" spans="1:14" s="111" customFormat="1" ht="13.5" thickBot="1" x14ac:dyDescent="0.25">
      <c r="A467" s="116"/>
      <c r="B467" s="118" t="s">
        <v>430</v>
      </c>
      <c r="C467" s="119"/>
      <c r="D467" s="119"/>
      <c r="E467" s="120"/>
      <c r="F467" s="120"/>
      <c r="G467" s="120"/>
      <c r="H467" s="120"/>
      <c r="I467" s="120"/>
      <c r="J467" s="120"/>
      <c r="K467" s="120"/>
      <c r="L467" s="120"/>
      <c r="M467" s="120"/>
      <c r="N467" s="101"/>
    </row>
    <row r="468" spans="1:14" s="111" customFormat="1" x14ac:dyDescent="0.2">
      <c r="A468" s="112"/>
      <c r="B468" s="113" t="s">
        <v>263</v>
      </c>
      <c r="C468" s="113"/>
      <c r="D468" s="113"/>
      <c r="E468" s="114"/>
      <c r="F468" s="114"/>
      <c r="G468" s="114"/>
      <c r="H468" s="114"/>
      <c r="I468" s="114"/>
      <c r="J468" s="127" t="s">
        <v>753</v>
      </c>
      <c r="K468" s="126"/>
      <c r="L468" s="126"/>
      <c r="M468" s="126"/>
      <c r="N468" s="126"/>
    </row>
    <row r="469" spans="1:14" s="111" customFormat="1" ht="13.5" thickBot="1" x14ac:dyDescent="0.25">
      <c r="A469" s="121"/>
      <c r="B469" s="122"/>
      <c r="C469" s="122"/>
      <c r="D469" s="122"/>
      <c r="E469" s="123"/>
      <c r="F469" s="123"/>
      <c r="G469" s="123"/>
      <c r="H469" s="123"/>
      <c r="I469" s="123"/>
      <c r="J469" s="125" t="s">
        <v>481</v>
      </c>
      <c r="K469" s="105" t="s">
        <v>1957</v>
      </c>
      <c r="L469" s="105" t="s">
        <v>1958</v>
      </c>
      <c r="M469" s="105"/>
      <c r="N469" s="105"/>
    </row>
    <row r="470" spans="1:14" s="111" customFormat="1" x14ac:dyDescent="0.2">
      <c r="A470" s="112"/>
      <c r="B470" s="467" t="s">
        <v>1339</v>
      </c>
      <c r="C470" s="467"/>
      <c r="D470" s="467"/>
      <c r="E470" s="114"/>
      <c r="F470" s="114" t="s">
        <v>1180</v>
      </c>
      <c r="G470" s="114" t="s">
        <v>68</v>
      </c>
      <c r="H470" s="114" t="s">
        <v>702</v>
      </c>
      <c r="I470" s="114"/>
      <c r="J470" s="100">
        <f>73/ATHENS!O1*ATHENS!O2</f>
        <v>132.72727272727272</v>
      </c>
      <c r="K470" s="100">
        <f>103/ATHENS!O1*ATHENS!O2</f>
        <v>187.27272727272725</v>
      </c>
      <c r="L470" s="100">
        <f>125/ATHENS!O1*ATHENS!O2</f>
        <v>227.27272727272725</v>
      </c>
      <c r="M470" s="100"/>
      <c r="N470" s="100"/>
    </row>
    <row r="471" spans="1:14" s="111" customFormat="1" x14ac:dyDescent="0.2">
      <c r="A471" s="116"/>
      <c r="B471" s="461" t="s">
        <v>1340</v>
      </c>
      <c r="C471" s="461"/>
      <c r="D471" s="461"/>
      <c r="E471" s="120"/>
      <c r="F471" s="120" t="s">
        <v>1181</v>
      </c>
      <c r="G471" s="120" t="s">
        <v>68</v>
      </c>
      <c r="H471" s="120" t="s">
        <v>702</v>
      </c>
      <c r="I471" s="120"/>
      <c r="J471" s="100">
        <f>44.5/ATHENS!O1*ATHENS!O2</f>
        <v>80.909090909090907</v>
      </c>
      <c r="K471" s="100">
        <f>60/ATHENS!O1*ATHENS!O2</f>
        <v>109.09090909090908</v>
      </c>
      <c r="L471" s="100">
        <f>74/ATHENS!O1*ATHENS!O2</f>
        <v>134.54545454545453</v>
      </c>
      <c r="M471" s="100"/>
      <c r="N471" s="100"/>
    </row>
    <row r="472" spans="1:14" s="111" customFormat="1" ht="13.5" thickBot="1" x14ac:dyDescent="0.25">
      <c r="A472" s="121"/>
      <c r="B472" s="122" t="s">
        <v>1098</v>
      </c>
      <c r="C472" s="122"/>
      <c r="D472" s="122"/>
      <c r="E472" s="123"/>
      <c r="F472" s="123" t="s">
        <v>1182</v>
      </c>
      <c r="G472" s="123" t="s">
        <v>68</v>
      </c>
      <c r="H472" s="123" t="s">
        <v>702</v>
      </c>
      <c r="I472" s="123"/>
      <c r="J472" s="105">
        <f>38/ATHENS!O1*ATHENS!O2</f>
        <v>69.090909090909079</v>
      </c>
      <c r="K472" s="105">
        <f>48.5/ATHENS!O1*ATHENS!O2</f>
        <v>88.181818181818173</v>
      </c>
      <c r="L472" s="105">
        <f>58.5/ATHENS!O1*ATHENS!O2</f>
        <v>106.36363636363636</v>
      </c>
      <c r="M472" s="105"/>
      <c r="N472" s="105"/>
    </row>
    <row r="473" spans="1:14" s="111" customFormat="1" ht="13.5" thickBot="1" x14ac:dyDescent="0.25">
      <c r="A473" s="108"/>
      <c r="B473" s="109"/>
      <c r="C473" s="109"/>
      <c r="D473" s="109"/>
      <c r="E473" s="110"/>
      <c r="F473" s="110"/>
      <c r="G473" s="110"/>
      <c r="H473" s="110"/>
      <c r="I473" s="110"/>
      <c r="J473" s="110"/>
      <c r="K473" s="110"/>
      <c r="L473" s="110"/>
      <c r="M473" s="110"/>
      <c r="N473" s="110"/>
    </row>
    <row r="474" spans="1:14" s="111" customFormat="1" ht="13.5" thickBot="1" x14ac:dyDescent="0.25">
      <c r="A474" s="112"/>
      <c r="B474" s="113"/>
      <c r="C474" s="113"/>
      <c r="D474" s="113"/>
      <c r="E474" s="114"/>
      <c r="F474" s="114"/>
      <c r="G474" s="114"/>
      <c r="H474" s="114"/>
      <c r="I474" s="114"/>
      <c r="J474" s="114"/>
      <c r="K474" s="114"/>
      <c r="L474" s="114"/>
      <c r="M474" s="114"/>
      <c r="N474" s="115"/>
    </row>
    <row r="475" spans="1:14" s="111" customFormat="1" ht="15.75" thickBot="1" x14ac:dyDescent="0.25">
      <c r="A475" s="116"/>
      <c r="B475" s="484" t="s">
        <v>165</v>
      </c>
      <c r="C475" s="485"/>
      <c r="D475" s="485"/>
      <c r="E475" s="485"/>
      <c r="F475" s="485"/>
      <c r="G475" s="485"/>
      <c r="H475" s="485"/>
      <c r="I475" s="485"/>
      <c r="J475" s="485"/>
      <c r="K475" s="485"/>
      <c r="L475" s="485"/>
      <c r="M475" s="486"/>
      <c r="N475" s="117" t="s">
        <v>96</v>
      </c>
    </row>
    <row r="476" spans="1:14" s="111" customFormat="1" x14ac:dyDescent="0.2">
      <c r="A476" s="116"/>
      <c r="B476" s="118" t="s">
        <v>428</v>
      </c>
      <c r="C476" s="119" t="s">
        <v>1346</v>
      </c>
      <c r="D476" s="119"/>
      <c r="E476" s="120"/>
      <c r="F476" s="120"/>
      <c r="G476" s="120"/>
      <c r="H476" s="120"/>
      <c r="I476" s="120"/>
      <c r="J476" s="120"/>
      <c r="K476" s="120"/>
      <c r="L476" s="120"/>
      <c r="M476" s="120"/>
      <c r="N476" s="101"/>
    </row>
    <row r="477" spans="1:14" s="111" customFormat="1" x14ac:dyDescent="0.2">
      <c r="A477" s="116"/>
      <c r="B477" s="118" t="s">
        <v>429</v>
      </c>
      <c r="C477" s="119" t="s">
        <v>166</v>
      </c>
      <c r="D477" s="119"/>
      <c r="E477" s="120"/>
      <c r="F477" s="120"/>
      <c r="G477" s="120"/>
      <c r="H477" s="120"/>
      <c r="I477" s="120"/>
      <c r="J477" s="120"/>
      <c r="K477" s="120"/>
      <c r="L477" s="120"/>
      <c r="M477" s="120"/>
      <c r="N477" s="101"/>
    </row>
    <row r="478" spans="1:14" s="111" customFormat="1" x14ac:dyDescent="0.2">
      <c r="A478" s="116"/>
      <c r="B478" s="118" t="s">
        <v>427</v>
      </c>
      <c r="C478" s="480" t="s">
        <v>1614</v>
      </c>
      <c r="D478" s="480"/>
      <c r="E478" s="480"/>
      <c r="F478" s="480"/>
      <c r="G478" s="480"/>
      <c r="H478" s="480"/>
      <c r="I478" s="480"/>
      <c r="J478" s="480"/>
      <c r="K478" s="480"/>
      <c r="L478" s="480"/>
      <c r="M478" s="480"/>
      <c r="N478" s="481"/>
    </row>
    <row r="479" spans="1:14" s="111" customFormat="1" x14ac:dyDescent="0.2">
      <c r="A479" s="116"/>
      <c r="B479" s="109"/>
      <c r="C479" s="480"/>
      <c r="D479" s="480"/>
      <c r="E479" s="480"/>
      <c r="F479" s="480"/>
      <c r="G479" s="480"/>
      <c r="H479" s="480"/>
      <c r="I479" s="480"/>
      <c r="J479" s="480"/>
      <c r="K479" s="480"/>
      <c r="L479" s="480"/>
      <c r="M479" s="480"/>
      <c r="N479" s="481"/>
    </row>
    <row r="480" spans="1:14" s="111" customFormat="1" x14ac:dyDescent="0.2">
      <c r="A480" s="116"/>
      <c r="B480" s="118" t="s">
        <v>426</v>
      </c>
      <c r="C480" s="119" t="s">
        <v>420</v>
      </c>
      <c r="D480" s="119"/>
      <c r="E480" s="120"/>
      <c r="F480" s="120"/>
      <c r="G480" s="120"/>
      <c r="H480" s="120"/>
      <c r="I480" s="120"/>
      <c r="J480" s="120"/>
      <c r="K480" s="120"/>
      <c r="L480" s="120"/>
      <c r="M480" s="120"/>
      <c r="N480" s="101"/>
    </row>
    <row r="481" spans="1:14" s="111" customFormat="1" ht="13.5" thickBot="1" x14ac:dyDescent="0.25">
      <c r="A481" s="116"/>
      <c r="B481" s="118" t="s">
        <v>430</v>
      </c>
      <c r="C481" s="119"/>
      <c r="D481" s="119"/>
      <c r="E481" s="120"/>
      <c r="F481" s="120"/>
      <c r="G481" s="120"/>
      <c r="H481" s="120"/>
      <c r="I481" s="120"/>
      <c r="J481" s="120"/>
      <c r="K481" s="120"/>
      <c r="L481" s="120"/>
      <c r="M481" s="120"/>
      <c r="N481" s="101"/>
    </row>
    <row r="482" spans="1:14" s="111" customFormat="1" ht="13.5" thickBot="1" x14ac:dyDescent="0.25">
      <c r="A482" s="112"/>
      <c r="B482" s="113" t="s">
        <v>263</v>
      </c>
      <c r="C482" s="113"/>
      <c r="D482" s="113"/>
      <c r="E482" s="114"/>
      <c r="F482" s="114"/>
      <c r="G482" s="114"/>
      <c r="H482" s="114"/>
      <c r="I482" s="114"/>
      <c r="K482" s="126" t="s">
        <v>758</v>
      </c>
      <c r="L482" s="126" t="s">
        <v>187</v>
      </c>
      <c r="N482" s="126"/>
    </row>
    <row r="483" spans="1:14" s="111" customFormat="1" ht="13.5" thickBot="1" x14ac:dyDescent="0.25">
      <c r="A483" s="121"/>
      <c r="B483" s="122"/>
      <c r="C483" s="122"/>
      <c r="D483" s="122"/>
      <c r="E483" s="123"/>
      <c r="F483" s="123"/>
      <c r="G483" s="123"/>
      <c r="H483" s="123"/>
      <c r="I483" s="123"/>
      <c r="J483" s="127" t="s">
        <v>753</v>
      </c>
      <c r="K483" s="105" t="s">
        <v>481</v>
      </c>
      <c r="L483" s="105" t="s">
        <v>482</v>
      </c>
      <c r="M483" s="126" t="s">
        <v>188</v>
      </c>
      <c r="N483" s="105"/>
    </row>
    <row r="484" spans="1:14" s="111" customFormat="1" x14ac:dyDescent="0.2">
      <c r="A484" s="112"/>
      <c r="B484" s="467" t="s">
        <v>67</v>
      </c>
      <c r="C484" s="467"/>
      <c r="D484" s="467"/>
      <c r="E484" s="114"/>
      <c r="F484" s="114" t="s">
        <v>1180</v>
      </c>
      <c r="G484" s="114" t="s">
        <v>68</v>
      </c>
      <c r="H484" s="114" t="s">
        <v>702</v>
      </c>
      <c r="I484" s="114"/>
      <c r="J484" s="100">
        <f>110/ATHENS!O1*ATHENS!O2</f>
        <v>199.99999999999997</v>
      </c>
      <c r="K484" s="100">
        <f>138/ATHENS!O1*ATHENS!O2</f>
        <v>250.90909090909088</v>
      </c>
      <c r="L484" s="100">
        <f>173/ATHENS!O1*ATHENS!O2</f>
        <v>314.5454545454545</v>
      </c>
      <c r="M484" s="100">
        <f>204/ATHENS!O1*ATHENS!O2</f>
        <v>370.90909090909088</v>
      </c>
      <c r="N484" s="126"/>
    </row>
    <row r="485" spans="1:14" s="111" customFormat="1" x14ac:dyDescent="0.2">
      <c r="A485" s="116"/>
      <c r="B485" s="461" t="s">
        <v>67</v>
      </c>
      <c r="C485" s="461"/>
      <c r="D485" s="461"/>
      <c r="E485" s="120"/>
      <c r="F485" s="120" t="s">
        <v>1181</v>
      </c>
      <c r="G485" s="120" t="s">
        <v>68</v>
      </c>
      <c r="H485" s="120" t="s">
        <v>702</v>
      </c>
      <c r="I485" s="120"/>
      <c r="J485" s="100">
        <f>55/ATHENS!O1*ATHENS!O2</f>
        <v>99.999999999999986</v>
      </c>
      <c r="K485" s="100">
        <f>69/ATHENS!O1*ATHENS!O2</f>
        <v>125.45454545454544</v>
      </c>
      <c r="L485" s="100">
        <f>86.5/ATHENS!O1*ATHENS!O2</f>
        <v>157.27272727272725</v>
      </c>
      <c r="M485" s="100">
        <f>102/ATHENS!O1*ATHENS!O2</f>
        <v>185.45454545454544</v>
      </c>
      <c r="N485" s="100"/>
    </row>
    <row r="486" spans="1:14" s="111" customFormat="1" ht="13.5" thickBot="1" x14ac:dyDescent="0.25">
      <c r="A486" s="121"/>
      <c r="B486" s="460" t="s">
        <v>67</v>
      </c>
      <c r="C486" s="460"/>
      <c r="D486" s="460"/>
      <c r="E486" s="123"/>
      <c r="F486" s="123" t="s">
        <v>1182</v>
      </c>
      <c r="G486" s="123" t="s">
        <v>68</v>
      </c>
      <c r="H486" s="123" t="s">
        <v>702</v>
      </c>
      <c r="I486" s="123"/>
      <c r="J486" s="105">
        <f>42/ATHENS!O1*ATHENS!O2</f>
        <v>76.36363636363636</v>
      </c>
      <c r="K486" s="105">
        <f>52.6/ATHENS!O1*ATHENS!O2</f>
        <v>95.636363636363626</v>
      </c>
      <c r="L486" s="105">
        <f>64/ATHENS!O1*ATHENS!O2</f>
        <v>116.36363636363636</v>
      </c>
      <c r="M486" s="105">
        <f>80.6/ATHENS!O1*ATHENS!O2</f>
        <v>146.54545454545453</v>
      </c>
      <c r="N486" s="105"/>
    </row>
    <row r="487" spans="1:14" s="111" customFormat="1" ht="13.5" thickBot="1" x14ac:dyDescent="0.25">
      <c r="A487" s="108"/>
      <c r="B487" s="109"/>
      <c r="C487" s="109"/>
      <c r="D487" s="109"/>
      <c r="E487" s="110"/>
      <c r="F487" s="110"/>
      <c r="G487" s="110"/>
      <c r="H487" s="110"/>
      <c r="I487" s="110"/>
      <c r="J487" s="110"/>
      <c r="K487" s="110"/>
      <c r="L487" s="110"/>
      <c r="M487" s="110"/>
      <c r="N487" s="110"/>
    </row>
    <row r="488" spans="1:14" s="111" customFormat="1" ht="13.5" thickBot="1" x14ac:dyDescent="0.25">
      <c r="A488" s="112"/>
      <c r="B488" s="113"/>
      <c r="C488" s="113"/>
      <c r="D488" s="113"/>
      <c r="E488" s="114"/>
      <c r="F488" s="114"/>
      <c r="G488" s="114"/>
      <c r="H488" s="114"/>
      <c r="I488" s="114"/>
      <c r="J488" s="114"/>
      <c r="K488" s="114"/>
      <c r="L488" s="114"/>
      <c r="M488" s="114"/>
      <c r="N488" s="115"/>
    </row>
    <row r="489" spans="1:14" s="111" customFormat="1" ht="15.75" thickBot="1" x14ac:dyDescent="0.25">
      <c r="A489" s="116"/>
      <c r="B489" s="484" t="s">
        <v>1630</v>
      </c>
      <c r="C489" s="485"/>
      <c r="D489" s="485"/>
      <c r="E489" s="485"/>
      <c r="F489" s="485"/>
      <c r="G489" s="485"/>
      <c r="H489" s="485"/>
      <c r="I489" s="485"/>
      <c r="J489" s="485"/>
      <c r="K489" s="485"/>
      <c r="L489" s="485"/>
      <c r="M489" s="486"/>
      <c r="N489" s="117" t="s">
        <v>1164</v>
      </c>
    </row>
    <row r="490" spans="1:14" s="111" customFormat="1" x14ac:dyDescent="0.2">
      <c r="A490" s="116"/>
      <c r="B490" s="118" t="s">
        <v>428</v>
      </c>
      <c r="C490" s="119" t="s">
        <v>1161</v>
      </c>
      <c r="D490" s="119"/>
      <c r="E490" s="120"/>
      <c r="F490" s="120"/>
      <c r="G490" s="120"/>
      <c r="H490" s="120"/>
      <c r="I490" s="120"/>
      <c r="J490" s="120"/>
      <c r="K490" s="120"/>
      <c r="L490" s="120"/>
      <c r="M490" s="120"/>
      <c r="N490" s="101"/>
    </row>
    <row r="491" spans="1:14" s="111" customFormat="1" x14ac:dyDescent="0.2">
      <c r="A491" s="116"/>
      <c r="B491" s="118" t="s">
        <v>429</v>
      </c>
      <c r="C491" s="119" t="s">
        <v>769</v>
      </c>
      <c r="D491" s="119"/>
      <c r="E491" s="120"/>
      <c r="F491" s="120"/>
      <c r="G491" s="120"/>
      <c r="H491" s="120"/>
      <c r="I491" s="120"/>
      <c r="J491" s="120"/>
      <c r="K491" s="120"/>
      <c r="L491" s="120"/>
      <c r="M491" s="120"/>
      <c r="N491" s="101"/>
    </row>
    <row r="492" spans="1:14" s="111" customFormat="1" x14ac:dyDescent="0.2">
      <c r="A492" s="116"/>
      <c r="B492" s="118" t="s">
        <v>427</v>
      </c>
      <c r="C492" s="480" t="s">
        <v>1615</v>
      </c>
      <c r="D492" s="480"/>
      <c r="E492" s="480"/>
      <c r="F492" s="480"/>
      <c r="G492" s="480"/>
      <c r="H492" s="480"/>
      <c r="I492" s="480"/>
      <c r="J492" s="480"/>
      <c r="K492" s="480"/>
      <c r="L492" s="480"/>
      <c r="M492" s="480"/>
      <c r="N492" s="481"/>
    </row>
    <row r="493" spans="1:14" s="111" customFormat="1" x14ac:dyDescent="0.2">
      <c r="A493" s="116"/>
      <c r="B493" s="118"/>
      <c r="C493" s="480"/>
      <c r="D493" s="480"/>
      <c r="E493" s="480"/>
      <c r="F493" s="480"/>
      <c r="G493" s="480"/>
      <c r="H493" s="480"/>
      <c r="I493" s="480"/>
      <c r="J493" s="480"/>
      <c r="K493" s="480"/>
      <c r="L493" s="480"/>
      <c r="M493" s="480"/>
      <c r="N493" s="481"/>
    </row>
    <row r="494" spans="1:14" s="111" customFormat="1" x14ac:dyDescent="0.2">
      <c r="A494" s="116"/>
      <c r="B494" s="109"/>
      <c r="C494" s="480"/>
      <c r="D494" s="480"/>
      <c r="E494" s="480"/>
      <c r="F494" s="480"/>
      <c r="G494" s="480"/>
      <c r="H494" s="480"/>
      <c r="I494" s="480"/>
      <c r="J494" s="480"/>
      <c r="K494" s="480"/>
      <c r="L494" s="480"/>
      <c r="M494" s="480"/>
      <c r="N494" s="481"/>
    </row>
    <row r="495" spans="1:14" s="111" customFormat="1" x14ac:dyDescent="0.2">
      <c r="A495" s="116"/>
      <c r="B495" s="109"/>
      <c r="C495" s="480"/>
      <c r="D495" s="480"/>
      <c r="E495" s="480"/>
      <c r="F495" s="480"/>
      <c r="G495" s="480"/>
      <c r="H495" s="480"/>
      <c r="I495" s="480"/>
      <c r="J495" s="480"/>
      <c r="K495" s="480"/>
      <c r="L495" s="480"/>
      <c r="M495" s="480"/>
      <c r="N495" s="481"/>
    </row>
    <row r="496" spans="1:14" s="111" customFormat="1" x14ac:dyDescent="0.2">
      <c r="A496" s="116"/>
      <c r="B496" s="118" t="s">
        <v>426</v>
      </c>
      <c r="C496" s="119" t="s">
        <v>929</v>
      </c>
      <c r="D496" s="119"/>
      <c r="E496" s="120"/>
      <c r="F496" s="120"/>
      <c r="G496" s="120"/>
      <c r="H496" s="120"/>
      <c r="I496" s="120"/>
      <c r="J496" s="120"/>
      <c r="K496" s="120"/>
      <c r="L496" s="120"/>
      <c r="M496" s="120"/>
      <c r="N496" s="101"/>
    </row>
    <row r="497" spans="1:14" s="111" customFormat="1" ht="13.5" thickBot="1" x14ac:dyDescent="0.25">
      <c r="A497" s="116"/>
      <c r="B497" s="118" t="s">
        <v>430</v>
      </c>
      <c r="C497" s="119"/>
      <c r="D497" s="119"/>
      <c r="E497" s="120"/>
      <c r="F497" s="120"/>
      <c r="G497" s="120"/>
      <c r="H497" s="120"/>
      <c r="I497" s="120"/>
      <c r="J497" s="120"/>
      <c r="K497" s="120"/>
      <c r="L497" s="120"/>
      <c r="M497" s="120"/>
      <c r="N497" s="101"/>
    </row>
    <row r="498" spans="1:14" s="111" customFormat="1" x14ac:dyDescent="0.2">
      <c r="A498" s="112"/>
      <c r="B498" s="113" t="s">
        <v>263</v>
      </c>
      <c r="C498" s="113"/>
      <c r="D498" s="113"/>
      <c r="E498" s="114"/>
      <c r="F498" s="114"/>
      <c r="G498" s="114"/>
      <c r="H498" s="114"/>
      <c r="I498" s="114"/>
      <c r="J498" s="127"/>
      <c r="K498" s="126" t="s">
        <v>397</v>
      </c>
      <c r="L498" s="126" t="s">
        <v>1558</v>
      </c>
      <c r="M498" s="126"/>
      <c r="N498" s="126"/>
    </row>
    <row r="499" spans="1:14" s="111" customFormat="1" ht="13.5" thickBot="1" x14ac:dyDescent="0.25">
      <c r="A499" s="121"/>
      <c r="B499" s="122"/>
      <c r="C499" s="122"/>
      <c r="D499" s="122"/>
      <c r="E499" s="123"/>
      <c r="F499" s="123"/>
      <c r="G499" s="123"/>
      <c r="H499" s="123"/>
      <c r="I499" s="123"/>
      <c r="J499" s="125" t="s">
        <v>2113</v>
      </c>
      <c r="K499" s="105" t="s">
        <v>756</v>
      </c>
      <c r="L499" s="105" t="s">
        <v>432</v>
      </c>
      <c r="M499" s="105" t="s">
        <v>221</v>
      </c>
      <c r="N499" s="105"/>
    </row>
    <row r="500" spans="1:14" s="111" customFormat="1" x14ac:dyDescent="0.2">
      <c r="A500" s="112"/>
      <c r="B500" s="467" t="s">
        <v>874</v>
      </c>
      <c r="C500" s="467"/>
      <c r="D500" s="467"/>
      <c r="E500" s="114"/>
      <c r="F500" s="114" t="s">
        <v>518</v>
      </c>
      <c r="G500" s="114" t="s">
        <v>68</v>
      </c>
      <c r="H500" s="114" t="s">
        <v>1184</v>
      </c>
      <c r="I500" s="114"/>
      <c r="J500" s="100">
        <f>145.5/ATHENS!O1*ATHENS!O2</f>
        <v>264.5454545454545</v>
      </c>
      <c r="K500" s="100">
        <f>185.5/ATHENS!O1*ATHENS!O2</f>
        <v>337.27272727272725</v>
      </c>
      <c r="L500" s="100">
        <f>214.6/ATHENS!O1*ATHENS!O2</f>
        <v>390.18181818181813</v>
      </c>
      <c r="M500" s="100">
        <f>273.6/ATHENS!O1*ATHENS!O2</f>
        <v>497.45454545454544</v>
      </c>
      <c r="N500" s="126"/>
    </row>
    <row r="501" spans="1:14" s="111" customFormat="1" x14ac:dyDescent="0.2">
      <c r="A501" s="116"/>
      <c r="B501" s="461" t="s">
        <v>2112</v>
      </c>
      <c r="C501" s="461"/>
      <c r="D501" s="461"/>
      <c r="E501" s="120"/>
      <c r="F501" s="120" t="s">
        <v>518</v>
      </c>
      <c r="G501" s="120" t="s">
        <v>68</v>
      </c>
      <c r="H501" s="120" t="s">
        <v>1184</v>
      </c>
      <c r="I501" s="120"/>
      <c r="J501" s="100">
        <f>200.5/ATHENS!O1*ATHENS!O2</f>
        <v>364.5454545454545</v>
      </c>
      <c r="K501" s="100">
        <f>213.5/ATHENS!O1*ATHENS!O2</f>
        <v>388.18181818181813</v>
      </c>
      <c r="L501" s="100">
        <f>254.5/ATHENS!O1*ATHENS!O2</f>
        <v>462.72727272727269</v>
      </c>
      <c r="M501" s="100">
        <f>325.7/ATHENS!O1*ATHENS!O2</f>
        <v>592.18181818181813</v>
      </c>
      <c r="N501" s="100"/>
    </row>
    <row r="502" spans="1:14" s="111" customFormat="1" x14ac:dyDescent="0.2">
      <c r="A502" s="116"/>
      <c r="B502" s="461" t="s">
        <v>875</v>
      </c>
      <c r="C502" s="461"/>
      <c r="D502" s="461"/>
      <c r="E502" s="120"/>
      <c r="F502" s="120" t="s">
        <v>1196</v>
      </c>
      <c r="G502" s="120" t="s">
        <v>68</v>
      </c>
      <c r="H502" s="120" t="s">
        <v>1184</v>
      </c>
      <c r="I502" s="120"/>
      <c r="J502" s="100">
        <f>251.5/ATHENS!O1*ATHENS!O2</f>
        <v>457.27272727272725</v>
      </c>
      <c r="K502" s="100">
        <f>271.5/ATHENS!O1*ATHENS!O2</f>
        <v>493.63636363636357</v>
      </c>
      <c r="L502" s="100">
        <f>315.5/ATHENS!O1*ATHENS!O2</f>
        <v>573.63636363636363</v>
      </c>
      <c r="M502" s="100">
        <f>378.8/ATHENS!O1*ATHENS!O2</f>
        <v>688.72727272727275</v>
      </c>
      <c r="N502" s="100"/>
    </row>
    <row r="503" spans="1:14" s="111" customFormat="1" ht="13.5" thickBot="1" x14ac:dyDescent="0.25">
      <c r="A503" s="121"/>
      <c r="B503" s="460" t="s">
        <v>901</v>
      </c>
      <c r="C503" s="460"/>
      <c r="D503" s="460"/>
      <c r="E503" s="123"/>
      <c r="F503" s="123" t="s">
        <v>518</v>
      </c>
      <c r="G503" s="123" t="s">
        <v>68</v>
      </c>
      <c r="H503" s="123" t="s">
        <v>1184</v>
      </c>
      <c r="I503" s="123"/>
      <c r="J503" s="105">
        <f>276.5/ATHENS!O1*ATHENS!O2</f>
        <v>502.72727272727269</v>
      </c>
      <c r="K503" s="105">
        <f>308.5/ATHENS!O1*ATHENS!O2</f>
        <v>560.90909090909088</v>
      </c>
      <c r="L503" s="105">
        <f>353.6/ATHENS!O1*ATHENS!O2</f>
        <v>642.90909090909088</v>
      </c>
      <c r="M503" s="105">
        <f>409.9/ATHENS!O1*ATHENS!O2</f>
        <v>745.27272727272714</v>
      </c>
      <c r="N503" s="105"/>
    </row>
    <row r="504" spans="1:14" s="111" customFormat="1" ht="13.5" thickBot="1" x14ac:dyDescent="0.25">
      <c r="A504" s="108"/>
      <c r="B504" s="109"/>
      <c r="C504" s="109"/>
      <c r="D504" s="109"/>
      <c r="E504" s="110"/>
      <c r="F504" s="110"/>
      <c r="G504" s="110"/>
      <c r="H504" s="110"/>
      <c r="I504" s="110"/>
      <c r="J504" s="110"/>
      <c r="K504" s="110"/>
      <c r="L504" s="110"/>
      <c r="M504" s="110"/>
      <c r="N504" s="110"/>
    </row>
    <row r="505" spans="1:14" s="111" customFormat="1" ht="13.5" thickBot="1" x14ac:dyDescent="0.25">
      <c r="A505" s="112"/>
      <c r="B505" s="113"/>
      <c r="C505" s="113"/>
      <c r="D505" s="113"/>
      <c r="E505" s="114"/>
      <c r="F505" s="114"/>
      <c r="G505" s="114"/>
      <c r="H505" s="114"/>
      <c r="I505" s="114"/>
      <c r="J505" s="114"/>
      <c r="K505" s="114"/>
      <c r="L505" s="114"/>
      <c r="M505" s="114"/>
      <c r="N505" s="115"/>
    </row>
    <row r="506" spans="1:14" s="111" customFormat="1" ht="15.75" thickBot="1" x14ac:dyDescent="0.25">
      <c r="A506" s="116"/>
      <c r="B506" s="484" t="s">
        <v>761</v>
      </c>
      <c r="C506" s="485"/>
      <c r="D506" s="485"/>
      <c r="E506" s="485"/>
      <c r="F506" s="485"/>
      <c r="G506" s="485"/>
      <c r="H506" s="485"/>
      <c r="I506" s="485"/>
      <c r="J506" s="485"/>
      <c r="K506" s="485"/>
      <c r="L506" s="485"/>
      <c r="M506" s="486"/>
      <c r="N506" s="117" t="s">
        <v>664</v>
      </c>
    </row>
    <row r="507" spans="1:14" s="111" customFormat="1" x14ac:dyDescent="0.2">
      <c r="A507" s="116"/>
      <c r="B507" s="118" t="s">
        <v>428</v>
      </c>
      <c r="C507" s="119" t="s">
        <v>1219</v>
      </c>
      <c r="D507" s="119"/>
      <c r="E507" s="120"/>
      <c r="F507" s="120"/>
      <c r="G507" s="120"/>
      <c r="H507" s="120"/>
      <c r="I507" s="120"/>
      <c r="J507" s="120"/>
      <c r="K507" s="120"/>
      <c r="L507" s="120"/>
      <c r="M507" s="120"/>
      <c r="N507" s="101"/>
    </row>
    <row r="508" spans="1:14" s="111" customFormat="1" x14ac:dyDescent="0.2">
      <c r="A508" s="116"/>
      <c r="B508" s="118" t="s">
        <v>429</v>
      </c>
      <c r="C508" s="119" t="s">
        <v>308</v>
      </c>
      <c r="D508" s="119"/>
      <c r="E508" s="120"/>
      <c r="F508" s="120"/>
      <c r="G508" s="120"/>
      <c r="H508" s="120"/>
      <c r="I508" s="120"/>
      <c r="J508" s="120"/>
      <c r="K508" s="120"/>
      <c r="L508" s="120"/>
      <c r="M508" s="120"/>
      <c r="N508" s="101"/>
    </row>
    <row r="509" spans="1:14" s="111" customFormat="1" x14ac:dyDescent="0.2">
      <c r="A509" s="116"/>
      <c r="B509" s="118" t="s">
        <v>427</v>
      </c>
      <c r="C509" s="480" t="s">
        <v>1616</v>
      </c>
      <c r="D509" s="480"/>
      <c r="E509" s="480"/>
      <c r="F509" s="480"/>
      <c r="G509" s="480"/>
      <c r="H509" s="480"/>
      <c r="I509" s="480"/>
      <c r="J509" s="480"/>
      <c r="K509" s="480"/>
      <c r="L509" s="480"/>
      <c r="M509" s="480"/>
      <c r="N509" s="481"/>
    </row>
    <row r="510" spans="1:14" s="111" customFormat="1" x14ac:dyDescent="0.2">
      <c r="A510" s="116"/>
      <c r="B510" s="109"/>
      <c r="C510" s="480"/>
      <c r="D510" s="480"/>
      <c r="E510" s="480"/>
      <c r="F510" s="480"/>
      <c r="G510" s="480"/>
      <c r="H510" s="480"/>
      <c r="I510" s="480"/>
      <c r="J510" s="480"/>
      <c r="K510" s="480"/>
      <c r="L510" s="480"/>
      <c r="M510" s="480"/>
      <c r="N510" s="481"/>
    </row>
    <row r="511" spans="1:14" s="111" customFormat="1" x14ac:dyDescent="0.2">
      <c r="A511" s="116"/>
      <c r="B511" s="118" t="s">
        <v>426</v>
      </c>
      <c r="C511" s="119" t="s">
        <v>1444</v>
      </c>
      <c r="D511" s="119"/>
      <c r="E511" s="120"/>
      <c r="F511" s="120"/>
      <c r="G511" s="120"/>
      <c r="H511" s="120"/>
      <c r="I511" s="120"/>
      <c r="J511" s="120"/>
      <c r="K511" s="120"/>
      <c r="L511" s="120"/>
      <c r="M511" s="120"/>
      <c r="N511" s="101"/>
    </row>
    <row r="512" spans="1:14" s="111" customFormat="1" ht="13.5" thickBot="1" x14ac:dyDescent="0.25">
      <c r="A512" s="116"/>
      <c r="B512" s="118" t="s">
        <v>430</v>
      </c>
      <c r="C512" s="119" t="s">
        <v>1445</v>
      </c>
      <c r="D512" s="119"/>
      <c r="E512" s="120"/>
      <c r="F512" s="120"/>
      <c r="G512" s="120"/>
      <c r="H512" s="120"/>
      <c r="I512" s="120"/>
      <c r="J512" s="120"/>
      <c r="K512" s="120"/>
      <c r="L512" s="120"/>
      <c r="M512" s="120"/>
      <c r="N512" s="101"/>
    </row>
    <row r="513" spans="1:14" s="111" customFormat="1" x14ac:dyDescent="0.2">
      <c r="A513" s="112"/>
      <c r="B513" s="113" t="s">
        <v>263</v>
      </c>
      <c r="C513" s="113"/>
      <c r="D513" s="113"/>
      <c r="E513" s="114"/>
      <c r="F513" s="114"/>
      <c r="G513" s="114"/>
      <c r="H513" s="114"/>
      <c r="I513" s="114"/>
      <c r="J513" s="126" t="s">
        <v>758</v>
      </c>
      <c r="K513" s="126" t="s">
        <v>279</v>
      </c>
      <c r="L513" s="126"/>
      <c r="M513" s="126"/>
      <c r="N513" s="126"/>
    </row>
    <row r="514" spans="1:14" s="111" customFormat="1" ht="13.5" thickBot="1" x14ac:dyDescent="0.25">
      <c r="A514" s="121"/>
      <c r="B514" s="122"/>
      <c r="C514" s="122"/>
      <c r="D514" s="122"/>
      <c r="E514" s="123"/>
      <c r="F514" s="123"/>
      <c r="G514" s="123"/>
      <c r="H514" s="123"/>
      <c r="I514" s="123"/>
      <c r="J514" s="105" t="s">
        <v>341</v>
      </c>
      <c r="K514" s="105" t="s">
        <v>520</v>
      </c>
      <c r="L514" s="105" t="s">
        <v>74</v>
      </c>
      <c r="M514" s="105" t="s">
        <v>297</v>
      </c>
      <c r="N514" s="105" t="s">
        <v>123</v>
      </c>
    </row>
    <row r="515" spans="1:14" s="111" customFormat="1" x14ac:dyDescent="0.2">
      <c r="A515" s="112"/>
      <c r="B515" s="467" t="s">
        <v>67</v>
      </c>
      <c r="C515" s="467"/>
      <c r="D515" s="467"/>
      <c r="E515" s="114"/>
      <c r="F515" s="114" t="s">
        <v>1180</v>
      </c>
      <c r="G515" s="114" t="s">
        <v>68</v>
      </c>
      <c r="H515" s="114" t="s">
        <v>702</v>
      </c>
      <c r="I515" s="114"/>
      <c r="J515" s="126">
        <f>48.5/ATHENS!O1*ATHENS!O2</f>
        <v>88.181818181818173</v>
      </c>
      <c r="K515" s="126">
        <f>59/ATHENS!O1*ATHENS!O2</f>
        <v>107.27272727272727</v>
      </c>
      <c r="L515" s="126">
        <f>75/ATHENS!O1*ATHENS!O2</f>
        <v>136.36363636363635</v>
      </c>
      <c r="M515" s="126">
        <f>91/ATHENS!O1*ATHENS!O2</f>
        <v>165.45454545454544</v>
      </c>
      <c r="N515" s="126">
        <f>101.5/ATHENS!O1*ATHENS!O2</f>
        <v>184.54545454545453</v>
      </c>
    </row>
    <row r="516" spans="1:14" s="111" customFormat="1" x14ac:dyDescent="0.2">
      <c r="A516" s="116"/>
      <c r="B516" s="461" t="s">
        <v>67</v>
      </c>
      <c r="C516" s="461"/>
      <c r="D516" s="461"/>
      <c r="E516" s="120"/>
      <c r="F516" s="120" t="s">
        <v>1181</v>
      </c>
      <c r="G516" s="120" t="s">
        <v>68</v>
      </c>
      <c r="H516" s="120" t="s">
        <v>702</v>
      </c>
      <c r="I516" s="120"/>
      <c r="J516" s="100">
        <f>24.5/ATHENS!O1*ATHENS!O2</f>
        <v>44.54545454545454</v>
      </c>
      <c r="K516" s="100">
        <f>29.5/ATHENS!O1*ATHENS!O2</f>
        <v>53.636363636363633</v>
      </c>
      <c r="L516" s="100">
        <f>37.5/ATHENS!O1*ATHENS!O2</f>
        <v>68.181818181818173</v>
      </c>
      <c r="M516" s="100">
        <f>45.5/ATHENS!O1*ATHENS!O2</f>
        <v>82.72727272727272</v>
      </c>
      <c r="N516" s="100">
        <f>50.7/ATHENS!O1*ATHENS!O2</f>
        <v>92.181818181818173</v>
      </c>
    </row>
    <row r="517" spans="1:14" s="111" customFormat="1" ht="13.5" thickBot="1" x14ac:dyDescent="0.25">
      <c r="A517" s="121"/>
      <c r="B517" s="460" t="s">
        <v>67</v>
      </c>
      <c r="C517" s="460"/>
      <c r="D517" s="460"/>
      <c r="E517" s="123"/>
      <c r="F517" s="123" t="s">
        <v>1182</v>
      </c>
      <c r="G517" s="123" t="s">
        <v>68</v>
      </c>
      <c r="H517" s="123" t="s">
        <v>702</v>
      </c>
      <c r="I517" s="123"/>
      <c r="J517" s="105">
        <f>25/ATHENS!O1*ATHENS!O2</f>
        <v>45.454545454545453</v>
      </c>
      <c r="K517" s="105">
        <f>28.5/ATHENS!O1*ATHENS!O2</f>
        <v>51.818181818181813</v>
      </c>
      <c r="L517" s="105">
        <f>32/ATHENS!O1*ATHENS!O2</f>
        <v>58.18181818181818</v>
      </c>
      <c r="M517" s="105">
        <f>42.5/ATHENS!O1*ATHENS!O2</f>
        <v>77.272727272727266</v>
      </c>
      <c r="N517" s="105">
        <f>43.8/ATHENS!O1*ATHENS!O2</f>
        <v>79.636363636363626</v>
      </c>
    </row>
    <row r="518" spans="1:14" s="111" customFormat="1" ht="15.75" thickBot="1" x14ac:dyDescent="0.25">
      <c r="A518" s="108"/>
      <c r="B518" s="109"/>
      <c r="C518" s="109"/>
      <c r="D518" s="109"/>
      <c r="E518" s="110"/>
      <c r="F518" s="110"/>
      <c r="G518" s="110"/>
      <c r="H518" s="110"/>
      <c r="I518" s="110"/>
      <c r="J518" s="110"/>
      <c r="K518" s="110"/>
      <c r="L518" s="110"/>
      <c r="M518" s="110"/>
      <c r="N518" s="323"/>
    </row>
    <row r="519" spans="1:14" s="111" customFormat="1" ht="13.5" thickBot="1" x14ac:dyDescent="0.25">
      <c r="A519" s="112"/>
      <c r="B519" s="113"/>
      <c r="C519" s="113"/>
      <c r="D519" s="113"/>
      <c r="E519" s="114"/>
      <c r="F519" s="114"/>
      <c r="G519" s="114"/>
      <c r="H519" s="114"/>
      <c r="I519" s="114"/>
      <c r="J519" s="114"/>
      <c r="K519" s="114"/>
      <c r="L519" s="114"/>
      <c r="M519" s="114"/>
      <c r="N519" s="115"/>
    </row>
    <row r="520" spans="1:14" s="111" customFormat="1" ht="15.75" thickBot="1" x14ac:dyDescent="0.25">
      <c r="A520" s="116"/>
      <c r="B520" s="484" t="s">
        <v>191</v>
      </c>
      <c r="C520" s="485"/>
      <c r="D520" s="485"/>
      <c r="E520" s="485"/>
      <c r="F520" s="485"/>
      <c r="G520" s="485"/>
      <c r="H520" s="485"/>
      <c r="I520" s="485"/>
      <c r="J520" s="485"/>
      <c r="K520" s="485"/>
      <c r="L520" s="485"/>
      <c r="M520" s="486"/>
      <c r="N520" s="117" t="s">
        <v>664</v>
      </c>
    </row>
    <row r="521" spans="1:14" s="111" customFormat="1" x14ac:dyDescent="0.2">
      <c r="A521" s="116"/>
      <c r="B521" s="118" t="s">
        <v>428</v>
      </c>
      <c r="C521" s="119" t="s">
        <v>446</v>
      </c>
      <c r="D521" s="119"/>
      <c r="E521" s="120"/>
      <c r="F521" s="120"/>
      <c r="G521" s="120"/>
      <c r="H521" s="120"/>
      <c r="I521" s="120"/>
      <c r="J521" s="120"/>
      <c r="K521" s="120"/>
      <c r="L521" s="120"/>
      <c r="M521" s="120"/>
      <c r="N521" s="101"/>
    </row>
    <row r="522" spans="1:14" s="111" customFormat="1" x14ac:dyDescent="0.2">
      <c r="A522" s="116"/>
      <c r="B522" s="118" t="s">
        <v>429</v>
      </c>
      <c r="C522" s="119" t="s">
        <v>878</v>
      </c>
      <c r="D522" s="119"/>
      <c r="E522" s="120"/>
      <c r="F522" s="120"/>
      <c r="G522" s="120"/>
      <c r="H522" s="120"/>
      <c r="I522" s="120"/>
      <c r="J522" s="120"/>
      <c r="K522" s="120"/>
      <c r="L522" s="120"/>
      <c r="M522" s="120"/>
      <c r="N522" s="101"/>
    </row>
    <row r="523" spans="1:14" s="111" customFormat="1" x14ac:dyDescent="0.2">
      <c r="A523" s="116"/>
      <c r="B523" s="118" t="s">
        <v>427</v>
      </c>
      <c r="C523" s="480" t="s">
        <v>1617</v>
      </c>
      <c r="D523" s="480"/>
      <c r="E523" s="480"/>
      <c r="F523" s="480"/>
      <c r="G523" s="480"/>
      <c r="H523" s="480"/>
      <c r="I523" s="480"/>
      <c r="J523" s="480"/>
      <c r="K523" s="480"/>
      <c r="L523" s="480"/>
      <c r="M523" s="480"/>
      <c r="N523" s="481"/>
    </row>
    <row r="524" spans="1:14" s="111" customFormat="1" x14ac:dyDescent="0.2">
      <c r="A524" s="116"/>
      <c r="B524" s="109"/>
      <c r="C524" s="480"/>
      <c r="D524" s="480"/>
      <c r="E524" s="480"/>
      <c r="F524" s="480"/>
      <c r="G524" s="480"/>
      <c r="H524" s="480"/>
      <c r="I524" s="480"/>
      <c r="J524" s="480"/>
      <c r="K524" s="480"/>
      <c r="L524" s="480"/>
      <c r="M524" s="480"/>
      <c r="N524" s="481"/>
    </row>
    <row r="525" spans="1:14" s="111" customFormat="1" x14ac:dyDescent="0.2">
      <c r="A525" s="116"/>
      <c r="B525" s="118" t="s">
        <v>426</v>
      </c>
      <c r="C525" s="119" t="s">
        <v>411</v>
      </c>
      <c r="D525" s="119"/>
      <c r="E525" s="120"/>
      <c r="F525" s="120"/>
      <c r="G525" s="120"/>
      <c r="H525" s="120"/>
      <c r="I525" s="120"/>
      <c r="J525" s="120"/>
      <c r="K525" s="120"/>
      <c r="L525" s="120"/>
      <c r="M525" s="120"/>
      <c r="N525" s="101"/>
    </row>
    <row r="526" spans="1:14" s="111" customFormat="1" ht="13.5" thickBot="1" x14ac:dyDescent="0.25">
      <c r="A526" s="116"/>
      <c r="B526" s="118" t="s">
        <v>430</v>
      </c>
      <c r="C526" s="119"/>
      <c r="D526" s="119"/>
      <c r="E526" s="120"/>
      <c r="F526" s="120"/>
      <c r="G526" s="120"/>
      <c r="H526" s="120"/>
      <c r="I526" s="120"/>
      <c r="J526" s="120"/>
      <c r="K526" s="120"/>
      <c r="L526" s="120"/>
      <c r="M526" s="120"/>
      <c r="N526" s="101"/>
    </row>
    <row r="527" spans="1:14" s="111" customFormat="1" x14ac:dyDescent="0.2">
      <c r="A527" s="112"/>
      <c r="B527" s="113" t="s">
        <v>263</v>
      </c>
      <c r="C527" s="113"/>
      <c r="D527" s="113"/>
      <c r="E527" s="114"/>
      <c r="F527" s="114"/>
      <c r="G527" s="114"/>
      <c r="H527" s="114"/>
      <c r="I527" s="114"/>
      <c r="J527" s="127" t="s">
        <v>2199</v>
      </c>
      <c r="K527" s="126" t="s">
        <v>513</v>
      </c>
      <c r="L527" s="126" t="s">
        <v>1341</v>
      </c>
      <c r="M527" s="126" t="s">
        <v>123</v>
      </c>
      <c r="N527" s="126"/>
    </row>
    <row r="528" spans="1:14" s="111" customFormat="1" ht="13.5" thickBot="1" x14ac:dyDescent="0.25">
      <c r="A528" s="121"/>
      <c r="B528" s="122"/>
      <c r="C528" s="122"/>
      <c r="D528" s="122"/>
      <c r="E528" s="123"/>
      <c r="F528" s="123"/>
      <c r="G528" s="123"/>
      <c r="H528" s="123"/>
      <c r="I528" s="123"/>
      <c r="J528" s="125" t="s">
        <v>735</v>
      </c>
      <c r="K528" s="105" t="s">
        <v>832</v>
      </c>
      <c r="L528" s="105"/>
      <c r="M528" s="105"/>
      <c r="N528" s="105"/>
    </row>
    <row r="529" spans="1:14" s="111" customFormat="1" x14ac:dyDescent="0.2">
      <c r="A529" s="112"/>
      <c r="B529" s="467" t="s">
        <v>67</v>
      </c>
      <c r="C529" s="467"/>
      <c r="D529" s="467"/>
      <c r="E529" s="114"/>
      <c r="F529" s="114" t="s">
        <v>1181</v>
      </c>
      <c r="G529" s="114" t="s">
        <v>68</v>
      </c>
      <c r="H529" s="114" t="s">
        <v>702</v>
      </c>
      <c r="I529" s="114"/>
      <c r="J529" s="100">
        <f>26/ATHENS!O1*ATHENS!O2</f>
        <v>47.272727272727266</v>
      </c>
      <c r="K529" s="100">
        <f>32/ATHENS!O1*ATHENS!O2</f>
        <v>58.18181818181818</v>
      </c>
      <c r="L529" s="100">
        <f>45/ATHENS!O1*ATHENS!O2</f>
        <v>81.818181818181813</v>
      </c>
      <c r="M529" s="100">
        <f>52/ATHENS!O1*ATHENS!O2</f>
        <v>94.545454545454533</v>
      </c>
      <c r="N529" s="126"/>
    </row>
    <row r="530" spans="1:14" s="111" customFormat="1" x14ac:dyDescent="0.2">
      <c r="A530" s="116"/>
      <c r="B530" s="461" t="s">
        <v>67</v>
      </c>
      <c r="C530" s="461"/>
      <c r="D530" s="461"/>
      <c r="E530" s="120"/>
      <c r="F530" s="120" t="s">
        <v>1182</v>
      </c>
      <c r="G530" s="120" t="s">
        <v>68</v>
      </c>
      <c r="H530" s="120" t="s">
        <v>702</v>
      </c>
      <c r="I530" s="120"/>
      <c r="J530" s="100">
        <f>23/ATHENS!O1*ATHENS!O2</f>
        <v>41.818181818181813</v>
      </c>
      <c r="K530" s="100">
        <f>30/ATHENS!O1*ATHENS!O2</f>
        <v>54.54545454545454</v>
      </c>
      <c r="L530" s="100">
        <f>43/ATHENS!O1*ATHENS!O2</f>
        <v>78.181818181818173</v>
      </c>
      <c r="M530" s="100">
        <f>45/ATHENS!O1*ATHENS!O2</f>
        <v>81.818181818181813</v>
      </c>
      <c r="N530" s="100"/>
    </row>
    <row r="531" spans="1:14" s="111" customFormat="1" ht="13.5" thickBot="1" x14ac:dyDescent="0.25">
      <c r="A531" s="121"/>
      <c r="B531" s="460" t="s">
        <v>67</v>
      </c>
      <c r="C531" s="460"/>
      <c r="D531" s="460"/>
      <c r="E531" s="123"/>
      <c r="F531" s="123" t="s">
        <v>257</v>
      </c>
      <c r="G531" s="123" t="s">
        <v>68</v>
      </c>
      <c r="H531" s="123" t="s">
        <v>702</v>
      </c>
      <c r="I531" s="123"/>
      <c r="J531" s="105">
        <f>21/ATHENS!O1*ATHENS!O2</f>
        <v>38.18181818181818</v>
      </c>
      <c r="K531" s="105">
        <f>28/ATHENS!O1*ATHENS!O2</f>
        <v>50.909090909090907</v>
      </c>
      <c r="L531" s="105">
        <f>35/ATHENS!O1*ATHENS!O2</f>
        <v>63.636363636363633</v>
      </c>
      <c r="M531" s="105">
        <f>40/ATHENS!O1*ATHENS!O2</f>
        <v>72.72727272727272</v>
      </c>
      <c r="N531" s="105"/>
    </row>
    <row r="532" spans="1:14" ht="13.5" thickBot="1" x14ac:dyDescent="0.25">
      <c r="A532" s="108"/>
      <c r="B532" s="109"/>
      <c r="C532" s="109"/>
      <c r="D532" s="109"/>
      <c r="E532" s="110"/>
      <c r="F532" s="110"/>
      <c r="G532" s="110"/>
      <c r="H532" s="110"/>
      <c r="I532" s="110"/>
      <c r="J532" s="110"/>
      <c r="K532" s="110"/>
      <c r="L532" s="110"/>
      <c r="M532" s="110"/>
      <c r="N532" s="110"/>
    </row>
    <row r="533" spans="1:14" ht="13.5" thickBot="1" x14ac:dyDescent="0.25">
      <c r="A533" s="112"/>
      <c r="B533" s="113"/>
      <c r="C533" s="113"/>
      <c r="D533" s="113"/>
      <c r="E533" s="114"/>
      <c r="F533" s="114"/>
      <c r="G533" s="114"/>
      <c r="H533" s="114"/>
      <c r="I533" s="114"/>
      <c r="J533" s="114"/>
      <c r="K533" s="114"/>
      <c r="L533" s="114"/>
      <c r="M533" s="114"/>
      <c r="N533" s="115"/>
    </row>
    <row r="534" spans="1:14" ht="15.75" thickBot="1" x14ac:dyDescent="0.25">
      <c r="A534" s="116"/>
      <c r="B534" s="484" t="s">
        <v>1171</v>
      </c>
      <c r="C534" s="485"/>
      <c r="D534" s="485"/>
      <c r="E534" s="485"/>
      <c r="F534" s="485"/>
      <c r="G534" s="485"/>
      <c r="H534" s="485"/>
      <c r="I534" s="485"/>
      <c r="J534" s="485"/>
      <c r="K534" s="485"/>
      <c r="L534" s="485"/>
      <c r="M534" s="486"/>
      <c r="N534" s="117" t="s">
        <v>664</v>
      </c>
    </row>
    <row r="535" spans="1:14" x14ac:dyDescent="0.2">
      <c r="A535" s="116"/>
      <c r="B535" s="118" t="s">
        <v>428</v>
      </c>
      <c r="C535" s="119" t="s">
        <v>1219</v>
      </c>
      <c r="D535" s="119"/>
      <c r="E535" s="120"/>
      <c r="F535" s="120"/>
      <c r="G535" s="120"/>
      <c r="H535" s="120"/>
      <c r="I535" s="120"/>
      <c r="J535" s="120"/>
      <c r="K535" s="120"/>
      <c r="L535" s="120"/>
      <c r="M535" s="120"/>
      <c r="N535" s="101"/>
    </row>
    <row r="536" spans="1:14" x14ac:dyDescent="0.2">
      <c r="A536" s="116"/>
      <c r="B536" s="118" t="s">
        <v>429</v>
      </c>
      <c r="C536" s="119" t="s">
        <v>879</v>
      </c>
      <c r="D536" s="119"/>
      <c r="E536" s="120"/>
      <c r="F536" s="120"/>
      <c r="G536" s="120"/>
      <c r="H536" s="120"/>
      <c r="I536" s="120"/>
      <c r="J536" s="120"/>
      <c r="K536" s="120"/>
      <c r="L536" s="120"/>
      <c r="M536" s="120"/>
      <c r="N536" s="101"/>
    </row>
    <row r="537" spans="1:14" x14ac:dyDescent="0.2">
      <c r="A537" s="116"/>
      <c r="B537" s="118" t="s">
        <v>427</v>
      </c>
      <c r="C537" s="480" t="s">
        <v>1618</v>
      </c>
      <c r="D537" s="480"/>
      <c r="E537" s="480"/>
      <c r="F537" s="480"/>
      <c r="G537" s="480"/>
      <c r="H537" s="480"/>
      <c r="I537" s="480"/>
      <c r="J537" s="480"/>
      <c r="K537" s="480"/>
      <c r="L537" s="480"/>
      <c r="M537" s="480"/>
      <c r="N537" s="481"/>
    </row>
    <row r="538" spans="1:14" x14ac:dyDescent="0.2">
      <c r="A538" s="116"/>
      <c r="B538" s="118"/>
      <c r="C538" s="480"/>
      <c r="D538" s="480"/>
      <c r="E538" s="480"/>
      <c r="F538" s="480"/>
      <c r="G538" s="480"/>
      <c r="H538" s="480"/>
      <c r="I538" s="480"/>
      <c r="J538" s="480"/>
      <c r="K538" s="480"/>
      <c r="L538" s="480"/>
      <c r="M538" s="480"/>
      <c r="N538" s="481"/>
    </row>
    <row r="539" spans="1:14" x14ac:dyDescent="0.2">
      <c r="A539" s="116"/>
      <c r="B539" s="118"/>
      <c r="C539" s="480"/>
      <c r="D539" s="480"/>
      <c r="E539" s="480"/>
      <c r="F539" s="480"/>
      <c r="G539" s="480"/>
      <c r="H539" s="480"/>
      <c r="I539" s="480"/>
      <c r="J539" s="480"/>
      <c r="K539" s="480"/>
      <c r="L539" s="480"/>
      <c r="M539" s="480"/>
      <c r="N539" s="481"/>
    </row>
    <row r="540" spans="1:14" x14ac:dyDescent="0.2">
      <c r="A540" s="116"/>
      <c r="B540" s="118"/>
      <c r="C540" s="480"/>
      <c r="D540" s="480"/>
      <c r="E540" s="480"/>
      <c r="F540" s="480"/>
      <c r="G540" s="480"/>
      <c r="H540" s="480"/>
      <c r="I540" s="480"/>
      <c r="J540" s="480"/>
      <c r="K540" s="480"/>
      <c r="L540" s="480"/>
      <c r="M540" s="480"/>
      <c r="N540" s="481"/>
    </row>
    <row r="541" spans="1:14" x14ac:dyDescent="0.2">
      <c r="A541" s="116"/>
      <c r="B541" s="118"/>
      <c r="C541" s="480"/>
      <c r="D541" s="480"/>
      <c r="E541" s="480"/>
      <c r="F541" s="480"/>
      <c r="G541" s="480"/>
      <c r="H541" s="480"/>
      <c r="I541" s="480"/>
      <c r="J541" s="480"/>
      <c r="K541" s="480"/>
      <c r="L541" s="480"/>
      <c r="M541" s="480"/>
      <c r="N541" s="481"/>
    </row>
    <row r="542" spans="1:14" x14ac:dyDescent="0.2">
      <c r="A542" s="116"/>
      <c r="B542" s="118" t="s">
        <v>426</v>
      </c>
      <c r="C542" s="119" t="s">
        <v>1503</v>
      </c>
      <c r="D542" s="119"/>
      <c r="E542" s="120"/>
      <c r="F542" s="120"/>
      <c r="G542" s="120"/>
      <c r="H542" s="120"/>
      <c r="I542" s="120"/>
      <c r="J542" s="120"/>
      <c r="K542" s="120"/>
      <c r="L542" s="120"/>
      <c r="M542" s="120"/>
      <c r="N542" s="101"/>
    </row>
    <row r="543" spans="1:14" ht="13.5" thickBot="1" x14ac:dyDescent="0.25">
      <c r="A543" s="116"/>
      <c r="B543" s="118" t="s">
        <v>430</v>
      </c>
      <c r="C543" s="119"/>
      <c r="D543" s="119"/>
      <c r="E543" s="120"/>
      <c r="F543" s="120"/>
      <c r="G543" s="120"/>
      <c r="H543" s="120"/>
      <c r="I543" s="120"/>
      <c r="J543" s="120"/>
      <c r="K543" s="120"/>
      <c r="L543" s="120"/>
      <c r="M543" s="120"/>
      <c r="N543" s="101"/>
    </row>
    <row r="544" spans="1:14" x14ac:dyDescent="0.2">
      <c r="A544" s="112"/>
      <c r="B544" s="113" t="s">
        <v>263</v>
      </c>
      <c r="C544" s="113"/>
      <c r="D544" s="113"/>
      <c r="E544" s="114"/>
      <c r="F544" s="114"/>
      <c r="G544" s="114"/>
      <c r="H544" s="114"/>
      <c r="I544" s="114"/>
      <c r="J544" s="127" t="s">
        <v>758</v>
      </c>
      <c r="K544" s="126" t="s">
        <v>279</v>
      </c>
      <c r="L544" s="126" t="s">
        <v>820</v>
      </c>
      <c r="M544" s="126"/>
      <c r="N544" s="126"/>
    </row>
    <row r="545" spans="1:14" ht="13.5" thickBot="1" x14ac:dyDescent="0.25">
      <c r="A545" s="121"/>
      <c r="B545" s="122"/>
      <c r="C545" s="122"/>
      <c r="D545" s="122"/>
      <c r="E545" s="123"/>
      <c r="F545" s="123"/>
      <c r="G545" s="123"/>
      <c r="H545" s="123"/>
      <c r="I545" s="123"/>
      <c r="J545" s="125" t="s">
        <v>481</v>
      </c>
      <c r="K545" s="105" t="s">
        <v>280</v>
      </c>
      <c r="L545" s="105" t="s">
        <v>1440</v>
      </c>
      <c r="M545" s="105" t="s">
        <v>822</v>
      </c>
      <c r="N545" s="105"/>
    </row>
    <row r="546" spans="1:14" x14ac:dyDescent="0.2">
      <c r="A546" s="112"/>
      <c r="B546" s="467" t="s">
        <v>67</v>
      </c>
      <c r="C546" s="467"/>
      <c r="D546" s="467"/>
      <c r="E546" s="114"/>
      <c r="F546" s="114" t="s">
        <v>1180</v>
      </c>
      <c r="G546" s="114" t="s">
        <v>68</v>
      </c>
      <c r="H546" s="114" t="s">
        <v>702</v>
      </c>
      <c r="I546" s="114"/>
      <c r="J546" s="100">
        <f>57/ATHENS!O1*ATHENS!O2</f>
        <v>103.63636363636363</v>
      </c>
      <c r="K546" s="100">
        <f>75/ATHENS!O1*ATHENS!O2</f>
        <v>136.36363636363635</v>
      </c>
      <c r="L546" s="100">
        <f>93/ATHENS!O1*ATHENS!O2</f>
        <v>169.09090909090907</v>
      </c>
      <c r="M546" s="100">
        <f>111/ATHENS!O1*ATHENS!O2</f>
        <v>201.81818181818181</v>
      </c>
      <c r="N546" s="100"/>
    </row>
    <row r="547" spans="1:14" x14ac:dyDescent="0.2">
      <c r="A547" s="116"/>
      <c r="B547" s="461" t="s">
        <v>67</v>
      </c>
      <c r="C547" s="461"/>
      <c r="D547" s="461"/>
      <c r="E547" s="120"/>
      <c r="F547" s="120" t="s">
        <v>1181</v>
      </c>
      <c r="G547" s="120" t="s">
        <v>68</v>
      </c>
      <c r="H547" s="120" t="s">
        <v>702</v>
      </c>
      <c r="I547" s="120"/>
      <c r="J547" s="100">
        <f>35.5/ATHENS!O1*ATHENS!O2</f>
        <v>64.545454545454547</v>
      </c>
      <c r="K547" s="100">
        <f>47/ATHENS!O1*ATHENS!O2</f>
        <v>85.454545454545453</v>
      </c>
      <c r="L547" s="100">
        <f>58/ATHENS!O1*ATHENS!O2</f>
        <v>105.45454545454544</v>
      </c>
      <c r="M547" s="100">
        <f>69.5/ATHENS!O1*ATHENS!O2</f>
        <v>126.36363636363636</v>
      </c>
      <c r="N547" s="100"/>
    </row>
    <row r="548" spans="1:14" ht="13.5" thickBot="1" x14ac:dyDescent="0.25">
      <c r="A548" s="121"/>
      <c r="B548" s="460" t="s">
        <v>67</v>
      </c>
      <c r="C548" s="460"/>
      <c r="D548" s="460"/>
      <c r="E548" s="123"/>
      <c r="F548" s="123" t="s">
        <v>1182</v>
      </c>
      <c r="G548" s="123" t="s">
        <v>68</v>
      </c>
      <c r="H548" s="123" t="s">
        <v>702</v>
      </c>
      <c r="I548" s="123"/>
      <c r="J548" s="105">
        <f>31.95/ATHENS!O1*ATHENS!O2</f>
        <v>58.090909090909086</v>
      </c>
      <c r="K548" s="105">
        <f>42.5/ATHENS!O1*ATHENS!O2</f>
        <v>77.272727272727266</v>
      </c>
      <c r="L548" s="105">
        <f>52.5/ATHENS!O1*ATHENS!O2</f>
        <v>95.454545454545453</v>
      </c>
      <c r="M548" s="105">
        <f>62.5/ATHENS!O1*ATHENS!O2</f>
        <v>113.63636363636363</v>
      </c>
      <c r="N548" s="105"/>
    </row>
    <row r="549" spans="1:14" x14ac:dyDescent="0.2">
      <c r="A549" s="108"/>
      <c r="B549" s="109"/>
      <c r="C549" s="109"/>
      <c r="D549" s="109"/>
      <c r="E549" s="110"/>
      <c r="F549" s="110"/>
      <c r="G549" s="110"/>
      <c r="H549" s="110"/>
      <c r="I549" s="110"/>
      <c r="J549" s="110"/>
      <c r="K549" s="110"/>
      <c r="L549" s="110"/>
      <c r="M549" s="110"/>
      <c r="N549" s="110"/>
    </row>
  </sheetData>
  <customSheetViews>
    <customSheetView guid="{3C76061C-A85D-4390-B9DB-73E13038638C}" showPageBreaks="1" showGridLines="0" printArea="1" view="pageLayout" topLeftCell="A545">
      <selection activeCell="M51" sqref="M51"/>
      <rowBreaks count="10" manualBreakCount="10">
        <brk id="64" max="16383" man="1"/>
        <brk id="114" max="16383" man="1"/>
        <brk id="188" max="16383" man="1"/>
        <brk id="242" max="16383" man="1"/>
        <brk id="276" max="16383" man="1"/>
        <brk id="312" max="16383" man="1"/>
        <brk id="360" max="16383" man="1"/>
        <brk id="404" max="16383" man="1"/>
        <brk id="458" max="16383" man="1"/>
        <brk id="504" max="16383" man="1"/>
      </rowBreaks>
      <pageMargins left="0.28125" right="0.25" top="0.6692913385826772" bottom="0.70866141732283472" header="0.23622047244094491" footer="0.47244094488188981"/>
      <printOptions horizontalCentered="1"/>
      <pageSetup paperSize="9" firstPageNumber="94"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 guid="{777CFE61-6F99-11D9-974B-0050BFD074B6}" showRuler="0">
      <selection activeCell="K14" sqref="K14:N18"/>
      <pageMargins left="0" right="0" top="0" bottom="0" header="0" footer="0"/>
      <pageSetup paperSize="9" orientation="portrait" horizontalDpi="4294967293" verticalDpi="300" r:id="rId2"/>
      <headerFooter alignWithMargins="0"/>
    </customSheetView>
  </customSheetViews>
  <mergeCells count="163">
    <mergeCell ref="B14:D14"/>
    <mergeCell ref="B186:D186"/>
    <mergeCell ref="B2:M2"/>
    <mergeCell ref="C5:N7"/>
    <mergeCell ref="B12:D12"/>
    <mergeCell ref="B13:D13"/>
    <mergeCell ref="B82:D82"/>
    <mergeCell ref="B66:M66"/>
    <mergeCell ref="B43:D43"/>
    <mergeCell ref="B47:M47"/>
    <mergeCell ref="B62:D62"/>
    <mergeCell ref="B161:D161"/>
    <mergeCell ref="C22:N23"/>
    <mergeCell ref="B28:D28"/>
    <mergeCell ref="B94:D94"/>
    <mergeCell ref="B112:D112"/>
    <mergeCell ref="B116:M116"/>
    <mergeCell ref="B85:M85"/>
    <mergeCell ref="C88:N89"/>
    <mergeCell ref="B99:M99"/>
    <mergeCell ref="C102:N106"/>
    <mergeCell ref="B95:D95"/>
    <mergeCell ref="B113:D113"/>
    <mergeCell ref="B16:D16"/>
    <mergeCell ref="B342:D342"/>
    <mergeCell ref="B344:D344"/>
    <mergeCell ref="B296:D296"/>
    <mergeCell ref="B293:D293"/>
    <mergeCell ref="B308:D308"/>
    <mergeCell ref="B310:D310"/>
    <mergeCell ref="C264:N266"/>
    <mergeCell ref="B15:D15"/>
    <mergeCell ref="B81:D81"/>
    <mergeCell ref="C35:N37"/>
    <mergeCell ref="B42:D42"/>
    <mergeCell ref="B60:D60"/>
    <mergeCell ref="B61:D61"/>
    <mergeCell ref="C50:N53"/>
    <mergeCell ref="B80:D80"/>
    <mergeCell ref="C69:N75"/>
    <mergeCell ref="B29:D29"/>
    <mergeCell ref="B261:M261"/>
    <mergeCell ref="B204:D204"/>
    <mergeCell ref="B143:D143"/>
    <mergeCell ref="B207:M207"/>
    <mergeCell ref="B227:M227"/>
    <mergeCell ref="C230:N235"/>
    <mergeCell ref="B146:D146"/>
    <mergeCell ref="B19:M19"/>
    <mergeCell ref="B326:D326"/>
    <mergeCell ref="B343:D343"/>
    <mergeCell ref="B220:D220"/>
    <mergeCell ref="B222:D222"/>
    <mergeCell ref="B223:D223"/>
    <mergeCell ref="B221:D221"/>
    <mergeCell ref="B258:D258"/>
    <mergeCell ref="C302:N303"/>
    <mergeCell ref="C249:N251"/>
    <mergeCell ref="B240:D240"/>
    <mergeCell ref="B239:D239"/>
    <mergeCell ref="C119:N120"/>
    <mergeCell ref="B125:D125"/>
    <mergeCell ref="B203:D203"/>
    <mergeCell ref="B131:M131"/>
    <mergeCell ref="C134:N138"/>
    <mergeCell ref="B190:M190"/>
    <mergeCell ref="C193:N199"/>
    <mergeCell ref="B185:D185"/>
    <mergeCell ref="C334:N336"/>
    <mergeCell ref="B32:M32"/>
    <mergeCell ref="B111:D111"/>
    <mergeCell ref="B314:M314"/>
    <mergeCell ref="C178:N180"/>
    <mergeCell ref="B127:D127"/>
    <mergeCell ref="B126:D126"/>
    <mergeCell ref="B175:M175"/>
    <mergeCell ref="C210:N214"/>
    <mergeCell ref="B241:D241"/>
    <mergeCell ref="B246:M246"/>
    <mergeCell ref="B294:D294"/>
    <mergeCell ref="B295:D295"/>
    <mergeCell ref="B271:D271"/>
    <mergeCell ref="B149:M149"/>
    <mergeCell ref="C152:N153"/>
    <mergeCell ref="B158:D158"/>
    <mergeCell ref="B159:D159"/>
    <mergeCell ref="B372:D372"/>
    <mergeCell ref="B373:D373"/>
    <mergeCell ref="B341:D341"/>
    <mergeCell ref="B256:D256"/>
    <mergeCell ref="B257:D257"/>
    <mergeCell ref="B274:D274"/>
    <mergeCell ref="B273:D273"/>
    <mergeCell ref="B327:D327"/>
    <mergeCell ref="B272:D272"/>
    <mergeCell ref="B280:M280"/>
    <mergeCell ref="B362:M362"/>
    <mergeCell ref="C365:N367"/>
    <mergeCell ref="B311:D311"/>
    <mergeCell ref="B299:M299"/>
    <mergeCell ref="C283:N288"/>
    <mergeCell ref="B309:D309"/>
    <mergeCell ref="B347:M347"/>
    <mergeCell ref="B359:D359"/>
    <mergeCell ref="B358:D358"/>
    <mergeCell ref="C317:N319"/>
    <mergeCell ref="C350:N352"/>
    <mergeCell ref="B331:M331"/>
    <mergeCell ref="B325:D325"/>
    <mergeCell ref="B357:D357"/>
    <mergeCell ref="B376:M376"/>
    <mergeCell ref="B485:D485"/>
    <mergeCell ref="B475:M475"/>
    <mergeCell ref="B470:D470"/>
    <mergeCell ref="C379:N380"/>
    <mergeCell ref="C393:N396"/>
    <mergeCell ref="B385:D385"/>
    <mergeCell ref="B456:D456"/>
    <mergeCell ref="B460:M460"/>
    <mergeCell ref="B484:D484"/>
    <mergeCell ref="C463:N465"/>
    <mergeCell ref="B471:D471"/>
    <mergeCell ref="B440:M440"/>
    <mergeCell ref="C443:N451"/>
    <mergeCell ref="B387:D387"/>
    <mergeCell ref="B437:D437"/>
    <mergeCell ref="C426:N428"/>
    <mergeCell ref="B433:D433"/>
    <mergeCell ref="C478:N479"/>
    <mergeCell ref="B436:D436"/>
    <mergeCell ref="B435:D435"/>
    <mergeCell ref="B434:D434"/>
    <mergeCell ref="B423:M423"/>
    <mergeCell ref="B386:D386"/>
    <mergeCell ref="B390:M390"/>
    <mergeCell ref="B457:D457"/>
    <mergeCell ref="B406:M406"/>
    <mergeCell ref="C409:N413"/>
    <mergeCell ref="B418:D418"/>
    <mergeCell ref="B420:D420"/>
    <mergeCell ref="B419:D419"/>
    <mergeCell ref="B486:D486"/>
    <mergeCell ref="B489:M489"/>
    <mergeCell ref="B547:D547"/>
    <mergeCell ref="B548:D548"/>
    <mergeCell ref="B531:D531"/>
    <mergeCell ref="C537:N541"/>
    <mergeCell ref="B534:M534"/>
    <mergeCell ref="C492:N495"/>
    <mergeCell ref="B503:D503"/>
    <mergeCell ref="B502:D502"/>
    <mergeCell ref="B501:D501"/>
    <mergeCell ref="B530:D530"/>
    <mergeCell ref="B529:D529"/>
    <mergeCell ref="C523:N524"/>
    <mergeCell ref="B515:D515"/>
    <mergeCell ref="B517:D517"/>
    <mergeCell ref="C509:N510"/>
    <mergeCell ref="B516:D516"/>
    <mergeCell ref="B506:M506"/>
    <mergeCell ref="B546:D546"/>
    <mergeCell ref="B520:M520"/>
    <mergeCell ref="B500:D500"/>
  </mergeCells>
  <phoneticPr fontId="0" type="noConversion"/>
  <hyperlinks>
    <hyperlink ref="B246:M246" r:id="rId3" display="Caldera's Lilium Villa" xr:uid="{00000000-0004-0000-2300-000000000000}"/>
    <hyperlink ref="B347:M347" r:id="rId4" display="Ellinon Thea " xr:uid="{00000000-0004-0000-2300-000001000000}"/>
    <hyperlink ref="B2:M2" r:id="rId5" display="Aressana " xr:uid="{00000000-0004-0000-2300-000002000000}"/>
    <hyperlink ref="B32:M32" r:id="rId6" display="Katikies" xr:uid="{00000000-0004-0000-2300-000003000000}"/>
    <hyperlink ref="B47:M47" r:id="rId7" display="Kirini Suites &amp; Spa" xr:uid="{00000000-0004-0000-2300-000004000000}"/>
    <hyperlink ref="B66:M66" r:id="rId8" display="Majestic" xr:uid="{00000000-0004-0000-2300-000005000000}"/>
    <hyperlink ref="B85:M85" r:id="rId9" display="Mystique " xr:uid="{00000000-0004-0000-2300-000006000000}"/>
    <hyperlink ref="B99:M99" r:id="rId10" display="Nine Muses" xr:uid="{00000000-0004-0000-2300-000007000000}"/>
    <hyperlink ref="B131:M131" r:id="rId11" display="Santorini Princess" xr:uid="{00000000-0004-0000-2300-000008000000}"/>
    <hyperlink ref="B175:M175" r:id="rId12" display="Sun Rocks - Apartment " xr:uid="{00000000-0004-0000-2300-000009000000}"/>
    <hyperlink ref="B190:M190" r:id="rId13" display="Vedema" xr:uid="{00000000-0004-0000-2300-00000A000000}"/>
    <hyperlink ref="B207:M207" r:id="rId14" display="Zannos Melathron" xr:uid="{00000000-0004-0000-2300-00000B000000}"/>
    <hyperlink ref="B227:M227" r:id="rId15" display="Aegean Plaza" xr:uid="{00000000-0004-0000-2300-00000C000000}"/>
    <hyperlink ref="B261:M261" r:id="rId16" display="Canaves Oia Suites" xr:uid="{00000000-0004-0000-2300-00000D000000}"/>
    <hyperlink ref="B19:M19" r:id="rId17" display="Chromata - Apartment " xr:uid="{00000000-0004-0000-2300-00000E000000}"/>
    <hyperlink ref="B280:M280" r:id="rId18" display="Cliff Side" xr:uid="{00000000-0004-0000-2300-00000F000000}"/>
    <hyperlink ref="B299:M299" r:id="rId19" display="Daedalus" xr:uid="{00000000-0004-0000-2300-000010000000}"/>
    <hyperlink ref="B314:M314" r:id="rId20" display="Dana Villas - Apartment " xr:uid="{00000000-0004-0000-2300-000011000000}"/>
    <hyperlink ref="B331:M331" r:id="rId21" display="El Greco" xr:uid="{00000000-0004-0000-2300-000012000000}"/>
    <hyperlink ref="B362:M362" r:id="rId22" display="Nomikos Villas" xr:uid="{00000000-0004-0000-2300-000013000000}"/>
    <hyperlink ref="B376:M376" r:id="rId23" display="On The Rocks - Apartment " xr:uid="{00000000-0004-0000-2300-000014000000}"/>
    <hyperlink ref="B390:M390" r:id="rId24" display="Rocabella Villas - Apartment " xr:uid="{00000000-0004-0000-2300-000015000000}"/>
    <hyperlink ref="B406:M406" r:id="rId25" display="Rose Bay" xr:uid="{00000000-0004-0000-2300-000016000000}"/>
    <hyperlink ref="B423:M423" r:id="rId26" display="Santorini Palace" xr:uid="{00000000-0004-0000-2300-000017000000}"/>
    <hyperlink ref="B440:M440" r:id="rId27" display="Suites of the Gods Spa Hotel" xr:uid="{00000000-0004-0000-2300-000018000000}"/>
    <hyperlink ref="B460:M460" r:id="rId28" display="Theoxenia" xr:uid="{00000000-0004-0000-2300-000019000000}"/>
    <hyperlink ref="B475:M475" r:id="rId29" display="Tzekos Villas" xr:uid="{00000000-0004-0000-2300-00001A000000}"/>
    <hyperlink ref="B489:M489" r:id="rId30" display="Volcano’s View - Apartment " xr:uid="{00000000-0004-0000-2300-00001B000000}"/>
    <hyperlink ref="B506:M506" r:id="rId31" display="Akis" xr:uid="{00000000-0004-0000-2300-00001C000000}"/>
    <hyperlink ref="B534:M534" r:id="rId32" display="Kamari Beach" xr:uid="{00000000-0004-0000-2300-00001D000000}"/>
    <hyperlink ref="B116:M116" r:id="rId33" display="Perivolas - Apartment" xr:uid="{00000000-0004-0000-2300-00001E000000}"/>
    <hyperlink ref="B149:M149" r:id="rId34" display="Splendour" xr:uid="{00000000-0004-0000-2300-00001F000000}"/>
    <hyperlink ref="B520:M520" r:id="rId35" display="Albatros" xr:uid="{00000000-0004-0000-2300-000020000000}"/>
  </hyperlinks>
  <printOptions horizontalCentered="1"/>
  <pageMargins left="0.28125" right="0.25" top="0.6692913385826772" bottom="0.70866141732283472" header="0.23622047244094491" footer="0.47244094488188981"/>
  <pageSetup paperSize="9" firstPageNumber="94" orientation="portrait" useFirstPageNumber="1" horizontalDpi="300" verticalDpi="300" r:id="rId36"/>
  <headerFooter scaleWithDoc="0" alignWithMargins="0">
    <oddHeader xml:space="preserve">&amp;C TARIFF 2021
 (EURO)
</oddHeader>
    <oddFooter>&amp;LAll rates are in EURO&amp;C
TARIFF 2021
&amp;RPage &amp;P</oddFooter>
  </headerFooter>
  <rowBreaks count="10" manualBreakCount="10">
    <brk id="64" max="16383" man="1"/>
    <brk id="114" max="16383" man="1"/>
    <brk id="188" max="16383" man="1"/>
    <brk id="242" max="16383" man="1"/>
    <brk id="276" max="16383" man="1"/>
    <brk id="312" max="16383" man="1"/>
    <brk id="360" max="16383" man="1"/>
    <brk id="404" max="16383" man="1"/>
    <brk id="458" max="16383" man="1"/>
    <brk id="504"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126"/>
  <sheetViews>
    <sheetView showGridLines="0" view="pageLayout" topLeftCell="A37" workbookViewId="0">
      <selection activeCell="M53" sqref="M53"/>
    </sheetView>
  </sheetViews>
  <sheetFormatPr defaultRowHeight="12.75" x14ac:dyDescent="0.2"/>
  <cols>
    <col min="1" max="1" width="1.85546875" style="140" customWidth="1"/>
    <col min="2" max="3" width="10.7109375" style="140" customWidth="1"/>
    <col min="4" max="9" width="3.7109375" style="140" customWidth="1"/>
    <col min="10" max="10" width="11.28515625" style="140" customWidth="1"/>
    <col min="11" max="14" width="10.7109375" style="140" customWidth="1"/>
    <col min="15" max="15" width="9.28515625" style="140" customWidth="1"/>
    <col min="16" max="20" width="3.7109375" style="140" customWidth="1"/>
    <col min="21" max="21" width="3.28515625" style="140" customWidth="1"/>
    <col min="22" max="25" width="2.7109375" style="140" customWidth="1"/>
    <col min="26" max="16384" width="9.140625" style="140"/>
  </cols>
  <sheetData>
    <row r="1" spans="1:14" s="111" customFormat="1" ht="13.5" thickBot="1" x14ac:dyDescent="0.25">
      <c r="A1" s="112"/>
      <c r="B1" s="113"/>
      <c r="C1" s="113"/>
      <c r="D1" s="113"/>
      <c r="E1" s="114"/>
      <c r="F1" s="114"/>
      <c r="G1" s="114"/>
      <c r="H1" s="114"/>
      <c r="I1" s="114"/>
      <c r="J1" s="114"/>
      <c r="K1" s="114"/>
      <c r="L1" s="114"/>
      <c r="M1" s="114"/>
      <c r="N1" s="115"/>
    </row>
    <row r="2" spans="1:14" s="111" customFormat="1" ht="15.75" thickBot="1" x14ac:dyDescent="0.25">
      <c r="A2" s="116"/>
      <c r="B2" s="484" t="s">
        <v>556</v>
      </c>
      <c r="C2" s="485"/>
      <c r="D2" s="485"/>
      <c r="E2" s="485"/>
      <c r="F2" s="485"/>
      <c r="G2" s="485"/>
      <c r="H2" s="485"/>
      <c r="I2" s="485"/>
      <c r="J2" s="485"/>
      <c r="K2" s="485"/>
      <c r="L2" s="485"/>
      <c r="M2" s="486"/>
      <c r="N2" s="117" t="s">
        <v>91</v>
      </c>
    </row>
    <row r="3" spans="1:14" s="111" customFormat="1" x14ac:dyDescent="0.2">
      <c r="A3" s="116"/>
      <c r="B3" s="118" t="s">
        <v>428</v>
      </c>
      <c r="C3" s="119" t="s">
        <v>234</v>
      </c>
      <c r="D3" s="119"/>
      <c r="E3" s="120"/>
      <c r="F3" s="120"/>
      <c r="G3" s="120"/>
      <c r="H3" s="120"/>
      <c r="I3" s="120"/>
      <c r="J3" s="120"/>
      <c r="K3" s="120"/>
      <c r="L3" s="120"/>
      <c r="M3" s="120"/>
      <c r="N3" s="101"/>
    </row>
    <row r="4" spans="1:14" s="111" customFormat="1" x14ac:dyDescent="0.2">
      <c r="A4" s="116"/>
      <c r="B4" s="118" t="s">
        <v>429</v>
      </c>
      <c r="C4" s="119" t="s">
        <v>309</v>
      </c>
      <c r="D4" s="119"/>
      <c r="E4" s="120"/>
      <c r="F4" s="120"/>
      <c r="G4" s="120"/>
      <c r="H4" s="120"/>
      <c r="I4" s="120"/>
      <c r="J4" s="120"/>
      <c r="K4" s="120"/>
      <c r="L4" s="120"/>
      <c r="M4" s="120"/>
      <c r="N4" s="101"/>
    </row>
    <row r="5" spans="1:14" s="111" customFormat="1" x14ac:dyDescent="0.2">
      <c r="A5" s="116"/>
      <c r="B5" s="118" t="s">
        <v>427</v>
      </c>
      <c r="C5" s="465" t="s">
        <v>233</v>
      </c>
      <c r="D5" s="465"/>
      <c r="E5" s="465"/>
      <c r="F5" s="465"/>
      <c r="G5" s="465"/>
      <c r="H5" s="465"/>
      <c r="I5" s="465"/>
      <c r="J5" s="465"/>
      <c r="K5" s="465"/>
      <c r="L5" s="465"/>
      <c r="M5" s="465"/>
      <c r="N5" s="466"/>
    </row>
    <row r="6" spans="1:14" s="111" customFormat="1" x14ac:dyDescent="0.2">
      <c r="A6" s="116"/>
      <c r="B6" s="118"/>
      <c r="C6" s="465"/>
      <c r="D6" s="465"/>
      <c r="E6" s="465"/>
      <c r="F6" s="465"/>
      <c r="G6" s="465"/>
      <c r="H6" s="465"/>
      <c r="I6" s="465"/>
      <c r="J6" s="465"/>
      <c r="K6" s="465"/>
      <c r="L6" s="465"/>
      <c r="M6" s="465"/>
      <c r="N6" s="466"/>
    </row>
    <row r="7" spans="1:14" s="111" customFormat="1" ht="13.5" thickBot="1" x14ac:dyDescent="0.25">
      <c r="A7" s="116"/>
      <c r="B7" s="118"/>
      <c r="C7" s="465"/>
      <c r="D7" s="465"/>
      <c r="E7" s="465"/>
      <c r="F7" s="465"/>
      <c r="G7" s="465"/>
      <c r="H7" s="465"/>
      <c r="I7" s="465"/>
      <c r="J7" s="465"/>
      <c r="K7" s="465"/>
      <c r="L7" s="465"/>
      <c r="M7" s="465"/>
      <c r="N7" s="466"/>
    </row>
    <row r="8" spans="1:14" s="111" customFormat="1" x14ac:dyDescent="0.2">
      <c r="A8" s="112"/>
      <c r="B8" s="113" t="s">
        <v>263</v>
      </c>
      <c r="C8" s="113"/>
      <c r="D8" s="113"/>
      <c r="E8" s="114"/>
      <c r="F8" s="114"/>
      <c r="G8" s="114"/>
      <c r="H8" s="114"/>
      <c r="I8" s="114"/>
      <c r="J8" s="127" t="s">
        <v>1869</v>
      </c>
      <c r="K8" s="126" t="s">
        <v>1871</v>
      </c>
      <c r="L8" s="126" t="s">
        <v>1873</v>
      </c>
      <c r="M8" s="126"/>
      <c r="N8" s="126"/>
    </row>
    <row r="9" spans="1:14" s="111" customFormat="1" ht="13.5" thickBot="1" x14ac:dyDescent="0.25">
      <c r="A9" s="121"/>
      <c r="B9" s="122"/>
      <c r="C9" s="122"/>
      <c r="D9" s="122"/>
      <c r="E9" s="123"/>
      <c r="F9" s="123"/>
      <c r="G9" s="123"/>
      <c r="H9" s="123"/>
      <c r="I9" s="123"/>
      <c r="J9" s="125" t="s">
        <v>1870</v>
      </c>
      <c r="K9" s="105" t="s">
        <v>1872</v>
      </c>
      <c r="L9" s="105" t="s">
        <v>799</v>
      </c>
      <c r="M9" s="105" t="s">
        <v>1874</v>
      </c>
      <c r="N9" s="105" t="s">
        <v>123</v>
      </c>
    </row>
    <row r="10" spans="1:14" s="111" customFormat="1" x14ac:dyDescent="0.2">
      <c r="A10" s="112"/>
      <c r="B10" s="467" t="s">
        <v>67</v>
      </c>
      <c r="C10" s="467"/>
      <c r="D10" s="467"/>
      <c r="E10" s="114"/>
      <c r="F10" s="114" t="s">
        <v>1180</v>
      </c>
      <c r="G10" s="114" t="s">
        <v>68</v>
      </c>
      <c r="H10" s="114" t="s">
        <v>702</v>
      </c>
      <c r="I10" s="114"/>
      <c r="J10" s="100">
        <f>70.5/ATHENS!O1*ATHENS!O2</f>
        <v>128.18181818181816</v>
      </c>
      <c r="K10" s="100">
        <f>88.5/ATHENS!O1*ATHENS!O2</f>
        <v>160.90909090909091</v>
      </c>
      <c r="L10" s="100">
        <f>106.5/ATHENS!O1*ATHENS!O2</f>
        <v>193.63636363636363</v>
      </c>
      <c r="M10" s="126">
        <f>124.5/ATHENS!O1*ATHENS!O2</f>
        <v>226.36363636363635</v>
      </c>
      <c r="N10" s="126">
        <f>151.5/ATHENS!O1*ATHENS!O2</f>
        <v>275.45454545454544</v>
      </c>
    </row>
    <row r="11" spans="1:14" s="111" customFormat="1" x14ac:dyDescent="0.2">
      <c r="A11" s="116"/>
      <c r="B11" s="461" t="s">
        <v>67</v>
      </c>
      <c r="C11" s="461"/>
      <c r="D11" s="461"/>
      <c r="E11" s="120"/>
      <c r="F11" s="120" t="s">
        <v>1181</v>
      </c>
      <c r="G11" s="120" t="s">
        <v>68</v>
      </c>
      <c r="H11" s="120" t="s">
        <v>702</v>
      </c>
      <c r="I11" s="120"/>
      <c r="J11" s="100">
        <f>40.5/ATHENS!O1*ATHENS!O2</f>
        <v>73.636363636363626</v>
      </c>
      <c r="K11" s="100">
        <f>49.5/ATHENS!O1*ATHENS!O2</f>
        <v>89.999999999999986</v>
      </c>
      <c r="L11" s="100">
        <f>58.5/ATHENS!O1*ATHENS!O2</f>
        <v>106.36363636363636</v>
      </c>
      <c r="M11" s="100">
        <f>67.5/ATHENS!O1*ATHENS!O2</f>
        <v>122.72727272727272</v>
      </c>
      <c r="N11" s="100">
        <f>81/ATHENS!O1*ATHENS!O2</f>
        <v>147.27272727272725</v>
      </c>
    </row>
    <row r="12" spans="1:14" s="111" customFormat="1" ht="13.5" thickBot="1" x14ac:dyDescent="0.25">
      <c r="A12" s="121"/>
      <c r="B12" s="460" t="s">
        <v>67</v>
      </c>
      <c r="C12" s="460"/>
      <c r="D12" s="460"/>
      <c r="E12" s="123"/>
      <c r="F12" s="123" t="s">
        <v>1182</v>
      </c>
      <c r="G12" s="123" t="s">
        <v>68</v>
      </c>
      <c r="H12" s="123" t="s">
        <v>702</v>
      </c>
      <c r="I12" s="123"/>
      <c r="J12" s="105">
        <f>36/ATHENS!O1*ATHENS!O2</f>
        <v>65.454545454545453</v>
      </c>
      <c r="K12" s="105">
        <f>45/ATHENS!O1*ATHENS!O2</f>
        <v>81.818181818181813</v>
      </c>
      <c r="L12" s="105">
        <f>54/ATHENS!O1*ATHENS!O2</f>
        <v>98.181818181818173</v>
      </c>
      <c r="M12" s="105">
        <f>61.5/ATHENS!O1*ATHENS!O2</f>
        <v>111.81818181818181</v>
      </c>
      <c r="N12" s="105">
        <f>72/ATHENS!O1*ATHENS!O2</f>
        <v>130.90909090909091</v>
      </c>
    </row>
    <row r="13" spans="1:14" s="111" customFormat="1" ht="13.5" thickBot="1" x14ac:dyDescent="0.25">
      <c r="A13" s="108"/>
      <c r="B13" s="109"/>
      <c r="C13" s="109"/>
      <c r="D13" s="109"/>
      <c r="E13" s="110"/>
      <c r="F13" s="110"/>
      <c r="G13" s="110"/>
      <c r="H13" s="110"/>
      <c r="I13" s="110"/>
      <c r="J13" s="110"/>
      <c r="K13" s="110"/>
      <c r="L13" s="110"/>
      <c r="M13" s="110"/>
      <c r="N13" s="110"/>
    </row>
    <row r="14" spans="1:14" s="111" customFormat="1" ht="13.5" thickBot="1" x14ac:dyDescent="0.25">
      <c r="A14" s="112"/>
      <c r="B14" s="113"/>
      <c r="C14" s="113"/>
      <c r="D14" s="113"/>
      <c r="E14" s="114"/>
      <c r="F14" s="114"/>
      <c r="G14" s="114"/>
      <c r="H14" s="114"/>
      <c r="I14" s="114"/>
      <c r="J14" s="114"/>
      <c r="K14" s="114"/>
      <c r="L14" s="114"/>
      <c r="M14" s="114"/>
      <c r="N14" s="115"/>
    </row>
    <row r="15" spans="1:14" s="111" customFormat="1" ht="15.75" thickBot="1" x14ac:dyDescent="0.25">
      <c r="A15" s="116"/>
      <c r="B15" s="484" t="s">
        <v>1384</v>
      </c>
      <c r="C15" s="485"/>
      <c r="D15" s="485"/>
      <c r="E15" s="485"/>
      <c r="F15" s="485"/>
      <c r="G15" s="485"/>
      <c r="H15" s="485"/>
      <c r="I15" s="485"/>
      <c r="J15" s="485"/>
      <c r="K15" s="485"/>
      <c r="L15" s="485"/>
      <c r="M15" s="486"/>
      <c r="N15" s="117" t="s">
        <v>91</v>
      </c>
    </row>
    <row r="16" spans="1:14" s="111" customFormat="1" x14ac:dyDescent="0.2">
      <c r="A16" s="116"/>
      <c r="B16" s="118" t="s">
        <v>428</v>
      </c>
      <c r="C16" s="119" t="s">
        <v>1385</v>
      </c>
      <c r="D16" s="119"/>
      <c r="E16" s="120"/>
      <c r="F16" s="120"/>
      <c r="G16" s="120"/>
      <c r="H16" s="120"/>
      <c r="I16" s="120"/>
      <c r="J16" s="120"/>
      <c r="K16" s="120"/>
      <c r="L16" s="120"/>
      <c r="M16" s="120"/>
      <c r="N16" s="101"/>
    </row>
    <row r="17" spans="1:14" s="111" customFormat="1" x14ac:dyDescent="0.2">
      <c r="A17" s="116"/>
      <c r="B17" s="118" t="s">
        <v>429</v>
      </c>
      <c r="C17" s="119" t="s">
        <v>562</v>
      </c>
      <c r="D17" s="119"/>
      <c r="E17" s="120"/>
      <c r="F17" s="120"/>
      <c r="G17" s="120"/>
      <c r="H17" s="120"/>
      <c r="I17" s="120"/>
      <c r="J17" s="120"/>
      <c r="K17" s="120"/>
      <c r="L17" s="120"/>
      <c r="M17" s="120"/>
      <c r="N17" s="101"/>
    </row>
    <row r="18" spans="1:14" s="111" customFormat="1" x14ac:dyDescent="0.2">
      <c r="A18" s="116"/>
      <c r="B18" s="118" t="s">
        <v>427</v>
      </c>
      <c r="C18" s="487" t="s">
        <v>1533</v>
      </c>
      <c r="D18" s="487"/>
      <c r="E18" s="487"/>
      <c r="F18" s="487"/>
      <c r="G18" s="487"/>
      <c r="H18" s="487"/>
      <c r="I18" s="487"/>
      <c r="J18" s="487"/>
      <c r="K18" s="487"/>
      <c r="L18" s="487"/>
      <c r="M18" s="487"/>
      <c r="N18" s="488"/>
    </row>
    <row r="19" spans="1:14" s="111" customFormat="1" x14ac:dyDescent="0.2">
      <c r="A19" s="116"/>
      <c r="B19" s="118"/>
      <c r="C19" s="487"/>
      <c r="D19" s="487"/>
      <c r="E19" s="487"/>
      <c r="F19" s="487"/>
      <c r="G19" s="487"/>
      <c r="H19" s="487"/>
      <c r="I19" s="487"/>
      <c r="J19" s="487"/>
      <c r="K19" s="487"/>
      <c r="L19" s="487"/>
      <c r="M19" s="487"/>
      <c r="N19" s="488"/>
    </row>
    <row r="20" spans="1:14" s="111" customFormat="1" x14ac:dyDescent="0.2">
      <c r="A20" s="116"/>
      <c r="B20" s="118"/>
      <c r="C20" s="487"/>
      <c r="D20" s="487"/>
      <c r="E20" s="487"/>
      <c r="F20" s="487"/>
      <c r="G20" s="487"/>
      <c r="H20" s="487"/>
      <c r="I20" s="487"/>
      <c r="J20" s="487"/>
      <c r="K20" s="487"/>
      <c r="L20" s="487"/>
      <c r="M20" s="487"/>
      <c r="N20" s="488"/>
    </row>
    <row r="21" spans="1:14" s="111" customFormat="1" ht="13.5" thickBot="1" x14ac:dyDescent="0.25">
      <c r="A21" s="116"/>
      <c r="B21" s="118" t="s">
        <v>426</v>
      </c>
      <c r="C21" s="119" t="s">
        <v>866</v>
      </c>
      <c r="D21" s="119"/>
      <c r="E21" s="120"/>
      <c r="F21" s="120"/>
      <c r="G21" s="120"/>
      <c r="H21" s="120"/>
      <c r="I21" s="120"/>
      <c r="J21" s="120"/>
      <c r="K21" s="120"/>
      <c r="L21" s="120"/>
      <c r="M21" s="120"/>
      <c r="N21" s="101"/>
    </row>
    <row r="22" spans="1:14" s="111" customFormat="1" x14ac:dyDescent="0.2">
      <c r="A22" s="112"/>
      <c r="B22" s="113" t="s">
        <v>263</v>
      </c>
      <c r="C22" s="113"/>
      <c r="D22" s="113"/>
      <c r="E22" s="114"/>
      <c r="F22" s="114"/>
      <c r="G22" s="114"/>
      <c r="H22" s="114"/>
      <c r="I22" s="114"/>
      <c r="J22" s="127" t="s">
        <v>2084</v>
      </c>
      <c r="K22" s="126" t="s">
        <v>2086</v>
      </c>
      <c r="L22" s="126" t="s">
        <v>2087</v>
      </c>
      <c r="M22" s="126" t="s">
        <v>934</v>
      </c>
      <c r="N22" s="126"/>
    </row>
    <row r="23" spans="1:14" s="111" customFormat="1" ht="13.5" thickBot="1" x14ac:dyDescent="0.25">
      <c r="A23" s="121"/>
      <c r="B23" s="122"/>
      <c r="C23" s="122"/>
      <c r="D23" s="122"/>
      <c r="E23" s="123"/>
      <c r="F23" s="123"/>
      <c r="G23" s="123"/>
      <c r="H23" s="123"/>
      <c r="I23" s="123"/>
      <c r="J23" s="125" t="s">
        <v>2085</v>
      </c>
      <c r="K23" s="105" t="s">
        <v>1428</v>
      </c>
      <c r="L23" s="105" t="s">
        <v>1808</v>
      </c>
      <c r="M23" s="105" t="s">
        <v>1588</v>
      </c>
      <c r="N23" s="105"/>
    </row>
    <row r="24" spans="1:14" s="111" customFormat="1" x14ac:dyDescent="0.2">
      <c r="A24" s="116"/>
      <c r="B24" s="461" t="s">
        <v>67</v>
      </c>
      <c r="C24" s="461"/>
      <c r="D24" s="461"/>
      <c r="E24" s="120"/>
      <c r="F24" s="120" t="s">
        <v>1181</v>
      </c>
      <c r="G24" s="120" t="s">
        <v>68</v>
      </c>
      <c r="H24" s="120" t="s">
        <v>702</v>
      </c>
      <c r="I24" s="120"/>
      <c r="J24" s="100">
        <f>35.5/ATHENS!O1*ATHENS!O2</f>
        <v>64.545454545454547</v>
      </c>
      <c r="K24" s="100">
        <f>56.8/ATHENS!O1*ATHENS!O2</f>
        <v>103.27272727272727</v>
      </c>
      <c r="L24" s="100">
        <f>80.7/ATHENS!O1*ATHENS!O2</f>
        <v>146.72727272727272</v>
      </c>
      <c r="M24" s="100">
        <f>108.9/ATHENS!O1*ATHENS!O2</f>
        <v>198</v>
      </c>
      <c r="N24" s="100"/>
    </row>
    <row r="25" spans="1:14" s="111" customFormat="1" x14ac:dyDescent="0.2">
      <c r="A25" s="116"/>
      <c r="B25" s="119" t="s">
        <v>67</v>
      </c>
      <c r="C25" s="119"/>
      <c r="D25" s="119"/>
      <c r="E25" s="120"/>
      <c r="F25" s="120" t="s">
        <v>1182</v>
      </c>
      <c r="G25" s="120" t="s">
        <v>68</v>
      </c>
      <c r="H25" s="120" t="s">
        <v>702</v>
      </c>
      <c r="I25" s="120"/>
      <c r="J25" s="100">
        <f>29.5/ATHENS!O1*ATHENS!O2</f>
        <v>53.636363636363633</v>
      </c>
      <c r="K25" s="100">
        <f>47.5/ATHENS!O1*ATHENS!O2</f>
        <v>86.36363636363636</v>
      </c>
      <c r="L25" s="100">
        <f>67.5/ATHENS!O1*ATHENS!O2</f>
        <v>122.72727272727272</v>
      </c>
      <c r="M25" s="100">
        <f>90.8/ATHENS!O1*ATHENS!O2</f>
        <v>165.09090909090907</v>
      </c>
      <c r="N25" s="100"/>
    </row>
    <row r="26" spans="1:14" s="111" customFormat="1" ht="13.5" thickBot="1" x14ac:dyDescent="0.25">
      <c r="A26" s="121"/>
      <c r="B26" s="460"/>
      <c r="C26" s="460"/>
      <c r="D26" s="460"/>
      <c r="E26" s="123"/>
      <c r="F26" s="123"/>
      <c r="G26" s="123"/>
      <c r="H26" s="123"/>
      <c r="I26" s="123"/>
      <c r="J26" s="105"/>
      <c r="K26" s="105"/>
      <c r="L26" s="105"/>
      <c r="M26" s="105"/>
      <c r="N26" s="105"/>
    </row>
    <row r="27" spans="1:14" s="111" customFormat="1" ht="13.5" thickBot="1" x14ac:dyDescent="0.25">
      <c r="A27" s="108"/>
      <c r="B27" s="109"/>
      <c r="C27" s="109"/>
      <c r="D27" s="109"/>
      <c r="E27" s="110"/>
      <c r="F27" s="110"/>
      <c r="G27" s="110"/>
      <c r="H27" s="110"/>
      <c r="I27" s="110"/>
      <c r="J27" s="110"/>
      <c r="K27" s="110"/>
      <c r="L27" s="110"/>
      <c r="M27" s="110"/>
      <c r="N27" s="110"/>
    </row>
    <row r="28" spans="1:14" s="111" customFormat="1" ht="13.5" thickBot="1" x14ac:dyDescent="0.25">
      <c r="A28" s="112"/>
      <c r="B28" s="113"/>
      <c r="C28" s="113"/>
      <c r="D28" s="113"/>
      <c r="E28" s="114"/>
      <c r="F28" s="114"/>
      <c r="G28" s="114"/>
      <c r="H28" s="114"/>
      <c r="I28" s="114"/>
      <c r="J28" s="114"/>
      <c r="K28" s="114"/>
      <c r="L28" s="114"/>
      <c r="M28" s="114"/>
      <c r="N28" s="115"/>
    </row>
    <row r="29" spans="1:14" s="111" customFormat="1" ht="15.75" thickBot="1" x14ac:dyDescent="0.25">
      <c r="A29" s="116"/>
      <c r="B29" s="484" t="s">
        <v>867</v>
      </c>
      <c r="C29" s="485"/>
      <c r="D29" s="485"/>
      <c r="E29" s="485"/>
      <c r="F29" s="485"/>
      <c r="G29" s="485"/>
      <c r="H29" s="485"/>
      <c r="I29" s="485"/>
      <c r="J29" s="485"/>
      <c r="K29" s="485"/>
      <c r="L29" s="485"/>
      <c r="M29" s="486"/>
      <c r="N29" s="117" t="s">
        <v>96</v>
      </c>
    </row>
    <row r="30" spans="1:14" s="111" customFormat="1" x14ac:dyDescent="0.2">
      <c r="A30" s="116"/>
      <c r="B30" s="118" t="s">
        <v>428</v>
      </c>
      <c r="C30" s="119" t="s">
        <v>868</v>
      </c>
      <c r="D30" s="119"/>
      <c r="E30" s="120"/>
      <c r="F30" s="120"/>
      <c r="G30" s="120"/>
      <c r="H30" s="120"/>
      <c r="I30" s="120"/>
      <c r="J30" s="120"/>
      <c r="K30" s="120"/>
      <c r="L30" s="120"/>
      <c r="M30" s="120"/>
      <c r="N30" s="101"/>
    </row>
    <row r="31" spans="1:14" s="111" customFormat="1" x14ac:dyDescent="0.2">
      <c r="A31" s="116"/>
      <c r="B31" s="118" t="s">
        <v>429</v>
      </c>
      <c r="C31" s="119" t="s">
        <v>1092</v>
      </c>
      <c r="D31" s="119"/>
      <c r="E31" s="120"/>
      <c r="F31" s="120"/>
      <c r="G31" s="120"/>
      <c r="H31" s="120"/>
      <c r="I31" s="120"/>
      <c r="J31" s="120"/>
      <c r="K31" s="120"/>
      <c r="L31" s="120"/>
      <c r="M31" s="120"/>
      <c r="N31" s="101"/>
    </row>
    <row r="32" spans="1:14" s="111" customFormat="1" x14ac:dyDescent="0.2">
      <c r="A32" s="116"/>
      <c r="B32" s="118" t="s">
        <v>427</v>
      </c>
      <c r="C32" s="480" t="s">
        <v>1631</v>
      </c>
      <c r="D32" s="480"/>
      <c r="E32" s="480"/>
      <c r="F32" s="480"/>
      <c r="G32" s="480"/>
      <c r="H32" s="480"/>
      <c r="I32" s="480"/>
      <c r="J32" s="480"/>
      <c r="K32" s="480"/>
      <c r="L32" s="480"/>
      <c r="M32" s="480"/>
      <c r="N32" s="481"/>
    </row>
    <row r="33" spans="1:14" s="111" customFormat="1" x14ac:dyDescent="0.2">
      <c r="A33" s="116"/>
      <c r="B33" s="118"/>
      <c r="C33" s="480"/>
      <c r="D33" s="480"/>
      <c r="E33" s="480"/>
      <c r="F33" s="480"/>
      <c r="G33" s="480"/>
      <c r="H33" s="480"/>
      <c r="I33" s="480"/>
      <c r="J33" s="480"/>
      <c r="K33" s="480"/>
      <c r="L33" s="480"/>
      <c r="M33" s="480"/>
      <c r="N33" s="481"/>
    </row>
    <row r="34" spans="1:14" s="111" customFormat="1" ht="13.5" thickBot="1" x14ac:dyDescent="0.25">
      <c r="A34" s="116"/>
      <c r="B34" s="118" t="s">
        <v>426</v>
      </c>
      <c r="C34" s="119" t="s">
        <v>869</v>
      </c>
      <c r="D34" s="119"/>
      <c r="E34" s="120"/>
      <c r="F34" s="120"/>
      <c r="G34" s="120"/>
      <c r="H34" s="120"/>
      <c r="I34" s="120"/>
      <c r="J34" s="120"/>
      <c r="K34" s="120"/>
      <c r="L34" s="120"/>
      <c r="M34" s="120"/>
      <c r="N34" s="101"/>
    </row>
    <row r="35" spans="1:14" s="111" customFormat="1" x14ac:dyDescent="0.2">
      <c r="A35" s="112"/>
      <c r="B35" s="113" t="s">
        <v>263</v>
      </c>
      <c r="C35" s="113"/>
      <c r="D35" s="113"/>
      <c r="E35" s="114"/>
      <c r="F35" s="114"/>
      <c r="G35" s="114"/>
      <c r="H35" s="114"/>
      <c r="I35" s="114"/>
      <c r="J35" s="127" t="s">
        <v>1966</v>
      </c>
      <c r="K35" s="127" t="s">
        <v>279</v>
      </c>
      <c r="L35" s="127" t="s">
        <v>770</v>
      </c>
      <c r="M35" s="127"/>
      <c r="N35" s="126"/>
    </row>
    <row r="36" spans="1:14" s="111" customFormat="1" ht="13.5" thickBot="1" x14ac:dyDescent="0.25">
      <c r="A36" s="121"/>
      <c r="B36" s="122"/>
      <c r="C36" s="122"/>
      <c r="D36" s="122"/>
      <c r="E36" s="123"/>
      <c r="F36" s="123"/>
      <c r="G36" s="123"/>
      <c r="H36" s="123"/>
      <c r="I36" s="123"/>
      <c r="J36" s="125" t="s">
        <v>1967</v>
      </c>
      <c r="K36" s="125" t="s">
        <v>1968</v>
      </c>
      <c r="L36" s="125" t="s">
        <v>1969</v>
      </c>
      <c r="M36" s="125" t="s">
        <v>1970</v>
      </c>
      <c r="N36" s="105"/>
    </row>
    <row r="37" spans="1:14" s="111" customFormat="1" x14ac:dyDescent="0.2">
      <c r="A37" s="112"/>
      <c r="B37" s="467" t="s">
        <v>67</v>
      </c>
      <c r="C37" s="467"/>
      <c r="D37" s="467"/>
      <c r="E37" s="114"/>
      <c r="F37" s="114" t="s">
        <v>1180</v>
      </c>
      <c r="G37" s="114" t="s">
        <v>68</v>
      </c>
      <c r="H37" s="114" t="s">
        <v>702</v>
      </c>
      <c r="I37" s="114"/>
      <c r="J37" s="126">
        <f>126/ATHENS!O1*ATHENS!O2</f>
        <v>229.09090909090907</v>
      </c>
      <c r="K37" s="126">
        <f>162/ATHENS!O1*ATHENS!O2</f>
        <v>294.5454545454545</v>
      </c>
      <c r="L37" s="126">
        <f>180/ATHENS!O1*ATHENS!O2</f>
        <v>327.27272727272725</v>
      </c>
      <c r="M37" s="126">
        <f>198/ATHENS!O1*ATHENS!O2</f>
        <v>359.99999999999994</v>
      </c>
      <c r="N37" s="126"/>
    </row>
    <row r="38" spans="1:14" s="111" customFormat="1" x14ac:dyDescent="0.2">
      <c r="A38" s="116"/>
      <c r="B38" s="461" t="s">
        <v>67</v>
      </c>
      <c r="C38" s="461"/>
      <c r="D38" s="461"/>
      <c r="E38" s="120"/>
      <c r="F38" s="120" t="s">
        <v>1181</v>
      </c>
      <c r="G38" s="120" t="s">
        <v>68</v>
      </c>
      <c r="H38" s="120" t="s">
        <v>702</v>
      </c>
      <c r="I38" s="120"/>
      <c r="J38" s="100">
        <f>63/ATHENS!O1*ATHENS!O2</f>
        <v>114.54545454545453</v>
      </c>
      <c r="K38" s="100">
        <f>81/ATHENS!O1*ATHENS!O2</f>
        <v>147.27272727272725</v>
      </c>
      <c r="L38" s="100">
        <f>90/ATHENS!O1*ATHENS!O2</f>
        <v>163.63636363636363</v>
      </c>
      <c r="M38" s="100">
        <f>99/ATHENS!O1*ATHENS!O2</f>
        <v>179.99999999999997</v>
      </c>
      <c r="N38" s="100"/>
    </row>
    <row r="39" spans="1:14" s="111" customFormat="1" ht="13.5" thickBot="1" x14ac:dyDescent="0.25">
      <c r="A39" s="121"/>
      <c r="B39" s="460" t="s">
        <v>67</v>
      </c>
      <c r="C39" s="460"/>
      <c r="D39" s="460"/>
      <c r="E39" s="123"/>
      <c r="F39" s="123" t="s">
        <v>1182</v>
      </c>
      <c r="G39" s="123" t="s">
        <v>68</v>
      </c>
      <c r="H39" s="123" t="s">
        <v>702</v>
      </c>
      <c r="I39" s="123"/>
      <c r="J39" s="105">
        <f>48.6/ATHENS!O1*ATHENS!O2</f>
        <v>88.36363636363636</v>
      </c>
      <c r="K39" s="105">
        <f>60.6/ATHENS!O1*ATHENS!O2</f>
        <v>110.18181818181817</v>
      </c>
      <c r="L39" s="105">
        <f>66.6/ATHENS!O1*ATHENS!O2</f>
        <v>121.09090909090907</v>
      </c>
      <c r="M39" s="105">
        <f>72.6/ATHENS!O1*ATHENS!O2</f>
        <v>131.99999999999997</v>
      </c>
      <c r="N39" s="105"/>
    </row>
    <row r="40" spans="1:14" s="111" customFormat="1" ht="13.5" thickBot="1" x14ac:dyDescent="0.25">
      <c r="A40" s="134"/>
      <c r="B40" s="135" t="s">
        <v>870</v>
      </c>
      <c r="C40" s="135"/>
      <c r="D40" s="135"/>
      <c r="E40" s="136"/>
      <c r="F40" s="136"/>
      <c r="G40" s="136"/>
      <c r="H40" s="136"/>
      <c r="I40" s="136"/>
      <c r="J40" s="136"/>
      <c r="K40" s="136"/>
      <c r="L40" s="136"/>
      <c r="M40" s="136"/>
      <c r="N40" s="137"/>
    </row>
    <row r="41" spans="1:14" s="111" customFormat="1" ht="13.5" thickBot="1" x14ac:dyDescent="0.25">
      <c r="A41" s="108"/>
      <c r="B41" s="109"/>
      <c r="C41" s="109"/>
      <c r="D41" s="109"/>
      <c r="E41" s="110"/>
      <c r="F41" s="110"/>
      <c r="G41" s="110"/>
      <c r="H41" s="110"/>
      <c r="I41" s="110"/>
      <c r="J41" s="110"/>
      <c r="K41" s="110"/>
      <c r="L41" s="110"/>
      <c r="M41" s="110"/>
      <c r="N41" s="110"/>
    </row>
    <row r="42" spans="1:14" s="111" customFormat="1" ht="13.5" thickBot="1" x14ac:dyDescent="0.25">
      <c r="A42" s="112"/>
      <c r="B42" s="113"/>
      <c r="C42" s="113"/>
      <c r="D42" s="113"/>
      <c r="E42" s="114"/>
      <c r="F42" s="114"/>
      <c r="G42" s="114"/>
      <c r="H42" s="114"/>
      <c r="I42" s="114"/>
      <c r="J42" s="114"/>
      <c r="K42" s="114"/>
      <c r="L42" s="114"/>
      <c r="M42" s="114"/>
      <c r="N42" s="115"/>
    </row>
    <row r="43" spans="1:14" s="111" customFormat="1" ht="15.75" thickBot="1" x14ac:dyDescent="0.25">
      <c r="A43" s="116"/>
      <c r="B43" s="484" t="s">
        <v>236</v>
      </c>
      <c r="C43" s="485"/>
      <c r="D43" s="485"/>
      <c r="E43" s="485"/>
      <c r="F43" s="485"/>
      <c r="G43" s="485"/>
      <c r="H43" s="485"/>
      <c r="I43" s="485"/>
      <c r="J43" s="485"/>
      <c r="K43" s="485"/>
      <c r="L43" s="485"/>
      <c r="M43" s="486"/>
      <c r="N43" s="117" t="s">
        <v>96</v>
      </c>
    </row>
    <row r="44" spans="1:14" s="111" customFormat="1" x14ac:dyDescent="0.2">
      <c r="A44" s="116"/>
      <c r="B44" s="118" t="s">
        <v>428</v>
      </c>
      <c r="C44" s="119" t="s">
        <v>238</v>
      </c>
      <c r="D44" s="119"/>
      <c r="E44" s="120"/>
      <c r="F44" s="120"/>
      <c r="G44" s="120"/>
      <c r="H44" s="120"/>
      <c r="I44" s="120"/>
      <c r="J44" s="120"/>
      <c r="K44" s="120"/>
      <c r="L44" s="120"/>
      <c r="M44" s="120"/>
      <c r="N44" s="101"/>
    </row>
    <row r="45" spans="1:14" s="111" customFormat="1" x14ac:dyDescent="0.2">
      <c r="A45" s="116"/>
      <c r="B45" s="118" t="s">
        <v>429</v>
      </c>
      <c r="C45" s="119" t="s">
        <v>1243</v>
      </c>
      <c r="D45" s="119"/>
      <c r="E45" s="120"/>
      <c r="F45" s="120"/>
      <c r="G45" s="120"/>
      <c r="H45" s="120"/>
      <c r="I45" s="120"/>
      <c r="J45" s="120"/>
      <c r="K45" s="120"/>
      <c r="L45" s="120"/>
      <c r="M45" s="120"/>
      <c r="N45" s="101"/>
    </row>
    <row r="46" spans="1:14" s="111" customFormat="1" x14ac:dyDescent="0.2">
      <c r="A46" s="116"/>
      <c r="B46" s="118" t="s">
        <v>427</v>
      </c>
      <c r="C46" s="480" t="s">
        <v>62</v>
      </c>
      <c r="D46" s="480"/>
      <c r="E46" s="480"/>
      <c r="F46" s="480"/>
      <c r="G46" s="480"/>
      <c r="H46" s="480"/>
      <c r="I46" s="480"/>
      <c r="J46" s="480"/>
      <c r="K46" s="480"/>
      <c r="L46" s="480"/>
      <c r="M46" s="480"/>
      <c r="N46" s="481"/>
    </row>
    <row r="47" spans="1:14" s="111" customFormat="1" x14ac:dyDescent="0.2">
      <c r="A47" s="116"/>
      <c r="B47" s="118"/>
      <c r="C47" s="480"/>
      <c r="D47" s="480"/>
      <c r="E47" s="480"/>
      <c r="F47" s="480"/>
      <c r="G47" s="480"/>
      <c r="H47" s="480"/>
      <c r="I47" s="480"/>
      <c r="J47" s="480"/>
      <c r="K47" s="480"/>
      <c r="L47" s="480"/>
      <c r="M47" s="480"/>
      <c r="N47" s="481"/>
    </row>
    <row r="48" spans="1:14" s="111" customFormat="1" x14ac:dyDescent="0.2">
      <c r="A48" s="116"/>
      <c r="B48" s="118"/>
      <c r="C48" s="480"/>
      <c r="D48" s="480"/>
      <c r="E48" s="480"/>
      <c r="F48" s="480"/>
      <c r="G48" s="480"/>
      <c r="H48" s="480"/>
      <c r="I48" s="480"/>
      <c r="J48" s="480"/>
      <c r="K48" s="480"/>
      <c r="L48" s="480"/>
      <c r="M48" s="480"/>
      <c r="N48" s="481"/>
    </row>
    <row r="49" spans="1:14" s="111" customFormat="1" ht="13.5" thickBot="1" x14ac:dyDescent="0.25">
      <c r="A49" s="116"/>
      <c r="B49" s="109"/>
      <c r="C49" s="480"/>
      <c r="D49" s="480"/>
      <c r="E49" s="480"/>
      <c r="F49" s="480"/>
      <c r="G49" s="480"/>
      <c r="H49" s="480"/>
      <c r="I49" s="480"/>
      <c r="J49" s="480"/>
      <c r="K49" s="480"/>
      <c r="L49" s="480"/>
      <c r="M49" s="480"/>
      <c r="N49" s="481"/>
    </row>
    <row r="50" spans="1:14" s="111" customFormat="1" x14ac:dyDescent="0.2">
      <c r="A50" s="112"/>
      <c r="B50" s="113" t="s">
        <v>263</v>
      </c>
      <c r="C50" s="113"/>
      <c r="D50" s="113"/>
      <c r="E50" s="114"/>
      <c r="F50" s="114"/>
      <c r="G50" s="114"/>
      <c r="H50" s="114"/>
      <c r="I50" s="114"/>
      <c r="J50" s="127" t="s">
        <v>758</v>
      </c>
      <c r="K50" s="127" t="s">
        <v>279</v>
      </c>
      <c r="L50" s="127"/>
      <c r="M50" s="127"/>
      <c r="N50" s="126"/>
    </row>
    <row r="51" spans="1:14" s="111" customFormat="1" ht="13.5" thickBot="1" x14ac:dyDescent="0.25">
      <c r="A51" s="121"/>
      <c r="B51" s="122"/>
      <c r="C51" s="122"/>
      <c r="D51" s="122"/>
      <c r="E51" s="123"/>
      <c r="F51" s="123"/>
      <c r="G51" s="123"/>
      <c r="H51" s="123"/>
      <c r="I51" s="123"/>
      <c r="J51" s="125" t="s">
        <v>481</v>
      </c>
      <c r="K51" s="125" t="s">
        <v>832</v>
      </c>
      <c r="L51" s="125" t="s">
        <v>228</v>
      </c>
      <c r="M51" s="125" t="s">
        <v>188</v>
      </c>
      <c r="N51" s="105"/>
    </row>
    <row r="52" spans="1:14" s="111" customFormat="1" x14ac:dyDescent="0.2">
      <c r="A52" s="112"/>
      <c r="B52" s="467" t="s">
        <v>67</v>
      </c>
      <c r="C52" s="467"/>
      <c r="D52" s="467"/>
      <c r="E52" s="114"/>
      <c r="F52" s="114" t="s">
        <v>63</v>
      </c>
      <c r="G52" s="114" t="s">
        <v>68</v>
      </c>
      <c r="H52" s="114" t="s">
        <v>702</v>
      </c>
      <c r="I52" s="114"/>
      <c r="J52" s="126">
        <f>73.38/ATHENS!O1*ATHENS!O2</f>
        <v>133.41818181818181</v>
      </c>
      <c r="K52" s="126">
        <f>85.71/ATHENS!O1*ATHENS!O2</f>
        <v>155.83636363636361</v>
      </c>
      <c r="L52" s="126">
        <f>95.22/ATHENS!O1*ATHENS!O2</f>
        <v>173.12727272727273</v>
      </c>
      <c r="M52" s="126">
        <f>115.11/ATHENS!O1*ATHENS!O2</f>
        <v>209.29090909090908</v>
      </c>
      <c r="N52" s="126"/>
    </row>
    <row r="53" spans="1:14" s="111" customFormat="1" x14ac:dyDescent="0.2">
      <c r="A53" s="116"/>
      <c r="B53" s="461" t="s">
        <v>67</v>
      </c>
      <c r="C53" s="461"/>
      <c r="D53" s="461"/>
      <c r="E53" s="120"/>
      <c r="F53" s="120" t="s">
        <v>1196</v>
      </c>
      <c r="G53" s="120" t="s">
        <v>68</v>
      </c>
      <c r="H53" s="120" t="s">
        <v>702</v>
      </c>
      <c r="I53" s="120"/>
      <c r="J53" s="100">
        <f>36.69/ATHENS!O1*ATHENS!O2</f>
        <v>66.709090909090904</v>
      </c>
      <c r="K53" s="100">
        <f>42.85/ATHENS!O1*ATHENS!O2</f>
        <v>77.909090909090907</v>
      </c>
      <c r="L53" s="100">
        <f>47.61/ATHENS!O1*ATHENS!O2</f>
        <v>86.563636363636363</v>
      </c>
      <c r="M53" s="100">
        <f>57.55/ATHENS!O1*ATHENS!O2</f>
        <v>104.63636363636363</v>
      </c>
      <c r="N53" s="100"/>
    </row>
    <row r="54" spans="1:14" s="111" customFormat="1" ht="13.5" thickBot="1" x14ac:dyDescent="0.25">
      <c r="A54" s="121"/>
      <c r="B54" s="460" t="s">
        <v>67</v>
      </c>
      <c r="C54" s="460"/>
      <c r="D54" s="460"/>
      <c r="E54" s="123"/>
      <c r="F54" s="123" t="s">
        <v>370</v>
      </c>
      <c r="G54" s="123" t="s">
        <v>68</v>
      </c>
      <c r="H54" s="123" t="s">
        <v>702</v>
      </c>
      <c r="I54" s="123"/>
      <c r="J54" s="105">
        <f>28.2/ATHENS!O1*ATHENS!O2</f>
        <v>51.272727272727266</v>
      </c>
      <c r="K54" s="105">
        <f>33.48/ATHENS!O1*ATHENS!O2</f>
        <v>60.872727272727261</v>
      </c>
      <c r="L54" s="105">
        <f>42.81/ATHENS!O1*ATHENS!O2</f>
        <v>77.836363636363629</v>
      </c>
      <c r="M54" s="105">
        <f>51.78/ATHENS!O1*ATHENS!O2</f>
        <v>94.145454545454541</v>
      </c>
      <c r="N54" s="105"/>
    </row>
    <row r="55" spans="1:14" s="111" customFormat="1" ht="13.5" thickBot="1" x14ac:dyDescent="0.25">
      <c r="A55" s="112"/>
      <c r="B55" s="113"/>
      <c r="C55" s="113"/>
      <c r="D55" s="113"/>
      <c r="E55" s="114"/>
      <c r="F55" s="114"/>
      <c r="G55" s="114"/>
      <c r="H55" s="114"/>
      <c r="I55" s="114"/>
      <c r="J55" s="114"/>
      <c r="K55" s="114"/>
      <c r="L55" s="114"/>
      <c r="M55" s="114"/>
      <c r="N55" s="115"/>
    </row>
    <row r="56" spans="1:14" s="111" customFormat="1" ht="15.75" thickBot="1" x14ac:dyDescent="0.25">
      <c r="A56" s="116"/>
      <c r="B56" s="484" t="s">
        <v>662</v>
      </c>
      <c r="C56" s="485"/>
      <c r="D56" s="485"/>
      <c r="E56" s="485"/>
      <c r="F56" s="485"/>
      <c r="G56" s="485"/>
      <c r="H56" s="485"/>
      <c r="I56" s="485"/>
      <c r="J56" s="485"/>
      <c r="K56" s="485"/>
      <c r="L56" s="485"/>
      <c r="M56" s="486"/>
      <c r="N56" s="117" t="s">
        <v>96</v>
      </c>
    </row>
    <row r="57" spans="1:14" s="111" customFormat="1" x14ac:dyDescent="0.2">
      <c r="A57" s="116"/>
      <c r="B57" s="118" t="s">
        <v>428</v>
      </c>
      <c r="C57" s="119" t="s">
        <v>622</v>
      </c>
      <c r="D57" s="119"/>
      <c r="E57" s="120"/>
      <c r="F57" s="120"/>
      <c r="G57" s="120"/>
      <c r="H57" s="120"/>
      <c r="I57" s="120"/>
      <c r="J57" s="120"/>
      <c r="K57" s="120"/>
      <c r="L57" s="120"/>
      <c r="M57" s="120"/>
      <c r="N57" s="101"/>
    </row>
    <row r="58" spans="1:14" s="111" customFormat="1" x14ac:dyDescent="0.2">
      <c r="A58" s="116"/>
      <c r="B58" s="118" t="s">
        <v>429</v>
      </c>
      <c r="C58" s="119" t="s">
        <v>563</v>
      </c>
      <c r="D58" s="119"/>
      <c r="E58" s="120"/>
      <c r="F58" s="120"/>
      <c r="G58" s="120"/>
      <c r="H58" s="120"/>
      <c r="I58" s="120"/>
      <c r="J58" s="120"/>
      <c r="K58" s="120"/>
      <c r="L58" s="120"/>
      <c r="M58" s="120"/>
      <c r="N58" s="101"/>
    </row>
    <row r="59" spans="1:14" s="111" customFormat="1" x14ac:dyDescent="0.2">
      <c r="A59" s="116"/>
      <c r="B59" s="118" t="s">
        <v>427</v>
      </c>
      <c r="C59" s="480" t="s">
        <v>1632</v>
      </c>
      <c r="D59" s="480"/>
      <c r="E59" s="480"/>
      <c r="F59" s="480"/>
      <c r="G59" s="480"/>
      <c r="H59" s="480"/>
      <c r="I59" s="480"/>
      <c r="J59" s="480"/>
      <c r="K59" s="480"/>
      <c r="L59" s="480"/>
      <c r="M59" s="480"/>
      <c r="N59" s="481"/>
    </row>
    <row r="60" spans="1:14" s="111" customFormat="1" x14ac:dyDescent="0.2">
      <c r="A60" s="116"/>
      <c r="B60" s="118"/>
      <c r="C60" s="480"/>
      <c r="D60" s="480"/>
      <c r="E60" s="480"/>
      <c r="F60" s="480"/>
      <c r="G60" s="480"/>
      <c r="H60" s="480"/>
      <c r="I60" s="480"/>
      <c r="J60" s="480"/>
      <c r="K60" s="480"/>
      <c r="L60" s="480"/>
      <c r="M60" s="480"/>
      <c r="N60" s="481"/>
    </row>
    <row r="61" spans="1:14" s="111" customFormat="1" x14ac:dyDescent="0.2">
      <c r="A61" s="116"/>
      <c r="B61" s="118"/>
      <c r="C61" s="480"/>
      <c r="D61" s="480"/>
      <c r="E61" s="480"/>
      <c r="F61" s="480"/>
      <c r="G61" s="480"/>
      <c r="H61" s="480"/>
      <c r="I61" s="480"/>
      <c r="J61" s="480"/>
      <c r="K61" s="480"/>
      <c r="L61" s="480"/>
      <c r="M61" s="480"/>
      <c r="N61" s="481"/>
    </row>
    <row r="62" spans="1:14" s="111" customFormat="1" ht="13.5" thickBot="1" x14ac:dyDescent="0.25">
      <c r="A62" s="116"/>
      <c r="B62" s="118" t="s">
        <v>426</v>
      </c>
      <c r="C62" s="119" t="s">
        <v>623</v>
      </c>
      <c r="D62" s="119"/>
      <c r="E62" s="120"/>
      <c r="F62" s="120"/>
      <c r="G62" s="120"/>
      <c r="H62" s="120"/>
      <c r="I62" s="120"/>
      <c r="J62" s="120"/>
      <c r="K62" s="120"/>
      <c r="L62" s="120"/>
      <c r="M62" s="120"/>
      <c r="N62" s="101"/>
    </row>
    <row r="63" spans="1:14" s="111" customFormat="1" x14ac:dyDescent="0.2">
      <c r="A63" s="112"/>
      <c r="B63" s="113" t="s">
        <v>263</v>
      </c>
      <c r="C63" s="113"/>
      <c r="D63" s="113"/>
      <c r="E63" s="114"/>
      <c r="F63" s="114"/>
      <c r="G63" s="114"/>
      <c r="H63" s="114"/>
      <c r="I63" s="114"/>
      <c r="J63" s="127" t="s">
        <v>1414</v>
      </c>
      <c r="K63" s="126" t="s">
        <v>1409</v>
      </c>
      <c r="L63" s="126"/>
      <c r="M63" s="126"/>
      <c r="N63" s="126"/>
    </row>
    <row r="64" spans="1:14" s="111" customFormat="1" ht="13.5" thickBot="1" x14ac:dyDescent="0.25">
      <c r="A64" s="121"/>
      <c r="B64" s="122"/>
      <c r="C64" s="122"/>
      <c r="D64" s="122"/>
      <c r="E64" s="123"/>
      <c r="F64" s="123"/>
      <c r="G64" s="123"/>
      <c r="H64" s="123"/>
      <c r="I64" s="123"/>
      <c r="J64" s="125" t="s">
        <v>2088</v>
      </c>
      <c r="K64" s="105" t="s">
        <v>235</v>
      </c>
      <c r="L64" s="105" t="s">
        <v>1410</v>
      </c>
      <c r="M64" s="105"/>
      <c r="N64" s="105"/>
    </row>
    <row r="65" spans="1:14" s="111" customFormat="1" x14ac:dyDescent="0.2">
      <c r="A65" s="112"/>
      <c r="B65" s="467" t="s">
        <v>67</v>
      </c>
      <c r="C65" s="467"/>
      <c r="D65" s="467"/>
      <c r="E65" s="114"/>
      <c r="F65" s="114" t="s">
        <v>1180</v>
      </c>
      <c r="G65" s="114" t="s">
        <v>1484</v>
      </c>
      <c r="H65" s="114" t="s">
        <v>702</v>
      </c>
      <c r="I65" s="114"/>
      <c r="J65" s="100">
        <f>80.9/ATHENS!O1*ATHENS!O2</f>
        <v>147.09090909090909</v>
      </c>
      <c r="K65" s="100">
        <f>92.6/ATHENS!O1*ATHENS!O2</f>
        <v>168.36363636363635</v>
      </c>
      <c r="L65" s="100">
        <f>127.6/ATHENS!O1*ATHENS!O2</f>
        <v>231.99999999999997</v>
      </c>
      <c r="M65" s="100"/>
      <c r="N65" s="126"/>
    </row>
    <row r="66" spans="1:14" s="111" customFormat="1" x14ac:dyDescent="0.2">
      <c r="A66" s="116"/>
      <c r="B66" s="461" t="s">
        <v>67</v>
      </c>
      <c r="C66" s="461"/>
      <c r="D66" s="461"/>
      <c r="E66" s="120"/>
      <c r="F66" s="120" t="s">
        <v>1181</v>
      </c>
      <c r="G66" s="120" t="s">
        <v>1484</v>
      </c>
      <c r="H66" s="120" t="s">
        <v>702</v>
      </c>
      <c r="I66" s="120"/>
      <c r="J66" s="100">
        <f>42.6/ATHENS!O1*ATHENS!O2</f>
        <v>77.454545454545453</v>
      </c>
      <c r="K66" s="100">
        <f>62.5/ATHENS!O1*ATHENS!O2</f>
        <v>113.63636363636363</v>
      </c>
      <c r="L66" s="100">
        <f>75.9/ATHENS!O1*ATHENS!O2</f>
        <v>138</v>
      </c>
      <c r="M66" s="100"/>
      <c r="N66" s="100"/>
    </row>
    <row r="67" spans="1:14" s="111" customFormat="1" ht="13.5" thickBot="1" x14ac:dyDescent="0.25">
      <c r="A67" s="121"/>
      <c r="B67" s="460" t="s">
        <v>67</v>
      </c>
      <c r="C67" s="460"/>
      <c r="D67" s="460"/>
      <c r="E67" s="123"/>
      <c r="F67" s="123" t="s">
        <v>1182</v>
      </c>
      <c r="G67" s="123" t="s">
        <v>1484</v>
      </c>
      <c r="H67" s="123" t="s">
        <v>702</v>
      </c>
      <c r="I67" s="123"/>
      <c r="J67" s="105">
        <f>36.9/ATHENS!O1*ATHENS!O2</f>
        <v>67.090909090909079</v>
      </c>
      <c r="K67" s="105">
        <f>56.5/ATHENS!O1*ATHENS!O2</f>
        <v>102.72727272727272</v>
      </c>
      <c r="L67" s="105">
        <f>68.5/ATHENS!O1*ATHENS!O2</f>
        <v>124.54545454545453</v>
      </c>
      <c r="M67" s="105"/>
      <c r="N67" s="105"/>
    </row>
    <row r="68" spans="1:14" s="111" customFormat="1" ht="13.5" thickBot="1" x14ac:dyDescent="0.25">
      <c r="A68" s="134"/>
      <c r="B68" s="135" t="s">
        <v>1159</v>
      </c>
      <c r="C68" s="135"/>
      <c r="D68" s="135"/>
      <c r="E68" s="136"/>
      <c r="F68" s="136"/>
      <c r="G68" s="136"/>
      <c r="H68" s="136"/>
      <c r="I68" s="136"/>
      <c r="J68" s="136"/>
      <c r="K68" s="136"/>
      <c r="L68" s="136"/>
      <c r="M68" s="136"/>
      <c r="N68" s="137"/>
    </row>
    <row r="69" spans="1:14" s="111" customFormat="1" ht="13.5" thickBot="1" x14ac:dyDescent="0.25">
      <c r="A69" s="108"/>
      <c r="B69" s="109"/>
      <c r="C69" s="109"/>
      <c r="D69" s="109"/>
      <c r="E69" s="110"/>
      <c r="F69" s="110"/>
      <c r="G69" s="110"/>
      <c r="H69" s="110"/>
      <c r="I69" s="110"/>
      <c r="J69" s="110"/>
      <c r="K69" s="110"/>
      <c r="L69" s="110"/>
      <c r="M69" s="110"/>
      <c r="N69" s="110"/>
    </row>
    <row r="70" spans="1:14" s="111" customFormat="1" ht="13.5" thickBot="1" x14ac:dyDescent="0.25">
      <c r="A70" s="112"/>
      <c r="B70" s="113"/>
      <c r="C70" s="113"/>
      <c r="D70" s="113"/>
      <c r="E70" s="114"/>
      <c r="F70" s="114"/>
      <c r="G70" s="114"/>
      <c r="H70" s="114"/>
      <c r="I70" s="114"/>
      <c r="J70" s="114"/>
      <c r="K70" s="114"/>
      <c r="L70" s="114"/>
      <c r="M70" s="114"/>
      <c r="N70" s="115"/>
    </row>
    <row r="71" spans="1:14" s="111" customFormat="1" ht="15.75" thickBot="1" x14ac:dyDescent="0.25">
      <c r="A71" s="116"/>
      <c r="B71" s="484" t="s">
        <v>237</v>
      </c>
      <c r="C71" s="485"/>
      <c r="D71" s="485"/>
      <c r="E71" s="485"/>
      <c r="F71" s="485"/>
      <c r="G71" s="485"/>
      <c r="H71" s="485"/>
      <c r="I71" s="485"/>
      <c r="J71" s="485"/>
      <c r="K71" s="485"/>
      <c r="L71" s="485"/>
      <c r="M71" s="486"/>
      <c r="N71" s="117" t="s">
        <v>96</v>
      </c>
    </row>
    <row r="72" spans="1:14" s="111" customFormat="1" x14ac:dyDescent="0.2">
      <c r="A72" s="116"/>
      <c r="B72" s="118" t="s">
        <v>428</v>
      </c>
      <c r="C72" s="119" t="s">
        <v>311</v>
      </c>
      <c r="D72" s="119"/>
      <c r="E72" s="120"/>
      <c r="F72" s="120"/>
      <c r="G72" s="120"/>
      <c r="H72" s="120"/>
      <c r="I72" s="120"/>
      <c r="J72" s="120"/>
      <c r="K72" s="120"/>
      <c r="L72" s="120"/>
      <c r="M72" s="120"/>
      <c r="N72" s="101"/>
    </row>
    <row r="73" spans="1:14" s="111" customFormat="1" x14ac:dyDescent="0.2">
      <c r="A73" s="116"/>
      <c r="B73" s="118" t="s">
        <v>429</v>
      </c>
      <c r="C73" s="119" t="s">
        <v>310</v>
      </c>
      <c r="D73" s="119"/>
      <c r="E73" s="120"/>
      <c r="F73" s="120"/>
      <c r="G73" s="120"/>
      <c r="H73" s="120"/>
      <c r="I73" s="120"/>
      <c r="J73" s="120"/>
      <c r="K73" s="120"/>
      <c r="L73" s="120"/>
      <c r="M73" s="120"/>
      <c r="N73" s="101"/>
    </row>
    <row r="74" spans="1:14" s="111" customFormat="1" x14ac:dyDescent="0.2">
      <c r="A74" s="116"/>
      <c r="B74" s="118" t="s">
        <v>427</v>
      </c>
      <c r="C74" s="495" t="s">
        <v>64</v>
      </c>
      <c r="D74" s="495"/>
      <c r="E74" s="495"/>
      <c r="F74" s="495"/>
      <c r="G74" s="495"/>
      <c r="H74" s="495"/>
      <c r="I74" s="495"/>
      <c r="J74" s="495"/>
      <c r="K74" s="495"/>
      <c r="L74" s="495"/>
      <c r="M74" s="495"/>
      <c r="N74" s="496"/>
    </row>
    <row r="75" spans="1:14" s="111" customFormat="1" x14ac:dyDescent="0.2">
      <c r="A75" s="116"/>
      <c r="B75" s="118"/>
      <c r="C75" s="495"/>
      <c r="D75" s="495"/>
      <c r="E75" s="495"/>
      <c r="F75" s="495"/>
      <c r="G75" s="495"/>
      <c r="H75" s="495"/>
      <c r="I75" s="495"/>
      <c r="J75" s="495"/>
      <c r="K75" s="495"/>
      <c r="L75" s="495"/>
      <c r="M75" s="495"/>
      <c r="N75" s="496"/>
    </row>
    <row r="76" spans="1:14" s="111" customFormat="1" x14ac:dyDescent="0.2">
      <c r="A76" s="116"/>
      <c r="B76" s="118"/>
      <c r="C76" s="495"/>
      <c r="D76" s="495"/>
      <c r="E76" s="495"/>
      <c r="F76" s="495"/>
      <c r="G76" s="495"/>
      <c r="H76" s="495"/>
      <c r="I76" s="495"/>
      <c r="J76" s="495"/>
      <c r="K76" s="495"/>
      <c r="L76" s="495"/>
      <c r="M76" s="495"/>
      <c r="N76" s="496"/>
    </row>
    <row r="77" spans="1:14" s="111" customFormat="1" ht="19.5" customHeight="1" thickBot="1" x14ac:dyDescent="0.25">
      <c r="A77" s="116"/>
      <c r="B77" s="109"/>
      <c r="C77" s="495"/>
      <c r="D77" s="495"/>
      <c r="E77" s="495"/>
      <c r="F77" s="495"/>
      <c r="G77" s="495"/>
      <c r="H77" s="495"/>
      <c r="I77" s="495"/>
      <c r="J77" s="495"/>
      <c r="K77" s="495"/>
      <c r="L77" s="495"/>
      <c r="M77" s="495"/>
      <c r="N77" s="496"/>
    </row>
    <row r="78" spans="1:14" s="111" customFormat="1" x14ac:dyDescent="0.2">
      <c r="A78" s="112"/>
      <c r="B78" s="113" t="s">
        <v>263</v>
      </c>
      <c r="C78" s="113"/>
      <c r="D78" s="113"/>
      <c r="E78" s="114"/>
      <c r="F78" s="114"/>
      <c r="G78" s="114"/>
      <c r="H78" s="114"/>
      <c r="I78" s="114"/>
      <c r="J78" s="127" t="s">
        <v>2039</v>
      </c>
      <c r="K78" s="127" t="s">
        <v>576</v>
      </c>
      <c r="L78" s="127" t="s">
        <v>577</v>
      </c>
      <c r="M78" s="127"/>
      <c r="N78" s="126"/>
    </row>
    <row r="79" spans="1:14" s="111" customFormat="1" ht="13.5" thickBot="1" x14ac:dyDescent="0.25">
      <c r="A79" s="121"/>
      <c r="B79" s="122"/>
      <c r="C79" s="122"/>
      <c r="D79" s="122"/>
      <c r="E79" s="123"/>
      <c r="F79" s="123"/>
      <c r="G79" s="123"/>
      <c r="H79" s="123"/>
      <c r="I79" s="123"/>
      <c r="J79" s="125" t="s">
        <v>2089</v>
      </c>
      <c r="K79" s="125" t="s">
        <v>1583</v>
      </c>
      <c r="L79" s="125" t="s">
        <v>235</v>
      </c>
      <c r="M79" s="125" t="s">
        <v>579</v>
      </c>
      <c r="N79" s="105"/>
    </row>
    <row r="80" spans="1:14" s="111" customFormat="1" x14ac:dyDescent="0.2">
      <c r="A80" s="116"/>
      <c r="B80" s="461" t="s">
        <v>67</v>
      </c>
      <c r="C80" s="461"/>
      <c r="D80" s="461"/>
      <c r="E80" s="120"/>
      <c r="F80" s="120" t="s">
        <v>1180</v>
      </c>
      <c r="G80" s="120" t="s">
        <v>68</v>
      </c>
      <c r="H80" s="120" t="s">
        <v>702</v>
      </c>
      <c r="I80" s="120"/>
      <c r="J80" s="100">
        <f>100.7/ATHENS!O1*ATHENS!O2</f>
        <v>183.09090909090909</v>
      </c>
      <c r="K80" s="100">
        <f>118.5/ATHENS!O1*ATHENS!O2</f>
        <v>215.45454545454544</v>
      </c>
      <c r="L80" s="100">
        <f>149.5/ATHENS!O1*ATHENS!O2</f>
        <v>271.81818181818181</v>
      </c>
      <c r="M80" s="100">
        <f>186.9/ATHENS!O1*ATHENS!O2</f>
        <v>339.81818181818181</v>
      </c>
      <c r="N80" s="100"/>
    </row>
    <row r="81" spans="1:14" s="111" customFormat="1" x14ac:dyDescent="0.2">
      <c r="A81" s="116"/>
      <c r="B81" s="119" t="s">
        <v>67</v>
      </c>
      <c r="C81" s="119"/>
      <c r="D81" s="119"/>
      <c r="E81" s="120"/>
      <c r="F81" s="120" t="s">
        <v>1181</v>
      </c>
      <c r="G81" s="120" t="s">
        <v>68</v>
      </c>
      <c r="H81" s="120" t="s">
        <v>702</v>
      </c>
      <c r="I81" s="120"/>
      <c r="J81" s="100">
        <f>50.5/ATHENS!O1*ATHENS!O2</f>
        <v>91.818181818181813</v>
      </c>
      <c r="K81" s="100">
        <f>59.5/ATHENS!O1*ATHENS!O2</f>
        <v>108.18181818181817</v>
      </c>
      <c r="L81" s="100">
        <f>74.5/ATHENS!O1*ATHENS!O2</f>
        <v>135.45454545454544</v>
      </c>
      <c r="M81" s="100">
        <f>93.5/ATHENS!O1*ATHENS!O2</f>
        <v>170</v>
      </c>
      <c r="N81" s="100"/>
    </row>
    <row r="82" spans="1:14" s="111" customFormat="1" ht="13.5" thickBot="1" x14ac:dyDescent="0.25">
      <c r="A82" s="121"/>
      <c r="B82" s="460" t="s">
        <v>67</v>
      </c>
      <c r="C82" s="460"/>
      <c r="D82" s="460"/>
      <c r="E82" s="123"/>
      <c r="F82" s="123" t="s">
        <v>1182</v>
      </c>
      <c r="G82" s="123" t="s">
        <v>68</v>
      </c>
      <c r="H82" s="123" t="s">
        <v>702</v>
      </c>
      <c r="I82" s="123"/>
      <c r="J82" s="105">
        <f>45.7/ATHENS!O1*ATHENS!O2</f>
        <v>83.090909090909093</v>
      </c>
      <c r="K82" s="105">
        <f>53.7/ATHENS!O1*ATHENS!O2</f>
        <v>97.63636363636364</v>
      </c>
      <c r="L82" s="105">
        <f>67.5/ATHENS!O1*ATHENS!O2</f>
        <v>122.72727272727272</v>
      </c>
      <c r="M82" s="105">
        <f>84.5/ATHENS!O1*ATHENS!O2</f>
        <v>153.63636363636363</v>
      </c>
      <c r="N82" s="105"/>
    </row>
    <row r="83" spans="1:14" s="111" customFormat="1" ht="11.25" customHeight="1" thickBot="1" x14ac:dyDescent="0.25">
      <c r="A83" s="108"/>
      <c r="B83" s="109"/>
      <c r="C83" s="109"/>
      <c r="D83" s="109"/>
      <c r="E83" s="110"/>
      <c r="F83" s="110"/>
      <c r="G83" s="110"/>
      <c r="H83" s="110"/>
      <c r="I83" s="110"/>
      <c r="J83" s="110"/>
      <c r="K83" s="110"/>
      <c r="L83" s="110"/>
      <c r="M83" s="110"/>
      <c r="N83" s="110"/>
    </row>
    <row r="84" spans="1:14" s="111" customFormat="1" ht="13.5" thickBot="1" x14ac:dyDescent="0.25">
      <c r="A84" s="112"/>
      <c r="B84" s="113"/>
      <c r="C84" s="113"/>
      <c r="D84" s="113"/>
      <c r="E84" s="114"/>
      <c r="F84" s="114"/>
      <c r="G84" s="114"/>
      <c r="H84" s="114"/>
      <c r="I84" s="114"/>
      <c r="J84" s="114"/>
      <c r="K84" s="114"/>
      <c r="L84" s="114"/>
      <c r="M84" s="114"/>
      <c r="N84" s="115"/>
    </row>
    <row r="85" spans="1:14" s="111" customFormat="1" ht="16.5" thickBot="1" x14ac:dyDescent="0.25">
      <c r="A85" s="116"/>
      <c r="B85" s="497" t="s">
        <v>762</v>
      </c>
      <c r="C85" s="498"/>
      <c r="D85" s="498"/>
      <c r="E85" s="498"/>
      <c r="F85" s="498"/>
      <c r="G85" s="498"/>
      <c r="H85" s="498"/>
      <c r="I85" s="498"/>
      <c r="J85" s="498"/>
      <c r="K85" s="498"/>
      <c r="L85" s="498"/>
      <c r="M85" s="499"/>
      <c r="N85" s="117" t="s">
        <v>664</v>
      </c>
    </row>
    <row r="86" spans="1:14" s="111" customFormat="1" x14ac:dyDescent="0.2">
      <c r="A86" s="116"/>
      <c r="B86" s="118" t="s">
        <v>428</v>
      </c>
      <c r="C86" s="119" t="s">
        <v>763</v>
      </c>
      <c r="D86" s="119"/>
      <c r="E86" s="120"/>
      <c r="F86" s="120"/>
      <c r="G86" s="120"/>
      <c r="H86" s="120"/>
      <c r="I86" s="120"/>
      <c r="J86" s="120"/>
      <c r="K86" s="120"/>
      <c r="L86" s="120"/>
      <c r="M86" s="120"/>
      <c r="N86" s="101"/>
    </row>
    <row r="87" spans="1:14" s="111" customFormat="1" x14ac:dyDescent="0.2">
      <c r="A87" s="116"/>
      <c r="B87" s="118" t="s">
        <v>429</v>
      </c>
      <c r="C87" s="119" t="s">
        <v>1494</v>
      </c>
      <c r="D87" s="119"/>
      <c r="E87" s="120"/>
      <c r="F87" s="120"/>
      <c r="G87" s="120"/>
      <c r="H87" s="120"/>
      <c r="I87" s="120"/>
      <c r="J87" s="120"/>
      <c r="K87" s="120"/>
      <c r="L87" s="120"/>
      <c r="M87" s="120"/>
      <c r="N87" s="101"/>
    </row>
    <row r="88" spans="1:14" s="111" customFormat="1" x14ac:dyDescent="0.2">
      <c r="A88" s="116"/>
      <c r="B88" s="118" t="s">
        <v>427</v>
      </c>
      <c r="C88" s="480" t="s">
        <v>1633</v>
      </c>
      <c r="D88" s="480"/>
      <c r="E88" s="480"/>
      <c r="F88" s="480"/>
      <c r="G88" s="480"/>
      <c r="H88" s="480"/>
      <c r="I88" s="480"/>
      <c r="J88" s="480"/>
      <c r="K88" s="480"/>
      <c r="L88" s="480"/>
      <c r="M88" s="480"/>
      <c r="N88" s="481"/>
    </row>
    <row r="89" spans="1:14" s="111" customFormat="1" ht="13.5" thickBot="1" x14ac:dyDescent="0.25">
      <c r="A89" s="116"/>
      <c r="B89" s="109"/>
      <c r="C89" s="500"/>
      <c r="D89" s="480"/>
      <c r="E89" s="480"/>
      <c r="F89" s="480"/>
      <c r="G89" s="480"/>
      <c r="H89" s="480"/>
      <c r="I89" s="480"/>
      <c r="J89" s="480"/>
      <c r="K89" s="480"/>
      <c r="L89" s="480"/>
      <c r="M89" s="480"/>
      <c r="N89" s="481"/>
    </row>
    <row r="90" spans="1:14" s="111" customFormat="1" x14ac:dyDescent="0.2">
      <c r="A90" s="112"/>
      <c r="B90" s="113" t="s">
        <v>263</v>
      </c>
      <c r="C90" s="113"/>
      <c r="D90" s="113"/>
      <c r="E90" s="114"/>
      <c r="F90" s="114"/>
      <c r="G90" s="114"/>
      <c r="H90" s="114"/>
      <c r="I90" s="114"/>
      <c r="J90" s="127" t="s">
        <v>1383</v>
      </c>
      <c r="K90" s="126" t="s">
        <v>507</v>
      </c>
      <c r="L90" s="126"/>
      <c r="M90" s="126"/>
      <c r="N90" s="126"/>
    </row>
    <row r="91" spans="1:14" s="111" customFormat="1" ht="13.5" thickBot="1" x14ac:dyDescent="0.25">
      <c r="A91" s="121"/>
      <c r="B91" s="122"/>
      <c r="C91" s="122"/>
      <c r="D91" s="122"/>
      <c r="E91" s="123"/>
      <c r="F91" s="123"/>
      <c r="G91" s="123"/>
      <c r="H91" s="123"/>
      <c r="I91" s="123"/>
      <c r="J91" s="125" t="s">
        <v>1587</v>
      </c>
      <c r="K91" s="105" t="s">
        <v>508</v>
      </c>
      <c r="L91" s="105" t="s">
        <v>514</v>
      </c>
      <c r="M91" s="105"/>
      <c r="N91" s="105"/>
    </row>
    <row r="92" spans="1:14" s="111" customFormat="1" x14ac:dyDescent="0.2">
      <c r="A92" s="112"/>
      <c r="B92" s="467" t="s">
        <v>67</v>
      </c>
      <c r="C92" s="467"/>
      <c r="D92" s="467"/>
      <c r="E92" s="114"/>
      <c r="F92" s="114" t="s">
        <v>1180</v>
      </c>
      <c r="G92" s="114" t="s">
        <v>68</v>
      </c>
      <c r="H92" s="114" t="s">
        <v>702</v>
      </c>
      <c r="I92" s="114"/>
      <c r="J92" s="100">
        <f>35.5/ATHENS!O1*ATHENS!O2</f>
        <v>64.545454545454547</v>
      </c>
      <c r="K92" s="100">
        <f>65.7/ATHENS!O1*ATHENS!O2</f>
        <v>119.45454545454545</v>
      </c>
      <c r="L92" s="100">
        <f>96.5/ATHENS!O1*ATHENS!O2</f>
        <v>175.45454545454544</v>
      </c>
      <c r="M92" s="100"/>
      <c r="N92" s="126"/>
    </row>
    <row r="93" spans="1:14" s="111" customFormat="1" x14ac:dyDescent="0.2">
      <c r="A93" s="116"/>
      <c r="B93" s="461" t="s">
        <v>67</v>
      </c>
      <c r="C93" s="461"/>
      <c r="D93" s="461"/>
      <c r="E93" s="120"/>
      <c r="F93" s="120" t="s">
        <v>1181</v>
      </c>
      <c r="G93" s="120" t="s">
        <v>68</v>
      </c>
      <c r="H93" s="120" t="s">
        <v>702</v>
      </c>
      <c r="I93" s="120"/>
      <c r="J93" s="100">
        <f>17.5/ATHENS!O1*ATHENS!O2</f>
        <v>31.818181818181817</v>
      </c>
      <c r="K93" s="100">
        <f>32.8/ATHENS!O1*ATHENS!O2</f>
        <v>59.636363636363626</v>
      </c>
      <c r="L93" s="100">
        <f>48.5/ATHENS!O1*ATHENS!O2</f>
        <v>88.181818181818173</v>
      </c>
      <c r="M93" s="100"/>
      <c r="N93" s="100"/>
    </row>
    <row r="94" spans="1:14" s="111" customFormat="1" ht="13.5" thickBot="1" x14ac:dyDescent="0.25">
      <c r="A94" s="121"/>
      <c r="B94" s="460" t="s">
        <v>67</v>
      </c>
      <c r="C94" s="460"/>
      <c r="D94" s="460"/>
      <c r="E94" s="123"/>
      <c r="F94" s="123" t="s">
        <v>1182</v>
      </c>
      <c r="G94" s="123" t="s">
        <v>68</v>
      </c>
      <c r="H94" s="123" t="s">
        <v>702</v>
      </c>
      <c r="I94" s="123"/>
      <c r="J94" s="105">
        <f>15.7/ATHENS!O1*ATHENS!O2</f>
        <v>28.545454545454543</v>
      </c>
      <c r="K94" s="105">
        <f>29.5/ATHENS!O1*ATHENS!O2</f>
        <v>53.636363636363633</v>
      </c>
      <c r="L94" s="105">
        <f>43.5/ATHENS!O1*ATHENS!O2</f>
        <v>79.090909090909079</v>
      </c>
      <c r="M94" s="105"/>
      <c r="N94" s="105"/>
    </row>
    <row r="95" spans="1:14" s="111" customFormat="1" ht="13.5" thickBot="1" x14ac:dyDescent="0.25">
      <c r="A95" s="134"/>
      <c r="B95" s="135" t="s">
        <v>629</v>
      </c>
      <c r="C95" s="135"/>
      <c r="D95" s="135"/>
      <c r="E95" s="136"/>
      <c r="F95" s="136"/>
      <c r="G95" s="136"/>
      <c r="H95" s="136"/>
      <c r="I95" s="136"/>
      <c r="J95" s="136"/>
      <c r="K95" s="136"/>
      <c r="L95" s="136"/>
      <c r="M95" s="136"/>
      <c r="N95" s="137"/>
    </row>
    <row r="96" spans="1:14" s="111" customFormat="1" x14ac:dyDescent="0.2">
      <c r="A96" s="239"/>
      <c r="B96" s="119"/>
      <c r="C96" s="119"/>
      <c r="D96" s="119"/>
      <c r="E96" s="120"/>
      <c r="F96" s="120"/>
      <c r="G96" s="120"/>
      <c r="H96" s="120"/>
      <c r="I96" s="120"/>
      <c r="J96" s="120"/>
      <c r="K96" s="120"/>
      <c r="L96" s="120"/>
      <c r="M96" s="120"/>
      <c r="N96" s="120"/>
    </row>
    <row r="97" spans="1:14" s="111" customFormat="1" ht="9.75" customHeight="1" thickBot="1" x14ac:dyDescent="0.25">
      <c r="A97" s="108"/>
      <c r="B97" s="109"/>
      <c r="C97" s="109"/>
      <c r="D97" s="109"/>
      <c r="E97" s="110"/>
      <c r="F97" s="110"/>
      <c r="G97" s="110"/>
      <c r="H97" s="110"/>
      <c r="I97" s="110"/>
      <c r="J97" s="110"/>
      <c r="K97" s="110"/>
      <c r="L97" s="110"/>
      <c r="M97" s="110"/>
      <c r="N97" s="110"/>
    </row>
    <row r="98" spans="1:14" s="111" customFormat="1" ht="13.5" thickBot="1" x14ac:dyDescent="0.25">
      <c r="A98" s="112"/>
      <c r="B98" s="113"/>
      <c r="C98" s="113"/>
      <c r="D98" s="113"/>
      <c r="E98" s="114"/>
      <c r="F98" s="114"/>
      <c r="G98" s="114"/>
      <c r="H98" s="114"/>
      <c r="I98" s="114"/>
      <c r="J98" s="114"/>
      <c r="K98" s="114"/>
      <c r="L98" s="114"/>
      <c r="M98" s="114"/>
      <c r="N98" s="115"/>
    </row>
    <row r="99" spans="1:14" s="111" customFormat="1" ht="15.75" thickBot="1" x14ac:dyDescent="0.25">
      <c r="A99" s="116"/>
      <c r="B99" s="484" t="s">
        <v>312</v>
      </c>
      <c r="C99" s="485"/>
      <c r="D99" s="485"/>
      <c r="E99" s="485"/>
      <c r="F99" s="485"/>
      <c r="G99" s="485"/>
      <c r="H99" s="485"/>
      <c r="I99" s="485"/>
      <c r="J99" s="485"/>
      <c r="K99" s="485"/>
      <c r="L99" s="485"/>
      <c r="M99" s="486"/>
      <c r="N99" s="117" t="s">
        <v>1102</v>
      </c>
    </row>
    <row r="100" spans="1:14" s="111" customFormat="1" x14ac:dyDescent="0.2">
      <c r="A100" s="116"/>
      <c r="B100" s="118" t="s">
        <v>428</v>
      </c>
      <c r="C100" s="119" t="s">
        <v>802</v>
      </c>
      <c r="D100" s="119"/>
      <c r="E100" s="120"/>
      <c r="F100" s="120"/>
      <c r="G100" s="120"/>
      <c r="H100" s="120"/>
      <c r="I100" s="120"/>
      <c r="J100" s="120"/>
      <c r="K100" s="120"/>
      <c r="L100" s="120"/>
      <c r="M100" s="120"/>
      <c r="N100" s="101"/>
    </row>
    <row r="101" spans="1:14" s="111" customFormat="1" x14ac:dyDescent="0.2">
      <c r="A101" s="116"/>
      <c r="B101" s="118" t="s">
        <v>429</v>
      </c>
      <c r="C101" s="119" t="s">
        <v>1058</v>
      </c>
      <c r="D101" s="119"/>
      <c r="E101" s="120"/>
      <c r="F101" s="120"/>
      <c r="G101" s="120"/>
      <c r="H101" s="120"/>
      <c r="I101" s="120"/>
      <c r="J101" s="120"/>
      <c r="K101" s="120"/>
      <c r="L101" s="120"/>
      <c r="M101" s="120"/>
      <c r="N101" s="101"/>
    </row>
    <row r="102" spans="1:14" s="111" customFormat="1" x14ac:dyDescent="0.2">
      <c r="A102" s="116"/>
      <c r="B102" s="118" t="s">
        <v>427</v>
      </c>
      <c r="C102" s="465" t="s">
        <v>1122</v>
      </c>
      <c r="D102" s="465"/>
      <c r="E102" s="465"/>
      <c r="F102" s="465"/>
      <c r="G102" s="465"/>
      <c r="H102" s="465"/>
      <c r="I102" s="465"/>
      <c r="J102" s="465"/>
      <c r="K102" s="465"/>
      <c r="L102" s="465"/>
      <c r="M102" s="465"/>
      <c r="N102" s="466"/>
    </row>
    <row r="103" spans="1:14" s="111" customFormat="1" x14ac:dyDescent="0.2">
      <c r="A103" s="116"/>
      <c r="B103" s="109"/>
      <c r="C103" s="465"/>
      <c r="D103" s="465"/>
      <c r="E103" s="465"/>
      <c r="F103" s="465"/>
      <c r="G103" s="465"/>
      <c r="H103" s="465"/>
      <c r="I103" s="465"/>
      <c r="J103" s="465"/>
      <c r="K103" s="465"/>
      <c r="L103" s="465"/>
      <c r="M103" s="465"/>
      <c r="N103" s="466"/>
    </row>
    <row r="104" spans="1:14" s="111" customFormat="1" ht="13.5" thickBot="1" x14ac:dyDescent="0.25">
      <c r="A104" s="116"/>
      <c r="B104" s="118" t="s">
        <v>426</v>
      </c>
      <c r="C104" s="119" t="s">
        <v>1059</v>
      </c>
      <c r="D104" s="119"/>
      <c r="E104" s="120"/>
      <c r="F104" s="120"/>
      <c r="G104" s="120"/>
      <c r="H104" s="119"/>
      <c r="I104" s="120"/>
      <c r="J104" s="119"/>
      <c r="K104" s="120"/>
      <c r="L104" s="120"/>
      <c r="M104" s="120"/>
      <c r="N104" s="101"/>
    </row>
    <row r="105" spans="1:14" s="111" customFormat="1" x14ac:dyDescent="0.2">
      <c r="A105" s="112"/>
      <c r="B105" s="113" t="s">
        <v>263</v>
      </c>
      <c r="C105" s="113"/>
      <c r="D105" s="113"/>
      <c r="E105" s="114"/>
      <c r="F105" s="114"/>
      <c r="G105" s="114"/>
      <c r="H105" s="114"/>
      <c r="I105" s="114"/>
      <c r="J105" s="127"/>
      <c r="K105" s="126" t="s">
        <v>279</v>
      </c>
      <c r="L105" s="126"/>
      <c r="M105" s="126"/>
      <c r="N105" s="126"/>
    </row>
    <row r="106" spans="1:14" s="111" customFormat="1" ht="13.5" thickBot="1" x14ac:dyDescent="0.25">
      <c r="A106" s="121"/>
      <c r="B106" s="122"/>
      <c r="C106" s="122"/>
      <c r="D106" s="122"/>
      <c r="E106" s="123"/>
      <c r="F106" s="123"/>
      <c r="G106" s="123"/>
      <c r="H106" s="123"/>
      <c r="I106" s="123"/>
      <c r="J106" s="125" t="s">
        <v>758</v>
      </c>
      <c r="K106" s="105" t="s">
        <v>832</v>
      </c>
      <c r="L106" s="105" t="s">
        <v>1341</v>
      </c>
      <c r="M106" s="105" t="s">
        <v>123</v>
      </c>
      <c r="N106" s="105"/>
    </row>
    <row r="107" spans="1:14" s="111" customFormat="1" x14ac:dyDescent="0.2">
      <c r="A107" s="112"/>
      <c r="B107" s="467" t="s">
        <v>67</v>
      </c>
      <c r="C107" s="467"/>
      <c r="D107" s="467"/>
      <c r="E107" s="114"/>
      <c r="F107" s="114" t="s">
        <v>1180</v>
      </c>
      <c r="G107" s="114" t="s">
        <v>68</v>
      </c>
      <c r="H107" s="114" t="s">
        <v>702</v>
      </c>
      <c r="I107" s="114"/>
      <c r="J107" s="126">
        <f>30/ATHENS!O1*ATHENS!O2</f>
        <v>54.54545454545454</v>
      </c>
      <c r="K107" s="126">
        <f>37.5/ATHENS!O1*ATHENS!O2</f>
        <v>68.181818181818173</v>
      </c>
      <c r="L107" s="126">
        <f>59/ATHENS!O1*ATHENS!O2</f>
        <v>107.27272727272727</v>
      </c>
      <c r="M107" s="126">
        <f>73/ATHENS!O1*ATHENS!O2</f>
        <v>132.72727272727272</v>
      </c>
      <c r="N107" s="126"/>
    </row>
    <row r="108" spans="1:14" s="111" customFormat="1" x14ac:dyDescent="0.2">
      <c r="A108" s="116"/>
      <c r="B108" s="461" t="s">
        <v>67</v>
      </c>
      <c r="C108" s="461"/>
      <c r="D108" s="461"/>
      <c r="E108" s="120"/>
      <c r="F108" s="120" t="s">
        <v>1181</v>
      </c>
      <c r="G108" s="120" t="s">
        <v>68</v>
      </c>
      <c r="H108" s="120" t="s">
        <v>702</v>
      </c>
      <c r="I108" s="120"/>
      <c r="J108" s="100">
        <f>17.25/ATHENS!O1*ATHENS!O2</f>
        <v>31.36363636363636</v>
      </c>
      <c r="K108" s="100">
        <f>22.5/ATHENS!O1*ATHENS!O2</f>
        <v>40.909090909090907</v>
      </c>
      <c r="L108" s="100">
        <f>36.5/ATHENS!O1*ATHENS!O2</f>
        <v>66.36363636363636</v>
      </c>
      <c r="M108" s="100">
        <f>43/ATHENS!O1*ATHENS!O2</f>
        <v>78.181818181818173</v>
      </c>
      <c r="N108" s="100"/>
    </row>
    <row r="109" spans="1:14" s="111" customFormat="1" ht="13.5" thickBot="1" x14ac:dyDescent="0.25">
      <c r="A109" s="121"/>
      <c r="B109" s="460" t="s">
        <v>67</v>
      </c>
      <c r="C109" s="460"/>
      <c r="D109" s="460"/>
      <c r="E109" s="123"/>
      <c r="F109" s="123" t="s">
        <v>1182</v>
      </c>
      <c r="G109" s="123" t="s">
        <v>68</v>
      </c>
      <c r="H109" s="123" t="s">
        <v>702</v>
      </c>
      <c r="I109" s="123"/>
      <c r="J109" s="105">
        <f>13.66/ATHENS!O1*ATHENS!O2</f>
        <v>24.836363636363636</v>
      </c>
      <c r="K109" s="105">
        <f>18.66/ATHENS!O1*ATHENS!O2</f>
        <v>33.927272727272722</v>
      </c>
      <c r="L109" s="105">
        <f>30.35/ATHENS!O1*ATHENS!O2</f>
        <v>55.18181818181818</v>
      </c>
      <c r="M109" s="105">
        <f>35/ATHENS!O1*ATHENS!O2</f>
        <v>63.636363636363633</v>
      </c>
      <c r="N109" s="105"/>
    </row>
    <row r="110" spans="1:14" s="111" customFormat="1" ht="13.5" thickBot="1" x14ac:dyDescent="0.25">
      <c r="A110" s="108"/>
      <c r="B110" s="109"/>
      <c r="C110" s="109"/>
      <c r="D110" s="109"/>
      <c r="E110" s="110"/>
      <c r="F110" s="110"/>
      <c r="G110" s="110"/>
      <c r="H110" s="110"/>
      <c r="I110" s="110"/>
      <c r="J110" s="110"/>
      <c r="K110" s="110"/>
      <c r="L110" s="110"/>
      <c r="M110" s="110"/>
      <c r="N110" s="110"/>
    </row>
    <row r="111" spans="1:14" s="111" customFormat="1" ht="13.5" thickBot="1" x14ac:dyDescent="0.25">
      <c r="A111" s="112"/>
      <c r="B111" s="113"/>
      <c r="C111" s="113"/>
      <c r="D111" s="113"/>
      <c r="E111" s="114"/>
      <c r="F111" s="114"/>
      <c r="G111" s="114"/>
      <c r="H111" s="114"/>
      <c r="I111" s="114"/>
      <c r="J111" s="114"/>
      <c r="K111" s="114"/>
      <c r="L111" s="114"/>
      <c r="M111" s="114"/>
      <c r="N111" s="115"/>
    </row>
    <row r="112" spans="1:14" s="111" customFormat="1" ht="15.75" thickBot="1" x14ac:dyDescent="0.25">
      <c r="A112" s="116"/>
      <c r="B112" s="484" t="s">
        <v>630</v>
      </c>
      <c r="C112" s="485"/>
      <c r="D112" s="485"/>
      <c r="E112" s="485"/>
      <c r="F112" s="485"/>
      <c r="G112" s="485"/>
      <c r="H112" s="485"/>
      <c r="I112" s="485"/>
      <c r="J112" s="485"/>
      <c r="K112" s="485"/>
      <c r="L112" s="485"/>
      <c r="M112" s="486"/>
      <c r="N112" s="117" t="s">
        <v>664</v>
      </c>
    </row>
    <row r="113" spans="1:14" s="111" customFormat="1" x14ac:dyDescent="0.2">
      <c r="A113" s="116"/>
      <c r="B113" s="118" t="s">
        <v>428</v>
      </c>
      <c r="C113" s="119" t="s">
        <v>1160</v>
      </c>
      <c r="D113" s="119"/>
      <c r="E113" s="120"/>
      <c r="F113" s="120"/>
      <c r="G113" s="120"/>
      <c r="H113" s="120"/>
      <c r="I113" s="120"/>
      <c r="J113" s="120"/>
      <c r="K113" s="120"/>
      <c r="L113" s="120"/>
      <c r="M113" s="120"/>
      <c r="N113" s="101"/>
    </row>
    <row r="114" spans="1:14" s="111" customFormat="1" x14ac:dyDescent="0.2">
      <c r="A114" s="116"/>
      <c r="B114" s="118" t="s">
        <v>429</v>
      </c>
      <c r="C114" s="119" t="s">
        <v>506</v>
      </c>
      <c r="D114" s="119"/>
      <c r="E114" s="120"/>
      <c r="F114" s="120"/>
      <c r="G114" s="120"/>
      <c r="H114" s="120"/>
      <c r="I114" s="120"/>
      <c r="J114" s="120"/>
      <c r="K114" s="120"/>
      <c r="L114" s="120"/>
      <c r="M114" s="120"/>
      <c r="N114" s="101"/>
    </row>
    <row r="115" spans="1:14" s="111" customFormat="1" x14ac:dyDescent="0.2">
      <c r="A115" s="116"/>
      <c r="B115" s="118" t="s">
        <v>427</v>
      </c>
      <c r="C115" s="480" t="s">
        <v>1123</v>
      </c>
      <c r="D115" s="480"/>
      <c r="E115" s="480"/>
      <c r="F115" s="480"/>
      <c r="G115" s="480"/>
      <c r="H115" s="480"/>
      <c r="I115" s="480"/>
      <c r="J115" s="480"/>
      <c r="K115" s="480"/>
      <c r="L115" s="480"/>
      <c r="M115" s="480"/>
      <c r="N115" s="481"/>
    </row>
    <row r="116" spans="1:14" s="111" customFormat="1" x14ac:dyDescent="0.2">
      <c r="A116" s="116"/>
      <c r="B116" s="118"/>
      <c r="C116" s="480"/>
      <c r="D116" s="480"/>
      <c r="E116" s="480"/>
      <c r="F116" s="480"/>
      <c r="G116" s="480"/>
      <c r="H116" s="480"/>
      <c r="I116" s="480"/>
      <c r="J116" s="480"/>
      <c r="K116" s="480"/>
      <c r="L116" s="480"/>
      <c r="M116" s="480"/>
      <c r="N116" s="481"/>
    </row>
    <row r="117" spans="1:14" s="111" customFormat="1" x14ac:dyDescent="0.2">
      <c r="A117" s="116"/>
      <c r="B117" s="118"/>
      <c r="C117" s="480"/>
      <c r="D117" s="480"/>
      <c r="E117" s="480"/>
      <c r="F117" s="480"/>
      <c r="G117" s="480"/>
      <c r="H117" s="480"/>
      <c r="I117" s="480"/>
      <c r="J117" s="480"/>
      <c r="K117" s="480"/>
      <c r="L117" s="480"/>
      <c r="M117" s="480"/>
      <c r="N117" s="481"/>
    </row>
    <row r="118" spans="1:14" s="111" customFormat="1" x14ac:dyDescent="0.2">
      <c r="A118" s="116"/>
      <c r="B118" s="118"/>
      <c r="C118" s="480"/>
      <c r="D118" s="480"/>
      <c r="E118" s="480"/>
      <c r="F118" s="480"/>
      <c r="G118" s="480"/>
      <c r="H118" s="480"/>
      <c r="I118" s="480"/>
      <c r="J118" s="480"/>
      <c r="K118" s="480"/>
      <c r="L118" s="480"/>
      <c r="M118" s="480"/>
      <c r="N118" s="481"/>
    </row>
    <row r="119" spans="1:14" s="111" customFormat="1" x14ac:dyDescent="0.2">
      <c r="A119" s="116"/>
      <c r="B119" s="118" t="s">
        <v>426</v>
      </c>
      <c r="C119" s="119" t="s">
        <v>1335</v>
      </c>
      <c r="D119" s="119"/>
      <c r="E119" s="120"/>
      <c r="F119" s="120"/>
      <c r="G119" s="120"/>
      <c r="H119" s="120"/>
      <c r="I119" s="120"/>
      <c r="J119" s="120"/>
      <c r="K119" s="120"/>
      <c r="L119" s="120"/>
      <c r="M119" s="120"/>
      <c r="N119" s="101"/>
    </row>
    <row r="120" spans="1:14" s="111" customFormat="1" ht="13.5" thickBot="1" x14ac:dyDescent="0.25">
      <c r="A120" s="121"/>
      <c r="B120" s="133" t="s">
        <v>430</v>
      </c>
      <c r="C120" s="122"/>
      <c r="D120" s="122"/>
      <c r="E120" s="123"/>
      <c r="F120" s="123"/>
      <c r="G120" s="123"/>
      <c r="H120" s="123"/>
      <c r="I120" s="123"/>
      <c r="J120" s="123"/>
      <c r="K120" s="123"/>
      <c r="L120" s="123"/>
      <c r="M120" s="123"/>
      <c r="N120" s="104"/>
    </row>
    <row r="121" spans="1:14" s="111" customFormat="1" x14ac:dyDescent="0.2">
      <c r="A121" s="112"/>
      <c r="B121" s="113" t="s">
        <v>263</v>
      </c>
      <c r="C121" s="113"/>
      <c r="D121" s="113"/>
      <c r="E121" s="114"/>
      <c r="F121" s="114"/>
      <c r="G121" s="114"/>
      <c r="H121" s="114"/>
      <c r="I121" s="114"/>
      <c r="J121" s="127" t="s">
        <v>758</v>
      </c>
      <c r="K121" s="126" t="s">
        <v>279</v>
      </c>
      <c r="L121" s="126"/>
      <c r="M121" s="126"/>
      <c r="N121" s="126"/>
    </row>
    <row r="122" spans="1:14" s="111" customFormat="1" ht="13.5" thickBot="1" x14ac:dyDescent="0.25">
      <c r="A122" s="121"/>
      <c r="B122" s="122"/>
      <c r="C122" s="122"/>
      <c r="D122" s="122"/>
      <c r="E122" s="123"/>
      <c r="F122" s="123"/>
      <c r="G122" s="123"/>
      <c r="H122" s="123"/>
      <c r="I122" s="123"/>
      <c r="J122" s="125" t="s">
        <v>481</v>
      </c>
      <c r="K122" s="105" t="s">
        <v>832</v>
      </c>
      <c r="L122" s="105" t="s">
        <v>1341</v>
      </c>
      <c r="M122" s="105" t="s">
        <v>123</v>
      </c>
      <c r="N122" s="105"/>
    </row>
    <row r="123" spans="1:14" s="111" customFormat="1" x14ac:dyDescent="0.2">
      <c r="A123" s="116"/>
      <c r="B123" s="461" t="s">
        <v>67</v>
      </c>
      <c r="C123" s="461"/>
      <c r="D123" s="461"/>
      <c r="E123" s="120"/>
      <c r="F123" s="120" t="s">
        <v>1180</v>
      </c>
      <c r="G123" s="120" t="s">
        <v>68</v>
      </c>
      <c r="H123" s="120" t="s">
        <v>702</v>
      </c>
      <c r="I123" s="120"/>
      <c r="J123" s="124">
        <f>35/ATHENS!O1*ATHENS!O2</f>
        <v>63.636363636363633</v>
      </c>
      <c r="K123" s="100">
        <f>65/ATHENS!O1*ATHENS!O2</f>
        <v>118.18181818181817</v>
      </c>
      <c r="L123" s="100">
        <f>80/ATHENS!O1*ATHENS!O2</f>
        <v>145.45454545454544</v>
      </c>
      <c r="M123" s="100">
        <f>100/ATHENS!O1*ATHENS!O2</f>
        <v>181.81818181818181</v>
      </c>
      <c r="N123" s="100"/>
    </row>
    <row r="124" spans="1:14" s="111" customFormat="1" x14ac:dyDescent="0.2">
      <c r="A124" s="116"/>
      <c r="B124" s="461" t="s">
        <v>67</v>
      </c>
      <c r="C124" s="461"/>
      <c r="D124" s="461"/>
      <c r="E124" s="120"/>
      <c r="F124" s="120" t="s">
        <v>1181</v>
      </c>
      <c r="G124" s="120" t="s">
        <v>68</v>
      </c>
      <c r="H124" s="120" t="s">
        <v>702</v>
      </c>
      <c r="I124" s="120"/>
      <c r="J124" s="100">
        <f>20/ATHENS!O1*ATHENS!O2</f>
        <v>36.36363636363636</v>
      </c>
      <c r="K124" s="100">
        <f>35/ATHENS!O1*ATHENS!O2</f>
        <v>63.636363636363633</v>
      </c>
      <c r="L124" s="100">
        <f>45/ATHENS!O1*ATHENS!O2</f>
        <v>81.818181818181813</v>
      </c>
      <c r="M124" s="100">
        <f>60/ATHENS!O1*ATHENS!O2</f>
        <v>109.09090909090908</v>
      </c>
      <c r="N124" s="100"/>
    </row>
    <row r="125" spans="1:14" s="111" customFormat="1" ht="13.5" thickBot="1" x14ac:dyDescent="0.25">
      <c r="A125" s="116"/>
      <c r="B125" s="461" t="s">
        <v>67</v>
      </c>
      <c r="C125" s="461"/>
      <c r="D125" s="461"/>
      <c r="E125" s="120"/>
      <c r="F125" s="120" t="s">
        <v>1182</v>
      </c>
      <c r="G125" s="120" t="s">
        <v>68</v>
      </c>
      <c r="H125" s="120" t="s">
        <v>702</v>
      </c>
      <c r="I125" s="120"/>
      <c r="J125" s="100">
        <f>20/ATHENS!O1*ATHENS!O2</f>
        <v>36.36363636363636</v>
      </c>
      <c r="K125" s="100">
        <f>31.66/ATHENS!O1*ATHENS!O2</f>
        <v>57.563636363636363</v>
      </c>
      <c r="L125" s="100">
        <f>36.6/ATHENS!O1*ATHENS!O2</f>
        <v>66.545454545454547</v>
      </c>
      <c r="M125" s="100">
        <f>46.6/ATHENS!O1*ATHENS!O2</f>
        <v>84.72727272727272</v>
      </c>
      <c r="N125" s="100"/>
    </row>
    <row r="126" spans="1:14" s="111" customFormat="1" ht="13.5" thickBot="1" x14ac:dyDescent="0.25">
      <c r="A126" s="134"/>
      <c r="B126" s="135" t="s">
        <v>1119</v>
      </c>
      <c r="C126" s="135"/>
      <c r="D126" s="135"/>
      <c r="E126" s="136"/>
      <c r="F126" s="136"/>
      <c r="G126" s="136"/>
      <c r="H126" s="136"/>
      <c r="I126" s="136"/>
      <c r="J126" s="136"/>
      <c r="K126" s="136"/>
      <c r="L126" s="136"/>
      <c r="M126" s="136"/>
      <c r="N126" s="137"/>
    </row>
  </sheetData>
  <customSheetViews>
    <customSheetView guid="{3C76061C-A85D-4390-B9DB-73E13038638C}" showPageBreaks="1" showGridLines="0" view="pageLayout" topLeftCell="A153">
      <selection activeCell="M51" sqref="M51"/>
      <rowBreaks count="2" manualBreakCount="2">
        <brk id="54" max="16383" man="1"/>
        <brk id="109" max="16383" man="1"/>
      </rowBreaks>
      <pageMargins left="0.28125" right="0.25" top="0.6692913385826772" bottom="0.70866141732283472" header="0.23622047244094491" footer="0.47244094488188981"/>
      <printOptions horizontalCentered="1"/>
      <pageSetup paperSize="9" firstPageNumber="106"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43">
    <mergeCell ref="B123:D123"/>
    <mergeCell ref="B67:D67"/>
    <mergeCell ref="B125:D125"/>
    <mergeCell ref="B109:D109"/>
    <mergeCell ref="C102:N103"/>
    <mergeCell ref="B107:D107"/>
    <mergeCell ref="B108:D108"/>
    <mergeCell ref="C115:N118"/>
    <mergeCell ref="B124:D124"/>
    <mergeCell ref="B112:M112"/>
    <mergeCell ref="B93:D93"/>
    <mergeCell ref="B94:D94"/>
    <mergeCell ref="B99:M99"/>
    <mergeCell ref="B92:D92"/>
    <mergeCell ref="B85:M85"/>
    <mergeCell ref="C88:N89"/>
    <mergeCell ref="B82:D82"/>
    <mergeCell ref="C59:N61"/>
    <mergeCell ref="B71:M71"/>
    <mergeCell ref="C74:N77"/>
    <mergeCell ref="B80:D80"/>
    <mergeCell ref="B65:D65"/>
    <mergeCell ref="B15:M15"/>
    <mergeCell ref="B29:M29"/>
    <mergeCell ref="B66:D66"/>
    <mergeCell ref="B24:D24"/>
    <mergeCell ref="B26:D26"/>
    <mergeCell ref="B39:D39"/>
    <mergeCell ref="B54:D54"/>
    <mergeCell ref="B53:D53"/>
    <mergeCell ref="C46:N49"/>
    <mergeCell ref="B52:D52"/>
    <mergeCell ref="B43:M43"/>
    <mergeCell ref="B37:D37"/>
    <mergeCell ref="B38:D38"/>
    <mergeCell ref="C18:N20"/>
    <mergeCell ref="C32:N33"/>
    <mergeCell ref="B56:M56"/>
    <mergeCell ref="B2:M2"/>
    <mergeCell ref="C5:N7"/>
    <mergeCell ref="B10:D10"/>
    <mergeCell ref="B11:D11"/>
    <mergeCell ref="B12:D12"/>
  </mergeCells>
  <phoneticPr fontId="17" type="noConversion"/>
  <hyperlinks>
    <hyperlink ref="B2:M2" r:id="rId2" display="Skiathos Palace" xr:uid="{00000000-0004-0000-2400-000000000000}"/>
    <hyperlink ref="B15:M15" r:id="rId3" display="Skiathos Princess" xr:uid="{00000000-0004-0000-2400-000001000000}"/>
    <hyperlink ref="B43:M43" r:id="rId4" display="Dabasis" xr:uid="{00000000-0004-0000-2400-000002000000}"/>
    <hyperlink ref="B71:M71" r:id="rId5" display="Kivo" xr:uid="{00000000-0004-0000-2400-000003000000}"/>
    <hyperlink ref="B29:M29" r:id="rId6" display="Atrium" xr:uid="{00000000-0004-0000-2400-000004000000}"/>
    <hyperlink ref="B56:M56" r:id="rId7" display="Esperides" xr:uid="{00000000-0004-0000-2400-000005000000}"/>
    <hyperlink ref="B112:M112" r:id="rId8" display="Plaza" xr:uid="{00000000-0004-0000-2400-000006000000}"/>
  </hyperlinks>
  <printOptions horizontalCentered="1"/>
  <pageMargins left="0.28125" right="0.25" top="0.6692913385826772" bottom="0.70866141732283472" header="0.23622047244094491" footer="0.47244094488188981"/>
  <pageSetup paperSize="9" firstPageNumber="106" orientation="portrait" useFirstPageNumber="1" horizontalDpi="300" verticalDpi="300" r:id="rId9"/>
  <headerFooter scaleWithDoc="0" alignWithMargins="0">
    <oddHeader xml:space="preserve">&amp;C TARIFF 2021
 (EURO)
</oddHeader>
    <oddFooter>&amp;LAll rates are in EURO&amp;C
TARIFF 2021
&amp;RPage &amp;P</oddFooter>
  </headerFooter>
  <rowBreaks count="2" manualBreakCount="2">
    <brk id="54" max="16383" man="1"/>
    <brk id="109"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3:N99"/>
  <sheetViews>
    <sheetView showGridLines="0" view="pageLayout" topLeftCell="A100" zoomScaleNormal="100" workbookViewId="0">
      <selection activeCell="M53" sqref="M53"/>
    </sheetView>
  </sheetViews>
  <sheetFormatPr defaultRowHeight="12.75" x14ac:dyDescent="0.2"/>
  <cols>
    <col min="1" max="1" width="1.85546875" style="141" customWidth="1"/>
    <col min="2" max="3" width="10.7109375" style="141" customWidth="1"/>
    <col min="4" max="9" width="3.7109375" style="141" customWidth="1"/>
    <col min="10" max="14" width="10.7109375" style="141" customWidth="1"/>
    <col min="15" max="16384" width="9.140625" style="141"/>
  </cols>
  <sheetData>
    <row r="3" spans="1:14" ht="13.5" thickBot="1" x14ac:dyDescent="0.25"/>
    <row r="4" spans="1:14" ht="13.5" thickBot="1" x14ac:dyDescent="0.25">
      <c r="A4" s="112"/>
      <c r="B4" s="113"/>
      <c r="C4" s="113"/>
      <c r="D4" s="113"/>
      <c r="E4" s="114"/>
      <c r="F4" s="114"/>
      <c r="G4" s="114"/>
      <c r="H4" s="114"/>
      <c r="I4" s="114"/>
      <c r="J4" s="114"/>
      <c r="K4" s="114"/>
      <c r="L4" s="114"/>
      <c r="M4" s="114"/>
      <c r="N4" s="115"/>
    </row>
    <row r="5" spans="1:14" ht="15.75" thickBot="1" x14ac:dyDescent="0.25">
      <c r="A5" s="116"/>
      <c r="B5" s="484" t="s">
        <v>133</v>
      </c>
      <c r="C5" s="485"/>
      <c r="D5" s="485"/>
      <c r="E5" s="485"/>
      <c r="F5" s="485"/>
      <c r="G5" s="485"/>
      <c r="H5" s="485"/>
      <c r="I5" s="485"/>
      <c r="J5" s="485"/>
      <c r="K5" s="485"/>
      <c r="L5" s="485"/>
      <c r="M5" s="486"/>
      <c r="N5" s="117" t="s">
        <v>1104</v>
      </c>
    </row>
    <row r="6" spans="1:14" x14ac:dyDescent="0.2">
      <c r="A6" s="116"/>
      <c r="B6" s="118" t="s">
        <v>428</v>
      </c>
      <c r="C6" s="119" t="s">
        <v>137</v>
      </c>
      <c r="D6" s="119"/>
      <c r="E6" s="120"/>
      <c r="F6" s="120"/>
      <c r="G6" s="120"/>
      <c r="H6" s="120"/>
      <c r="I6" s="120"/>
      <c r="J6" s="120"/>
      <c r="K6" s="120"/>
      <c r="L6" s="120"/>
      <c r="M6" s="120"/>
      <c r="N6" s="101"/>
    </row>
    <row r="7" spans="1:14" x14ac:dyDescent="0.2">
      <c r="A7" s="116"/>
      <c r="B7" s="118" t="s">
        <v>429</v>
      </c>
      <c r="C7" s="119" t="s">
        <v>313</v>
      </c>
      <c r="D7" s="119"/>
      <c r="E7" s="120"/>
      <c r="F7" s="120"/>
      <c r="G7" s="120"/>
      <c r="H7" s="120"/>
      <c r="I7" s="120"/>
      <c r="J7" s="120"/>
      <c r="K7" s="120"/>
      <c r="L7" s="120"/>
      <c r="M7" s="120"/>
      <c r="N7" s="101"/>
    </row>
    <row r="8" spans="1:14" x14ac:dyDescent="0.2">
      <c r="A8" s="116"/>
      <c r="B8" s="118" t="s">
        <v>427</v>
      </c>
      <c r="C8" s="465" t="s">
        <v>1124</v>
      </c>
      <c r="D8" s="465"/>
      <c r="E8" s="465"/>
      <c r="F8" s="465"/>
      <c r="G8" s="465"/>
      <c r="H8" s="465"/>
      <c r="I8" s="465"/>
      <c r="J8" s="465"/>
      <c r="K8" s="465"/>
      <c r="L8" s="465"/>
      <c r="M8" s="465"/>
      <c r="N8" s="466"/>
    </row>
    <row r="9" spans="1:14" x14ac:dyDescent="0.2">
      <c r="A9" s="116"/>
      <c r="B9" s="118"/>
      <c r="C9" s="465"/>
      <c r="D9" s="465"/>
      <c r="E9" s="465"/>
      <c r="F9" s="465"/>
      <c r="G9" s="465"/>
      <c r="H9" s="465"/>
      <c r="I9" s="465"/>
      <c r="J9" s="465"/>
      <c r="K9" s="465"/>
      <c r="L9" s="465"/>
      <c r="M9" s="465"/>
      <c r="N9" s="466"/>
    </row>
    <row r="10" spans="1:14" x14ac:dyDescent="0.2">
      <c r="A10" s="116"/>
      <c r="B10" s="118"/>
      <c r="C10" s="465"/>
      <c r="D10" s="465"/>
      <c r="E10" s="465"/>
      <c r="F10" s="465"/>
      <c r="G10" s="465"/>
      <c r="H10" s="465"/>
      <c r="I10" s="465"/>
      <c r="J10" s="465"/>
      <c r="K10" s="465"/>
      <c r="L10" s="465"/>
      <c r="M10" s="465"/>
      <c r="N10" s="466"/>
    </row>
    <row r="11" spans="1:14" x14ac:dyDescent="0.2">
      <c r="A11" s="116"/>
      <c r="B11" s="109"/>
      <c r="C11" s="465"/>
      <c r="D11" s="465"/>
      <c r="E11" s="465"/>
      <c r="F11" s="465"/>
      <c r="G11" s="465"/>
      <c r="H11" s="465"/>
      <c r="I11" s="465"/>
      <c r="J11" s="465"/>
      <c r="K11" s="465"/>
      <c r="L11" s="465"/>
      <c r="M11" s="465"/>
      <c r="N11" s="466"/>
    </row>
    <row r="12" spans="1:14" ht="13.5" thickBot="1" x14ac:dyDescent="0.25">
      <c r="A12" s="116"/>
      <c r="B12" s="109"/>
      <c r="C12" s="465"/>
      <c r="D12" s="465"/>
      <c r="E12" s="465"/>
      <c r="F12" s="465"/>
      <c r="G12" s="465"/>
      <c r="H12" s="465"/>
      <c r="I12" s="465"/>
      <c r="J12" s="465"/>
      <c r="K12" s="465"/>
      <c r="L12" s="465"/>
      <c r="M12" s="465"/>
      <c r="N12" s="466"/>
    </row>
    <row r="13" spans="1:14" x14ac:dyDescent="0.2">
      <c r="A13" s="112"/>
      <c r="B13" s="113" t="s">
        <v>263</v>
      </c>
      <c r="C13" s="113"/>
      <c r="D13" s="113"/>
      <c r="E13" s="114"/>
      <c r="F13" s="114"/>
      <c r="G13" s="114"/>
      <c r="H13" s="114"/>
      <c r="I13" s="114"/>
      <c r="J13" s="127" t="s">
        <v>1835</v>
      </c>
      <c r="K13" s="126" t="s">
        <v>1837</v>
      </c>
      <c r="L13" s="126"/>
      <c r="M13" s="126"/>
      <c r="N13" s="126"/>
    </row>
    <row r="14" spans="1:14" ht="13.5" thickBot="1" x14ac:dyDescent="0.25">
      <c r="A14" s="121"/>
      <c r="B14" s="119"/>
      <c r="C14" s="122"/>
      <c r="D14" s="122"/>
      <c r="E14" s="123"/>
      <c r="F14" s="123"/>
      <c r="G14" s="123"/>
      <c r="H14" s="123"/>
      <c r="I14" s="123"/>
      <c r="J14" s="125" t="s">
        <v>1836</v>
      </c>
      <c r="K14" s="105" t="s">
        <v>1838</v>
      </c>
      <c r="L14" s="105" t="s">
        <v>1839</v>
      </c>
      <c r="M14" s="105" t="s">
        <v>1840</v>
      </c>
      <c r="N14" s="105"/>
    </row>
    <row r="15" spans="1:14" x14ac:dyDescent="0.2">
      <c r="A15" s="112"/>
      <c r="B15" s="467" t="s">
        <v>67</v>
      </c>
      <c r="C15" s="467"/>
      <c r="D15" s="467"/>
      <c r="E15" s="114"/>
      <c r="F15" s="114" t="s">
        <v>1180</v>
      </c>
      <c r="G15" s="114" t="s">
        <v>68</v>
      </c>
      <c r="H15" s="114" t="s">
        <v>702</v>
      </c>
      <c r="I15" s="114"/>
      <c r="J15" s="126">
        <f>124/ATHENS!O1*ATHENS!O2</f>
        <v>225.45454545454544</v>
      </c>
      <c r="K15" s="126">
        <f>134/ATHENS!O1*ATHENS!O2</f>
        <v>243.63636363636363</v>
      </c>
      <c r="L15" s="126">
        <f>173/ATHENS!O1*ATHENS!O2</f>
        <v>314.5454545454545</v>
      </c>
      <c r="M15" s="126">
        <f>207/ATHENS!O1*ATHENS!O2</f>
        <v>376.36363636363632</v>
      </c>
      <c r="N15" s="126"/>
    </row>
    <row r="16" spans="1:14" x14ac:dyDescent="0.2">
      <c r="A16" s="116"/>
      <c r="B16" s="461" t="s">
        <v>67</v>
      </c>
      <c r="C16" s="461"/>
      <c r="D16" s="461"/>
      <c r="E16" s="120"/>
      <c r="F16" s="120" t="s">
        <v>1181</v>
      </c>
      <c r="G16" s="120" t="s">
        <v>68</v>
      </c>
      <c r="H16" s="120" t="s">
        <v>702</v>
      </c>
      <c r="I16" s="120"/>
      <c r="J16" s="100">
        <f>62/ATHENS!O1*ATHENS!O2</f>
        <v>112.72727272727272</v>
      </c>
      <c r="K16" s="100">
        <f>67/ATHENS!O1*ATHENS!O2</f>
        <v>121.81818181818181</v>
      </c>
      <c r="L16" s="100">
        <f>86.5/ATHENS!O1*ATHENS!O2</f>
        <v>157.27272727272725</v>
      </c>
      <c r="M16" s="100">
        <f>103.5/ATHENS!O1*ATHENS!O2</f>
        <v>188.18181818181816</v>
      </c>
      <c r="N16" s="100"/>
    </row>
    <row r="17" spans="1:14" ht="13.5" thickBot="1" x14ac:dyDescent="0.25">
      <c r="A17" s="121"/>
      <c r="B17" s="460" t="s">
        <v>67</v>
      </c>
      <c r="C17" s="460"/>
      <c r="D17" s="460"/>
      <c r="E17" s="123"/>
      <c r="F17" s="123" t="s">
        <v>1182</v>
      </c>
      <c r="G17" s="123" t="s">
        <v>68</v>
      </c>
      <c r="H17" s="123" t="s">
        <v>702</v>
      </c>
      <c r="I17" s="123"/>
      <c r="J17" s="105">
        <f>49.6/ATHENS!O1*ATHENS!O2</f>
        <v>90.181818181818173</v>
      </c>
      <c r="K17" s="105">
        <f>53.5/ATHENS!O1*ATHENS!O2</f>
        <v>97.272727272727266</v>
      </c>
      <c r="L17" s="105">
        <f>66.5/ATHENS!O1*ATHENS!O2</f>
        <v>120.90909090909089</v>
      </c>
      <c r="M17" s="105">
        <f>77.5/ATHENS!O1*ATHENS!O2</f>
        <v>140.90909090909091</v>
      </c>
      <c r="N17" s="105"/>
    </row>
    <row r="18" spans="1:14" ht="13.5" thickBot="1" x14ac:dyDescent="0.25">
      <c r="A18" s="239"/>
      <c r="B18" s="119"/>
      <c r="C18" s="119"/>
      <c r="D18" s="119"/>
      <c r="E18" s="120"/>
      <c r="F18" s="120"/>
      <c r="G18" s="120"/>
      <c r="H18" s="120"/>
      <c r="I18" s="120"/>
      <c r="J18" s="120"/>
      <c r="K18" s="120"/>
      <c r="L18" s="120"/>
      <c r="M18" s="120"/>
      <c r="N18" s="120"/>
    </row>
    <row r="19" spans="1:14" x14ac:dyDescent="0.2">
      <c r="A19" s="20"/>
      <c r="B19" s="21"/>
      <c r="C19" s="21"/>
      <c r="D19" s="21"/>
      <c r="E19" s="22"/>
      <c r="F19" s="22"/>
      <c r="G19" s="22"/>
      <c r="H19" s="22"/>
      <c r="I19" s="22"/>
      <c r="J19" s="22"/>
      <c r="K19" s="22"/>
      <c r="L19" s="22"/>
      <c r="M19" s="22"/>
      <c r="N19" s="23"/>
    </row>
    <row r="20" spans="1:14" ht="15" x14ac:dyDescent="0.2">
      <c r="A20" s="24"/>
      <c r="B20" s="440" t="s">
        <v>1661</v>
      </c>
      <c r="C20" s="441"/>
      <c r="D20" s="441"/>
      <c r="E20" s="441"/>
      <c r="F20" s="441"/>
      <c r="G20" s="441"/>
      <c r="H20" s="441"/>
      <c r="I20" s="441"/>
      <c r="J20" s="441"/>
      <c r="K20" s="441"/>
      <c r="L20" s="441"/>
      <c r="M20" s="442"/>
      <c r="N20" s="25" t="s">
        <v>96</v>
      </c>
    </row>
    <row r="21" spans="1:14" x14ac:dyDescent="0.2">
      <c r="A21" s="24"/>
      <c r="B21" s="26" t="s">
        <v>428</v>
      </c>
      <c r="C21" s="27"/>
      <c r="D21" s="27"/>
      <c r="E21" s="28"/>
      <c r="F21" s="28"/>
      <c r="G21" s="28"/>
      <c r="H21" s="28"/>
      <c r="I21" s="28"/>
      <c r="J21" s="28"/>
      <c r="K21" s="28"/>
      <c r="L21" s="28"/>
      <c r="M21" s="28"/>
      <c r="N21" s="29"/>
    </row>
    <row r="22" spans="1:14" x14ac:dyDescent="0.2">
      <c r="A22" s="24"/>
      <c r="B22" s="26" t="s">
        <v>429</v>
      </c>
      <c r="C22" s="27" t="s">
        <v>1655</v>
      </c>
      <c r="D22" s="27"/>
      <c r="E22" s="28"/>
      <c r="F22" s="28"/>
      <c r="G22" s="28"/>
      <c r="H22" s="28"/>
      <c r="I22" s="28"/>
      <c r="J22" s="28"/>
      <c r="K22" s="28"/>
      <c r="L22" s="28"/>
      <c r="M22" s="28"/>
      <c r="N22" s="29"/>
    </row>
    <row r="23" spans="1:14" x14ac:dyDescent="0.2">
      <c r="A23" s="24"/>
      <c r="B23" s="26" t="s">
        <v>427</v>
      </c>
      <c r="C23" s="436" t="s">
        <v>1663</v>
      </c>
      <c r="D23" s="436"/>
      <c r="E23" s="436"/>
      <c r="F23" s="436"/>
      <c r="G23" s="436"/>
      <c r="H23" s="436"/>
      <c r="I23" s="436"/>
      <c r="J23" s="436"/>
      <c r="K23" s="436"/>
      <c r="L23" s="436"/>
      <c r="M23" s="436"/>
      <c r="N23" s="437"/>
    </row>
    <row r="24" spans="1:14" x14ac:dyDescent="0.2">
      <c r="A24" s="24"/>
      <c r="B24" s="27"/>
      <c r="C24" s="436"/>
      <c r="D24" s="436"/>
      <c r="E24" s="436"/>
      <c r="F24" s="436"/>
      <c r="G24" s="436"/>
      <c r="H24" s="436"/>
      <c r="I24" s="436"/>
      <c r="J24" s="436"/>
      <c r="K24" s="436"/>
      <c r="L24" s="436"/>
      <c r="M24" s="436"/>
      <c r="N24" s="437"/>
    </row>
    <row r="25" spans="1:14" ht="18.75" x14ac:dyDescent="0.3">
      <c r="A25" s="24"/>
      <c r="B25" s="26" t="s">
        <v>426</v>
      </c>
      <c r="C25" s="315" t="s">
        <v>1662</v>
      </c>
      <c r="D25" s="27"/>
      <c r="E25" s="28"/>
      <c r="F25" s="28"/>
      <c r="G25" s="28"/>
      <c r="H25" s="28"/>
      <c r="I25" s="28"/>
      <c r="J25" s="28"/>
      <c r="K25" s="28"/>
      <c r="L25" s="28"/>
      <c r="M25" s="28"/>
      <c r="N25" s="29"/>
    </row>
    <row r="26" spans="1:14" ht="13.5" thickBot="1" x14ac:dyDescent="0.25">
      <c r="A26" s="30"/>
      <c r="B26" s="26" t="s">
        <v>430</v>
      </c>
      <c r="C26" s="31"/>
      <c r="D26" s="31"/>
      <c r="E26" s="32"/>
      <c r="F26" s="32"/>
      <c r="G26" s="32"/>
      <c r="H26" s="32"/>
      <c r="I26" s="32"/>
      <c r="J26" s="32"/>
      <c r="K26" s="32"/>
      <c r="L26" s="32"/>
      <c r="M26" s="32"/>
      <c r="N26" s="33"/>
    </row>
    <row r="27" spans="1:14" x14ac:dyDescent="0.2">
      <c r="A27" s="24"/>
      <c r="B27" s="21" t="s">
        <v>263</v>
      </c>
      <c r="C27" s="27"/>
      <c r="D27" s="27"/>
      <c r="E27" s="28"/>
      <c r="F27" s="28"/>
      <c r="G27" s="28"/>
      <c r="H27" s="28"/>
      <c r="I27" s="28"/>
      <c r="J27" s="67" t="s">
        <v>776</v>
      </c>
      <c r="K27" s="63"/>
      <c r="L27" s="63" t="s">
        <v>2073</v>
      </c>
      <c r="M27" s="63"/>
      <c r="N27" s="63"/>
    </row>
    <row r="28" spans="1:14" ht="13.5" thickBot="1" x14ac:dyDescent="0.25">
      <c r="A28" s="30"/>
      <c r="B28" s="31"/>
      <c r="C28" s="31"/>
      <c r="D28" s="31"/>
      <c r="E28" s="32"/>
      <c r="F28" s="32"/>
      <c r="G28" s="32"/>
      <c r="H28" s="32"/>
      <c r="I28" s="32"/>
      <c r="J28" s="49" t="s">
        <v>282</v>
      </c>
      <c r="K28" s="40" t="s">
        <v>2072</v>
      </c>
      <c r="L28" s="40" t="s">
        <v>2074</v>
      </c>
      <c r="M28" s="40" t="s">
        <v>2075</v>
      </c>
      <c r="N28" s="40"/>
    </row>
    <row r="29" spans="1:14" x14ac:dyDescent="0.2">
      <c r="A29" s="20"/>
      <c r="B29" s="434" t="s">
        <v>67</v>
      </c>
      <c r="C29" s="434"/>
      <c r="D29" s="434"/>
      <c r="E29" s="22"/>
      <c r="F29" s="22" t="s">
        <v>1180</v>
      </c>
      <c r="G29" s="22" t="s">
        <v>68</v>
      </c>
      <c r="H29" s="22" t="s">
        <v>702</v>
      </c>
      <c r="I29" s="28"/>
      <c r="J29" s="75">
        <f>57.5/ATHENS!O1*ATHENS!O2</f>
        <v>104.54545454545453</v>
      </c>
      <c r="K29" s="75">
        <f>66.5/ATHENS!O1*ATHENS!O2</f>
        <v>120.90909090909089</v>
      </c>
      <c r="L29" s="44">
        <f>74/ATHENS!O1*ATHENS!O2</f>
        <v>134.54545454545453</v>
      </c>
      <c r="M29" s="42">
        <f>96/ATHENS!O1*ATHENS!O2</f>
        <v>174.54545454545453</v>
      </c>
      <c r="N29" s="42"/>
    </row>
    <row r="30" spans="1:14" x14ac:dyDescent="0.2">
      <c r="A30" s="24"/>
      <c r="B30" s="435" t="s">
        <v>67</v>
      </c>
      <c r="C30" s="435"/>
      <c r="D30" s="435"/>
      <c r="E30" s="28"/>
      <c r="F30" s="28" t="s">
        <v>1181</v>
      </c>
      <c r="G30" s="28" t="s">
        <v>68</v>
      </c>
      <c r="H30" s="28" t="s">
        <v>702</v>
      </c>
      <c r="I30" s="28"/>
      <c r="J30" s="75">
        <f>21.5/ATHENS!O1*ATHENS!O2</f>
        <v>39.090909090909086</v>
      </c>
      <c r="K30" s="75">
        <f>24.6/ATHENS!O1*ATHENS!O2</f>
        <v>44.727272727272727</v>
      </c>
      <c r="L30" s="44">
        <f>28/ATHENS!O1*ATHENS!O2</f>
        <v>50.909090909090907</v>
      </c>
      <c r="M30" s="44">
        <f>36/ATHENS!O1*ATHENS!O2</f>
        <v>65.454545454545453</v>
      </c>
      <c r="N30" s="44"/>
    </row>
    <row r="31" spans="1:14" x14ac:dyDescent="0.2">
      <c r="A31" s="24"/>
      <c r="B31" s="68" t="s">
        <v>1900</v>
      </c>
      <c r="C31" s="27"/>
      <c r="D31" s="27"/>
      <c r="E31" s="28"/>
      <c r="F31" s="28" t="s">
        <v>257</v>
      </c>
      <c r="G31" s="28" t="s">
        <v>68</v>
      </c>
      <c r="H31" s="28" t="s">
        <v>702</v>
      </c>
      <c r="I31" s="28"/>
      <c r="J31" s="75">
        <f>17.7/ATHENS!O1*ATHENS!O2</f>
        <v>32.18181818181818</v>
      </c>
      <c r="K31" s="75">
        <f>21.5/ATHENS!O1*ATHENS!O2</f>
        <v>39.090909090909086</v>
      </c>
      <c r="L31" s="44">
        <f>26/ATHENS!O1*ATHENS!O2</f>
        <v>47.272727272727266</v>
      </c>
      <c r="M31" s="44">
        <f>35/ATHENS!O1*ATHENS!O2</f>
        <v>63.636363636363633</v>
      </c>
      <c r="N31" s="44"/>
    </row>
    <row r="32" spans="1:14" ht="13.5" thickBot="1" x14ac:dyDescent="0.25">
      <c r="A32" s="30"/>
      <c r="B32" s="443"/>
      <c r="C32" s="443"/>
      <c r="D32" s="443"/>
      <c r="E32" s="32"/>
      <c r="F32" s="89"/>
      <c r="G32" s="89"/>
      <c r="H32" s="32"/>
      <c r="I32" s="32"/>
      <c r="J32" s="76"/>
      <c r="K32" s="76"/>
      <c r="L32" s="46"/>
      <c r="M32" s="46"/>
      <c r="N32" s="46"/>
    </row>
    <row r="33" spans="1:14" x14ac:dyDescent="0.2">
      <c r="A33" s="239"/>
      <c r="B33" s="119"/>
      <c r="C33" s="119"/>
      <c r="D33" s="119"/>
      <c r="E33" s="120"/>
      <c r="F33" s="120"/>
      <c r="G33" s="120"/>
      <c r="H33" s="120"/>
      <c r="I33" s="120"/>
      <c r="J33" s="120"/>
      <c r="K33" s="120"/>
      <c r="L33" s="120"/>
      <c r="M33" s="120"/>
      <c r="N33" s="120"/>
    </row>
    <row r="34" spans="1:14" ht="13.5" thickBot="1" x14ac:dyDescent="0.25">
      <c r="A34" s="108"/>
      <c r="B34" s="109"/>
      <c r="C34" s="109"/>
      <c r="D34" s="109"/>
      <c r="E34" s="110"/>
      <c r="F34" s="110"/>
      <c r="G34" s="110"/>
      <c r="H34" s="110"/>
      <c r="I34" s="110"/>
      <c r="J34" s="110"/>
      <c r="K34" s="110"/>
      <c r="L34" s="110"/>
      <c r="M34" s="110"/>
      <c r="N34" s="110"/>
    </row>
    <row r="35" spans="1:14" ht="13.5" thickBot="1" x14ac:dyDescent="0.25">
      <c r="A35" s="112"/>
      <c r="B35" s="113"/>
      <c r="C35" s="113"/>
      <c r="D35" s="113"/>
      <c r="E35" s="114"/>
      <c r="F35" s="114"/>
      <c r="G35" s="114"/>
      <c r="H35" s="114"/>
      <c r="I35" s="114"/>
      <c r="J35" s="114"/>
      <c r="K35" s="114"/>
      <c r="L35" s="114"/>
      <c r="M35" s="114"/>
      <c r="N35" s="115"/>
    </row>
    <row r="36" spans="1:14" ht="15.75" thickBot="1" x14ac:dyDescent="0.25">
      <c r="A36" s="116"/>
      <c r="B36" s="484" t="s">
        <v>134</v>
      </c>
      <c r="C36" s="485"/>
      <c r="D36" s="485"/>
      <c r="E36" s="485"/>
      <c r="F36" s="485"/>
      <c r="G36" s="485"/>
      <c r="H36" s="485"/>
      <c r="I36" s="485"/>
      <c r="J36" s="485"/>
      <c r="K36" s="485"/>
      <c r="L36" s="485"/>
      <c r="M36" s="486"/>
      <c r="N36" s="117" t="s">
        <v>1103</v>
      </c>
    </row>
    <row r="37" spans="1:14" x14ac:dyDescent="0.2">
      <c r="A37" s="116"/>
      <c r="B37" s="118" t="s">
        <v>428</v>
      </c>
      <c r="C37" s="119" t="s">
        <v>138</v>
      </c>
      <c r="D37" s="119"/>
      <c r="E37" s="120"/>
      <c r="F37" s="120"/>
      <c r="G37" s="120"/>
      <c r="H37" s="120"/>
      <c r="I37" s="120"/>
      <c r="J37" s="120"/>
      <c r="K37" s="120"/>
      <c r="L37" s="120"/>
      <c r="M37" s="120"/>
      <c r="N37" s="101"/>
    </row>
    <row r="38" spans="1:14" x14ac:dyDescent="0.2">
      <c r="A38" s="116"/>
      <c r="B38" s="118" t="s">
        <v>429</v>
      </c>
      <c r="C38" s="119" t="s">
        <v>1244</v>
      </c>
      <c r="D38" s="119"/>
      <c r="E38" s="120"/>
      <c r="F38" s="120"/>
      <c r="G38" s="120"/>
      <c r="H38" s="120"/>
      <c r="I38" s="120"/>
      <c r="J38" s="120"/>
      <c r="K38" s="120"/>
      <c r="L38" s="120"/>
      <c r="M38" s="120"/>
      <c r="N38" s="101"/>
    </row>
    <row r="39" spans="1:14" x14ac:dyDescent="0.2">
      <c r="A39" s="116"/>
      <c r="B39" s="118" t="s">
        <v>427</v>
      </c>
      <c r="C39" s="465" t="s">
        <v>1125</v>
      </c>
      <c r="D39" s="465"/>
      <c r="E39" s="465"/>
      <c r="F39" s="465"/>
      <c r="G39" s="465"/>
      <c r="H39" s="465"/>
      <c r="I39" s="465"/>
      <c r="J39" s="465"/>
      <c r="K39" s="465"/>
      <c r="L39" s="465"/>
      <c r="M39" s="465"/>
      <c r="N39" s="466"/>
    </row>
    <row r="40" spans="1:14" x14ac:dyDescent="0.2">
      <c r="A40" s="116"/>
      <c r="B40" s="118"/>
      <c r="C40" s="465"/>
      <c r="D40" s="465"/>
      <c r="E40" s="465"/>
      <c r="F40" s="465"/>
      <c r="G40" s="465"/>
      <c r="H40" s="465"/>
      <c r="I40" s="465"/>
      <c r="J40" s="465"/>
      <c r="K40" s="465"/>
      <c r="L40" s="465"/>
      <c r="M40" s="465"/>
      <c r="N40" s="466"/>
    </row>
    <row r="41" spans="1:14" x14ac:dyDescent="0.2">
      <c r="A41" s="116"/>
      <c r="B41" s="118"/>
      <c r="C41" s="465"/>
      <c r="D41" s="465"/>
      <c r="E41" s="465"/>
      <c r="F41" s="465"/>
      <c r="G41" s="465"/>
      <c r="H41" s="465"/>
      <c r="I41" s="465"/>
      <c r="J41" s="465"/>
      <c r="K41" s="465"/>
      <c r="L41" s="465"/>
      <c r="M41" s="465"/>
      <c r="N41" s="466"/>
    </row>
    <row r="42" spans="1:14" ht="13.5" thickBot="1" x14ac:dyDescent="0.25">
      <c r="A42" s="116"/>
      <c r="B42" s="109"/>
      <c r="C42" s="465"/>
      <c r="D42" s="465"/>
      <c r="E42" s="465"/>
      <c r="F42" s="465"/>
      <c r="G42" s="465"/>
      <c r="H42" s="465"/>
      <c r="I42" s="465"/>
      <c r="J42" s="465"/>
      <c r="K42" s="465"/>
      <c r="L42" s="465"/>
      <c r="M42" s="465"/>
      <c r="N42" s="466"/>
    </row>
    <row r="43" spans="1:14" x14ac:dyDescent="0.2">
      <c r="A43" s="112"/>
      <c r="B43" s="113" t="s">
        <v>263</v>
      </c>
      <c r="C43" s="113"/>
      <c r="D43" s="113"/>
      <c r="E43" s="114"/>
      <c r="F43" s="114"/>
      <c r="G43" s="114"/>
      <c r="H43" s="114"/>
      <c r="I43" s="114"/>
      <c r="J43" s="127" t="s">
        <v>1403</v>
      </c>
      <c r="K43" s="126" t="s">
        <v>576</v>
      </c>
      <c r="L43" s="126" t="s">
        <v>2077</v>
      </c>
      <c r="M43" s="126"/>
      <c r="N43" s="126"/>
    </row>
    <row r="44" spans="1:14" ht="13.5" thickBot="1" x14ac:dyDescent="0.25">
      <c r="A44" s="121"/>
      <c r="B44" s="119"/>
      <c r="C44" s="122"/>
      <c r="D44" s="122"/>
      <c r="E44" s="123"/>
      <c r="F44" s="123"/>
      <c r="G44" s="123"/>
      <c r="H44" s="123"/>
      <c r="I44" s="123"/>
      <c r="J44" s="125" t="s">
        <v>2076</v>
      </c>
      <c r="K44" s="105" t="s">
        <v>249</v>
      </c>
      <c r="L44" s="105" t="s">
        <v>2078</v>
      </c>
      <c r="M44" s="105" t="s">
        <v>1404</v>
      </c>
      <c r="N44" s="105"/>
    </row>
    <row r="45" spans="1:14" x14ac:dyDescent="0.2">
      <c r="A45" s="112"/>
      <c r="B45" s="467" t="s">
        <v>67</v>
      </c>
      <c r="C45" s="467"/>
      <c r="D45" s="467"/>
      <c r="E45" s="114"/>
      <c r="F45" s="114" t="s">
        <v>1180</v>
      </c>
      <c r="G45" s="114" t="s">
        <v>68</v>
      </c>
      <c r="H45" s="114" t="s">
        <v>702</v>
      </c>
      <c r="I45" s="114"/>
      <c r="J45" s="126">
        <f>84.5/ATHENS!O1*ATHENS!O2</f>
        <v>153.63636363636363</v>
      </c>
      <c r="K45" s="126">
        <f>125.8/ATHENS!O1*ATHENS!O2</f>
        <v>228.72727272727269</v>
      </c>
      <c r="L45" s="126">
        <f>161.5/ATHENS!O1*ATHENS!O2</f>
        <v>293.63636363636363</v>
      </c>
      <c r="M45" s="126">
        <f>183.5/ATHENS!O1*ATHENS!O2</f>
        <v>333.63636363636363</v>
      </c>
      <c r="N45" s="126"/>
    </row>
    <row r="46" spans="1:14" ht="13.5" thickBot="1" x14ac:dyDescent="0.25">
      <c r="A46" s="121"/>
      <c r="B46" s="460" t="s">
        <v>67</v>
      </c>
      <c r="C46" s="460"/>
      <c r="D46" s="460"/>
      <c r="E46" s="123"/>
      <c r="F46" s="123" t="s">
        <v>1181</v>
      </c>
      <c r="G46" s="123" t="s">
        <v>68</v>
      </c>
      <c r="H46" s="123" t="s">
        <v>702</v>
      </c>
      <c r="I46" s="123"/>
      <c r="J46" s="105">
        <f>42.5/ATHENS!O1*ATHENS!O2</f>
        <v>77.272727272727266</v>
      </c>
      <c r="K46" s="105">
        <f>62.9/ATHENS!O1*ATHENS!O2</f>
        <v>114.36363636363635</v>
      </c>
      <c r="L46" s="105">
        <f>80.6/ATHENS!O1*ATHENS!O2</f>
        <v>146.54545454545453</v>
      </c>
      <c r="M46" s="105">
        <f>91.5/ATHENS!O1*ATHENS!O2</f>
        <v>166.36363636363635</v>
      </c>
      <c r="N46" s="105"/>
    </row>
    <row r="47" spans="1:14" x14ac:dyDescent="0.2">
      <c r="A47" s="239"/>
      <c r="B47" s="119"/>
      <c r="C47" s="119"/>
      <c r="D47" s="119"/>
      <c r="E47" s="120"/>
      <c r="F47" s="120"/>
      <c r="G47" s="120"/>
      <c r="H47" s="120"/>
      <c r="I47" s="120"/>
      <c r="J47" s="120"/>
      <c r="K47" s="120"/>
      <c r="L47" s="120"/>
      <c r="M47" s="120"/>
      <c r="N47" s="120"/>
    </row>
    <row r="48" spans="1:14" x14ac:dyDescent="0.2">
      <c r="A48" s="239"/>
      <c r="B48" s="119"/>
      <c r="C48" s="119"/>
      <c r="D48" s="119"/>
      <c r="E48" s="120"/>
      <c r="F48" s="120"/>
      <c r="G48" s="120"/>
      <c r="H48" s="120"/>
      <c r="I48" s="120"/>
      <c r="J48" s="120"/>
      <c r="K48" s="120"/>
      <c r="L48" s="120"/>
      <c r="M48" s="120"/>
      <c r="N48" s="120"/>
    </row>
    <row r="49" spans="1:14" x14ac:dyDescent="0.2">
      <c r="A49" s="239"/>
      <c r="B49" s="119"/>
      <c r="C49" s="119"/>
      <c r="D49" s="119"/>
      <c r="E49" s="120"/>
      <c r="F49" s="120"/>
      <c r="G49" s="120"/>
      <c r="H49" s="120"/>
      <c r="I49" s="120"/>
      <c r="J49" s="120"/>
      <c r="K49" s="120"/>
      <c r="L49" s="120"/>
      <c r="M49" s="120"/>
      <c r="N49" s="120"/>
    </row>
    <row r="50" spans="1:14" x14ac:dyDescent="0.2">
      <c r="A50" s="239"/>
      <c r="B50" s="119"/>
      <c r="C50" s="119"/>
      <c r="D50" s="119"/>
      <c r="E50" s="120"/>
      <c r="F50" s="120"/>
      <c r="G50" s="120"/>
      <c r="H50" s="120"/>
      <c r="I50" s="120"/>
      <c r="J50" s="120"/>
      <c r="K50" s="120"/>
      <c r="L50" s="120"/>
      <c r="M50" s="120"/>
      <c r="N50" s="120"/>
    </row>
    <row r="51" spans="1:14" x14ac:dyDescent="0.2">
      <c r="A51" s="239"/>
      <c r="B51" s="119"/>
      <c r="C51" s="119"/>
      <c r="D51" s="119"/>
      <c r="E51" s="120"/>
      <c r="F51" s="120"/>
      <c r="G51" s="120"/>
      <c r="H51" s="120"/>
      <c r="I51" s="120"/>
      <c r="J51" s="120"/>
      <c r="K51" s="120"/>
      <c r="L51" s="120"/>
      <c r="M51" s="120"/>
      <c r="N51" s="120"/>
    </row>
    <row r="52" spans="1:14" x14ac:dyDescent="0.2">
      <c r="A52" s="239"/>
      <c r="B52" s="119"/>
      <c r="C52" s="119"/>
      <c r="D52" s="119"/>
      <c r="E52" s="120"/>
      <c r="F52" s="120"/>
      <c r="G52" s="120"/>
      <c r="H52" s="120"/>
      <c r="I52" s="120"/>
      <c r="J52" s="120"/>
      <c r="K52" s="120"/>
      <c r="L52" s="120"/>
      <c r="M52" s="120"/>
      <c r="N52" s="120"/>
    </row>
    <row r="53" spans="1:14" x14ac:dyDescent="0.2">
      <c r="A53" s="239"/>
      <c r="B53" s="119"/>
      <c r="C53" s="119"/>
      <c r="D53" s="119"/>
      <c r="E53" s="120"/>
      <c r="F53" s="120"/>
      <c r="G53" s="120"/>
      <c r="H53" s="120"/>
      <c r="I53" s="120"/>
      <c r="J53" s="120"/>
      <c r="K53" s="120"/>
      <c r="L53" s="120"/>
      <c r="M53" s="120"/>
      <c r="N53" s="120"/>
    </row>
    <row r="54" spans="1:14" x14ac:dyDescent="0.2">
      <c r="A54" s="239"/>
      <c r="B54" s="119"/>
      <c r="C54" s="119"/>
      <c r="D54" s="119"/>
      <c r="E54" s="120"/>
      <c r="F54" s="120"/>
      <c r="G54" s="120"/>
      <c r="H54" s="120"/>
      <c r="I54" s="120"/>
      <c r="J54" s="120"/>
      <c r="K54" s="120"/>
      <c r="L54" s="120"/>
      <c r="M54" s="120"/>
      <c r="N54" s="120"/>
    </row>
    <row r="55" spans="1:14" x14ac:dyDescent="0.2">
      <c r="A55" s="239"/>
      <c r="B55" s="119"/>
      <c r="C55" s="119"/>
      <c r="D55" s="119"/>
      <c r="E55" s="120"/>
      <c r="F55" s="120"/>
      <c r="G55" s="120"/>
      <c r="H55" s="120"/>
      <c r="I55" s="120"/>
      <c r="J55" s="120"/>
      <c r="K55" s="120"/>
      <c r="L55" s="120"/>
      <c r="M55" s="120"/>
      <c r="N55" s="120"/>
    </row>
    <row r="56" spans="1:14" x14ac:dyDescent="0.2">
      <c r="A56" s="239"/>
      <c r="B56" s="119"/>
      <c r="C56" s="119"/>
      <c r="D56" s="119"/>
      <c r="E56" s="120"/>
      <c r="F56" s="120"/>
      <c r="G56" s="120"/>
      <c r="H56" s="120"/>
      <c r="I56" s="120"/>
      <c r="J56" s="120"/>
      <c r="K56" s="120"/>
      <c r="L56" s="120"/>
      <c r="M56" s="120"/>
      <c r="N56" s="120"/>
    </row>
    <row r="57" spans="1:14" ht="13.5" thickBot="1" x14ac:dyDescent="0.25">
      <c r="A57" s="239"/>
      <c r="B57" s="119"/>
      <c r="C57" s="119"/>
      <c r="D57" s="119"/>
      <c r="E57" s="120"/>
      <c r="F57" s="120"/>
      <c r="G57" s="120"/>
      <c r="H57" s="120"/>
      <c r="I57" s="120"/>
      <c r="J57" s="120"/>
      <c r="K57" s="120"/>
      <c r="L57" s="120"/>
      <c r="M57" s="120"/>
      <c r="N57" s="120"/>
    </row>
    <row r="58" spans="1:14" x14ac:dyDescent="0.2">
      <c r="A58" s="20"/>
      <c r="B58" s="21"/>
      <c r="C58" s="21"/>
      <c r="D58" s="21"/>
      <c r="E58" s="22"/>
      <c r="F58" s="22"/>
      <c r="G58" s="22"/>
      <c r="H58" s="22"/>
      <c r="I58" s="22"/>
      <c r="J58" s="22"/>
      <c r="K58" s="22"/>
      <c r="L58" s="22"/>
      <c r="M58" s="22"/>
      <c r="N58" s="23"/>
    </row>
    <row r="59" spans="1:14" ht="15" x14ac:dyDescent="0.2">
      <c r="A59" s="24"/>
      <c r="B59" s="440" t="s">
        <v>1656</v>
      </c>
      <c r="C59" s="441"/>
      <c r="D59" s="441"/>
      <c r="E59" s="441"/>
      <c r="F59" s="441"/>
      <c r="G59" s="441"/>
      <c r="H59" s="441"/>
      <c r="I59" s="441"/>
      <c r="J59" s="441"/>
      <c r="K59" s="441"/>
      <c r="L59" s="441"/>
      <c r="M59" s="442"/>
      <c r="N59" s="25" t="s">
        <v>664</v>
      </c>
    </row>
    <row r="60" spans="1:14" x14ac:dyDescent="0.2">
      <c r="A60" s="24"/>
      <c r="B60" s="26" t="s">
        <v>428</v>
      </c>
      <c r="C60" s="27" t="s">
        <v>1660</v>
      </c>
      <c r="D60" s="27"/>
      <c r="E60" s="28"/>
      <c r="F60" s="28"/>
      <c r="G60" s="28"/>
      <c r="H60" s="28"/>
      <c r="I60" s="28"/>
      <c r="J60" s="28"/>
      <c r="K60" s="28"/>
      <c r="L60" s="28"/>
      <c r="M60" s="28"/>
      <c r="N60" s="29"/>
    </row>
    <row r="61" spans="1:14" x14ac:dyDescent="0.2">
      <c r="A61" s="24"/>
      <c r="B61" s="26" t="s">
        <v>429</v>
      </c>
      <c r="C61" s="27" t="s">
        <v>1658</v>
      </c>
      <c r="D61" s="27"/>
      <c r="E61" s="28"/>
      <c r="F61" s="28"/>
      <c r="G61" s="28"/>
      <c r="H61" s="28"/>
      <c r="I61" s="28"/>
      <c r="J61" s="28"/>
      <c r="K61" s="28"/>
      <c r="L61" s="28"/>
      <c r="M61" s="28"/>
      <c r="N61" s="29"/>
    </row>
    <row r="62" spans="1:14" x14ac:dyDescent="0.2">
      <c r="A62" s="24"/>
      <c r="B62" s="26" t="s">
        <v>427</v>
      </c>
      <c r="C62" s="436" t="s">
        <v>1657</v>
      </c>
      <c r="D62" s="436"/>
      <c r="E62" s="436"/>
      <c r="F62" s="436"/>
      <c r="G62" s="436"/>
      <c r="H62" s="436"/>
      <c r="I62" s="436"/>
      <c r="J62" s="436"/>
      <c r="K62" s="436"/>
      <c r="L62" s="436"/>
      <c r="M62" s="436"/>
      <c r="N62" s="437"/>
    </row>
    <row r="63" spans="1:14" x14ac:dyDescent="0.2">
      <c r="A63" s="24"/>
      <c r="B63" s="27"/>
      <c r="C63" s="436"/>
      <c r="D63" s="436"/>
      <c r="E63" s="436"/>
      <c r="F63" s="436"/>
      <c r="G63" s="436"/>
      <c r="H63" s="436"/>
      <c r="I63" s="436"/>
      <c r="J63" s="436"/>
      <c r="K63" s="436"/>
      <c r="L63" s="436"/>
      <c r="M63" s="436"/>
      <c r="N63" s="437"/>
    </row>
    <row r="64" spans="1:14" x14ac:dyDescent="0.2">
      <c r="A64" s="24"/>
      <c r="B64" s="26" t="s">
        <v>426</v>
      </c>
      <c r="C64" s="314" t="s">
        <v>1659</v>
      </c>
      <c r="D64" s="27"/>
      <c r="E64" s="28"/>
      <c r="F64" s="28"/>
      <c r="G64" s="28"/>
      <c r="H64" s="28"/>
      <c r="I64" s="28"/>
      <c r="J64" s="28"/>
      <c r="K64" s="28"/>
      <c r="L64" s="28"/>
      <c r="M64" s="28"/>
      <c r="N64" s="29"/>
    </row>
    <row r="65" spans="1:14" ht="13.5" thickBot="1" x14ac:dyDescent="0.25">
      <c r="A65" s="30"/>
      <c r="B65" s="26" t="s">
        <v>430</v>
      </c>
      <c r="C65" s="31"/>
      <c r="D65" s="31"/>
      <c r="E65" s="32"/>
      <c r="F65" s="32"/>
      <c r="G65" s="32"/>
      <c r="H65" s="32"/>
      <c r="I65" s="32"/>
      <c r="J65" s="32"/>
      <c r="K65" s="32"/>
      <c r="L65" s="32"/>
      <c r="M65" s="32"/>
      <c r="N65" s="33"/>
    </row>
    <row r="66" spans="1:14" x14ac:dyDescent="0.2">
      <c r="A66" s="24"/>
      <c r="B66" s="21" t="s">
        <v>263</v>
      </c>
      <c r="C66" s="27"/>
      <c r="D66" s="27"/>
      <c r="E66" s="28"/>
      <c r="F66" s="28"/>
      <c r="G66" s="28"/>
      <c r="H66" s="28"/>
      <c r="I66" s="28"/>
      <c r="J66" s="67" t="s">
        <v>1416</v>
      </c>
      <c r="K66" s="63" t="s">
        <v>2080</v>
      </c>
      <c r="L66" s="63"/>
      <c r="M66" s="63"/>
      <c r="N66" s="63"/>
    </row>
    <row r="67" spans="1:14" ht="13.5" thickBot="1" x14ac:dyDescent="0.25">
      <c r="A67" s="30"/>
      <c r="B67" s="31"/>
      <c r="C67" s="31"/>
      <c r="D67" s="31"/>
      <c r="E67" s="32"/>
      <c r="F67" s="32"/>
      <c r="G67" s="32"/>
      <c r="H67" s="32"/>
      <c r="I67" s="32"/>
      <c r="J67" s="49" t="s">
        <v>2079</v>
      </c>
      <c r="K67" s="40" t="s">
        <v>1386</v>
      </c>
      <c r="L67" s="40" t="s">
        <v>399</v>
      </c>
      <c r="M67" s="40"/>
      <c r="N67" s="40"/>
    </row>
    <row r="68" spans="1:14" x14ac:dyDescent="0.2">
      <c r="A68" s="20"/>
      <c r="B68" s="434" t="s">
        <v>67</v>
      </c>
      <c r="C68" s="434"/>
      <c r="D68" s="434"/>
      <c r="E68" s="22"/>
      <c r="F68" s="22" t="s">
        <v>1180</v>
      </c>
      <c r="G68" s="22" t="s">
        <v>68</v>
      </c>
      <c r="H68" s="22" t="s">
        <v>702</v>
      </c>
      <c r="I68" s="28"/>
      <c r="J68" s="75">
        <f>26.5/ATHENS!O1*ATHENS!O2</f>
        <v>48.18181818181818</v>
      </c>
      <c r="K68" s="75">
        <f>40.5/ATHENS!O1*ATHENS!O2</f>
        <v>73.636363636363626</v>
      </c>
      <c r="L68" s="44">
        <f>67/ATHENS!O1*ATHENS!O2</f>
        <v>121.81818181818181</v>
      </c>
      <c r="M68" s="42"/>
      <c r="N68" s="42"/>
    </row>
    <row r="69" spans="1:14" x14ac:dyDescent="0.2">
      <c r="A69" s="24"/>
      <c r="B69" s="435" t="s">
        <v>67</v>
      </c>
      <c r="C69" s="435"/>
      <c r="D69" s="435"/>
      <c r="E69" s="28"/>
      <c r="F69" s="28" t="s">
        <v>1181</v>
      </c>
      <c r="G69" s="28" t="s">
        <v>68</v>
      </c>
      <c r="H69" s="28" t="s">
        <v>702</v>
      </c>
      <c r="I69" s="28"/>
      <c r="J69" s="75">
        <f>18.5/ATHENS!O1*ATHENS!O2</f>
        <v>33.636363636363633</v>
      </c>
      <c r="K69" s="75">
        <f>31.6/ATHENS!O1*ATHENS!O2</f>
        <v>57.454545454545453</v>
      </c>
      <c r="L69" s="44">
        <f>42/ATHENS!O1*ATHENS!O2</f>
        <v>76.36363636363636</v>
      </c>
      <c r="M69" s="44"/>
      <c r="N69" s="44"/>
    </row>
    <row r="70" spans="1:14" x14ac:dyDescent="0.2">
      <c r="A70" s="24"/>
      <c r="B70" s="68" t="s">
        <v>67</v>
      </c>
      <c r="C70" s="27"/>
      <c r="D70" s="27"/>
      <c r="E70" s="28"/>
      <c r="F70" s="28" t="s">
        <v>257</v>
      </c>
      <c r="G70" s="28" t="s">
        <v>68</v>
      </c>
      <c r="H70" s="28" t="s">
        <v>702</v>
      </c>
      <c r="I70" s="28"/>
      <c r="J70" s="75">
        <f>14.5/ATHENS!O1*ATHENS!O2</f>
        <v>26.36363636363636</v>
      </c>
      <c r="K70" s="75">
        <f>24.5/ATHENS!O1*ATHENS!O2</f>
        <v>44.54545454545454</v>
      </c>
      <c r="L70" s="44">
        <f>30/ATHENS!O1*ATHENS!O2</f>
        <v>54.54545454545454</v>
      </c>
      <c r="M70" s="44"/>
      <c r="N70" s="44"/>
    </row>
    <row r="71" spans="1:14" ht="13.5" thickBot="1" x14ac:dyDescent="0.25">
      <c r="A71" s="30"/>
      <c r="B71" s="443"/>
      <c r="C71" s="443"/>
      <c r="D71" s="443"/>
      <c r="E71" s="32"/>
      <c r="F71" s="89"/>
      <c r="G71" s="89"/>
      <c r="H71" s="32"/>
      <c r="I71" s="32"/>
      <c r="J71" s="76"/>
      <c r="K71" s="76"/>
      <c r="L71" s="46"/>
      <c r="M71" s="46"/>
      <c r="N71" s="46"/>
    </row>
    <row r="72" spans="1:14" x14ac:dyDescent="0.2">
      <c r="A72" s="239"/>
      <c r="B72" s="119"/>
      <c r="C72" s="119"/>
      <c r="D72" s="119"/>
      <c r="E72" s="120"/>
      <c r="F72" s="120"/>
      <c r="G72" s="120"/>
      <c r="H72" s="120"/>
      <c r="I72" s="120"/>
      <c r="J72" s="120"/>
      <c r="K72" s="120"/>
      <c r="L72" s="120"/>
      <c r="M72" s="120"/>
      <c r="N72" s="120"/>
    </row>
    <row r="73" spans="1:14" ht="9.75" customHeight="1" thickBot="1" x14ac:dyDescent="0.25">
      <c r="A73" s="108"/>
      <c r="B73" s="109"/>
      <c r="C73" s="109"/>
      <c r="D73" s="109"/>
      <c r="E73" s="110"/>
      <c r="F73" s="110"/>
      <c r="G73" s="110"/>
      <c r="H73" s="110"/>
      <c r="I73" s="110"/>
      <c r="J73" s="110"/>
      <c r="K73" s="110"/>
      <c r="L73" s="110"/>
      <c r="M73" s="110"/>
      <c r="N73" s="110"/>
    </row>
    <row r="74" spans="1:14" ht="13.5" thickBot="1" x14ac:dyDescent="0.25">
      <c r="A74" s="112"/>
      <c r="B74" s="113"/>
      <c r="C74" s="113"/>
      <c r="D74" s="113"/>
      <c r="E74" s="114"/>
      <c r="F74" s="114"/>
      <c r="G74" s="114"/>
      <c r="H74" s="114"/>
      <c r="I74" s="114"/>
      <c r="J74" s="114"/>
      <c r="K74" s="114"/>
      <c r="L74" s="114"/>
      <c r="M74" s="114"/>
      <c r="N74" s="115"/>
    </row>
    <row r="75" spans="1:14" ht="15.75" thickBot="1" x14ac:dyDescent="0.25">
      <c r="A75" s="116"/>
      <c r="B75" s="484" t="s">
        <v>135</v>
      </c>
      <c r="C75" s="485"/>
      <c r="D75" s="485"/>
      <c r="E75" s="485"/>
      <c r="F75" s="485"/>
      <c r="G75" s="485"/>
      <c r="H75" s="485"/>
      <c r="I75" s="485"/>
      <c r="J75" s="485"/>
      <c r="K75" s="485"/>
      <c r="L75" s="485"/>
      <c r="M75" s="486"/>
      <c r="N75" s="117" t="s">
        <v>1102</v>
      </c>
    </row>
    <row r="76" spans="1:14" x14ac:dyDescent="0.2">
      <c r="A76" s="116"/>
      <c r="B76" s="118" t="s">
        <v>428</v>
      </c>
      <c r="C76" s="119" t="s">
        <v>138</v>
      </c>
      <c r="D76" s="119"/>
      <c r="E76" s="120"/>
      <c r="F76" s="120"/>
      <c r="G76" s="120"/>
      <c r="H76" s="120"/>
      <c r="I76" s="120"/>
      <c r="J76" s="120"/>
      <c r="K76" s="120"/>
      <c r="L76" s="120"/>
      <c r="M76" s="120"/>
      <c r="N76" s="101"/>
    </row>
    <row r="77" spans="1:14" x14ac:dyDescent="0.2">
      <c r="A77" s="116"/>
      <c r="B77" s="118" t="s">
        <v>429</v>
      </c>
      <c r="C77" s="119" t="s">
        <v>314</v>
      </c>
      <c r="D77" s="119"/>
      <c r="E77" s="120"/>
      <c r="F77" s="120"/>
      <c r="G77" s="120"/>
      <c r="H77" s="120"/>
      <c r="I77" s="120"/>
      <c r="J77" s="120"/>
      <c r="K77" s="120"/>
      <c r="L77" s="120"/>
      <c r="M77" s="120"/>
      <c r="N77" s="101"/>
    </row>
    <row r="78" spans="1:14" x14ac:dyDescent="0.2">
      <c r="A78" s="116"/>
      <c r="B78" s="118" t="s">
        <v>427</v>
      </c>
      <c r="C78" s="465" t="s">
        <v>1126</v>
      </c>
      <c r="D78" s="465"/>
      <c r="E78" s="465"/>
      <c r="F78" s="465"/>
      <c r="G78" s="465"/>
      <c r="H78" s="465"/>
      <c r="I78" s="465"/>
      <c r="J78" s="465"/>
      <c r="K78" s="465"/>
      <c r="L78" s="465"/>
      <c r="M78" s="465"/>
      <c r="N78" s="466"/>
    </row>
    <row r="79" spans="1:14" x14ac:dyDescent="0.2">
      <c r="A79" s="116"/>
      <c r="B79" s="118"/>
      <c r="C79" s="465"/>
      <c r="D79" s="465"/>
      <c r="E79" s="465"/>
      <c r="F79" s="465"/>
      <c r="G79" s="465"/>
      <c r="H79" s="465"/>
      <c r="I79" s="465"/>
      <c r="J79" s="465"/>
      <c r="K79" s="465"/>
      <c r="L79" s="465"/>
      <c r="M79" s="465"/>
      <c r="N79" s="466"/>
    </row>
    <row r="80" spans="1:14" x14ac:dyDescent="0.2">
      <c r="A80" s="116"/>
      <c r="B80" s="118"/>
      <c r="C80" s="465"/>
      <c r="D80" s="465"/>
      <c r="E80" s="465"/>
      <c r="F80" s="465"/>
      <c r="G80" s="465"/>
      <c r="H80" s="465"/>
      <c r="I80" s="465"/>
      <c r="J80" s="465"/>
      <c r="K80" s="465"/>
      <c r="L80" s="465"/>
      <c r="M80" s="465"/>
      <c r="N80" s="466"/>
    </row>
    <row r="81" spans="1:14" ht="13.5" thickBot="1" x14ac:dyDescent="0.25">
      <c r="A81" s="116"/>
      <c r="B81" s="109"/>
      <c r="C81" s="465"/>
      <c r="D81" s="465"/>
      <c r="E81" s="465"/>
      <c r="F81" s="465"/>
      <c r="G81" s="465"/>
      <c r="H81" s="465"/>
      <c r="I81" s="465"/>
      <c r="J81" s="465"/>
      <c r="K81" s="465"/>
      <c r="L81" s="465"/>
      <c r="M81" s="465"/>
      <c r="N81" s="466"/>
    </row>
    <row r="82" spans="1:14" x14ac:dyDescent="0.2">
      <c r="A82" s="112"/>
      <c r="B82" s="113" t="s">
        <v>263</v>
      </c>
      <c r="C82" s="113"/>
      <c r="D82" s="113"/>
      <c r="E82" s="114"/>
      <c r="F82" s="114"/>
      <c r="G82" s="114"/>
      <c r="H82" s="114"/>
      <c r="I82" s="114"/>
      <c r="J82" s="127" t="s">
        <v>2081</v>
      </c>
      <c r="K82" s="126" t="s">
        <v>576</v>
      </c>
      <c r="L82" s="126" t="s">
        <v>577</v>
      </c>
      <c r="M82" s="126"/>
      <c r="N82" s="126"/>
    </row>
    <row r="83" spans="1:14" ht="13.5" thickBot="1" x14ac:dyDescent="0.25">
      <c r="A83" s="121"/>
      <c r="B83" s="119"/>
      <c r="C83" s="122"/>
      <c r="D83" s="122"/>
      <c r="E83" s="123"/>
      <c r="F83" s="123"/>
      <c r="G83" s="123"/>
      <c r="H83" s="123"/>
      <c r="I83" s="123"/>
      <c r="J83" s="125" t="s">
        <v>2082</v>
      </c>
      <c r="K83" s="105" t="s">
        <v>2083</v>
      </c>
      <c r="L83" s="105" t="s">
        <v>235</v>
      </c>
      <c r="M83" s="105" t="s">
        <v>579</v>
      </c>
      <c r="N83" s="105"/>
    </row>
    <row r="84" spans="1:14" x14ac:dyDescent="0.2">
      <c r="A84" s="112"/>
      <c r="B84" s="467" t="s">
        <v>67</v>
      </c>
      <c r="C84" s="467"/>
      <c r="D84" s="467"/>
      <c r="E84" s="114"/>
      <c r="F84" s="114" t="s">
        <v>1180</v>
      </c>
      <c r="G84" s="114" t="s">
        <v>68</v>
      </c>
      <c r="H84" s="114" t="s">
        <v>702</v>
      </c>
      <c r="I84" s="114"/>
      <c r="J84" s="126">
        <f>41.8/ATHENS!O1*ATHENS!O2</f>
        <v>75.999999999999986</v>
      </c>
      <c r="K84" s="126">
        <f>49.7/ATHENS!O1*ATHENS!O2</f>
        <v>90.36363636363636</v>
      </c>
      <c r="L84" s="126">
        <f>55.7/ATHENS!O1*ATHENS!O2</f>
        <v>101.27272727272727</v>
      </c>
      <c r="M84" s="126">
        <f>83.5/ATHENS!O1*ATHENS!O2</f>
        <v>151.81818181818181</v>
      </c>
      <c r="N84" s="126"/>
    </row>
    <row r="85" spans="1:14" x14ac:dyDescent="0.2">
      <c r="A85" s="116"/>
      <c r="B85" s="461" t="s">
        <v>67</v>
      </c>
      <c r="C85" s="461"/>
      <c r="D85" s="461"/>
      <c r="E85" s="120"/>
      <c r="F85" s="120" t="s">
        <v>1181</v>
      </c>
      <c r="G85" s="120" t="s">
        <v>68</v>
      </c>
      <c r="H85" s="120" t="s">
        <v>702</v>
      </c>
      <c r="I85" s="120"/>
      <c r="J85" s="100">
        <f>23.5/ATHENS!O1*ATHENS!O2</f>
        <v>42.727272727272727</v>
      </c>
      <c r="K85" s="100">
        <f>27.5/ATHENS!O1*ATHENS!O2</f>
        <v>49.999999999999993</v>
      </c>
      <c r="L85" s="100">
        <f>29.5/ATHENS!O1*ATHENS!O2</f>
        <v>53.636363636363633</v>
      </c>
      <c r="M85" s="100">
        <f>43.5/ATHENS!O1*ATHENS!O2</f>
        <v>79.090909090909079</v>
      </c>
      <c r="N85" s="100"/>
    </row>
    <row r="86" spans="1:14" ht="13.5" thickBot="1" x14ac:dyDescent="0.25">
      <c r="A86" s="121"/>
      <c r="B86" s="460" t="s">
        <v>67</v>
      </c>
      <c r="C86" s="460"/>
      <c r="D86" s="460"/>
      <c r="E86" s="123"/>
      <c r="F86" s="123" t="s">
        <v>1182</v>
      </c>
      <c r="G86" s="123" t="s">
        <v>68</v>
      </c>
      <c r="H86" s="123" t="s">
        <v>702</v>
      </c>
      <c r="I86" s="123"/>
      <c r="J86" s="105">
        <f>15.6/ATHENS!O1*ATHENS!O2</f>
        <v>28.36363636363636</v>
      </c>
      <c r="K86" s="105">
        <f>18.5/ATHENS!O1*ATHENS!O2</f>
        <v>33.636363636363633</v>
      </c>
      <c r="L86" s="105">
        <f>19.6/ATHENS!O1*ATHENS!O2</f>
        <v>35.636363636363633</v>
      </c>
      <c r="M86" s="105">
        <f>28.9/ATHENS!O1*ATHENS!O2</f>
        <v>52.54545454545454</v>
      </c>
      <c r="N86" s="105"/>
    </row>
    <row r="87" spans="1:14" ht="10.5" customHeight="1" thickBot="1" x14ac:dyDescent="0.25">
      <c r="A87" s="108"/>
      <c r="B87" s="109"/>
      <c r="C87" s="109"/>
      <c r="D87" s="109"/>
      <c r="E87" s="110"/>
      <c r="F87" s="110"/>
      <c r="G87" s="110"/>
      <c r="H87" s="110"/>
      <c r="I87" s="110"/>
      <c r="J87" s="110"/>
      <c r="K87" s="110"/>
      <c r="L87" s="110"/>
      <c r="M87" s="110"/>
      <c r="N87" s="110"/>
    </row>
    <row r="88" spans="1:14" ht="13.5" thickBot="1" x14ac:dyDescent="0.25">
      <c r="A88" s="112"/>
      <c r="B88" s="113"/>
      <c r="C88" s="113"/>
      <c r="D88" s="113"/>
      <c r="E88" s="114"/>
      <c r="F88" s="114"/>
      <c r="G88" s="114"/>
      <c r="H88" s="114"/>
      <c r="I88" s="114"/>
      <c r="J88" s="114"/>
      <c r="K88" s="114"/>
      <c r="L88" s="114"/>
      <c r="M88" s="114"/>
      <c r="N88" s="115"/>
    </row>
    <row r="89" spans="1:14" ht="15.75" thickBot="1" x14ac:dyDescent="0.25">
      <c r="A89" s="116"/>
      <c r="B89" s="484" t="s">
        <v>136</v>
      </c>
      <c r="C89" s="485"/>
      <c r="D89" s="485"/>
      <c r="E89" s="485"/>
      <c r="F89" s="485"/>
      <c r="G89" s="485"/>
      <c r="H89" s="485"/>
      <c r="I89" s="485"/>
      <c r="J89" s="485"/>
      <c r="K89" s="485"/>
      <c r="L89" s="485"/>
      <c r="M89" s="486"/>
      <c r="N89" s="117" t="s">
        <v>1102</v>
      </c>
    </row>
    <row r="90" spans="1:14" x14ac:dyDescent="0.2">
      <c r="A90" s="116"/>
      <c r="B90" s="118" t="s">
        <v>428</v>
      </c>
      <c r="C90" s="119" t="s">
        <v>138</v>
      </c>
      <c r="D90" s="119"/>
      <c r="E90" s="120"/>
      <c r="F90" s="120"/>
      <c r="G90" s="120"/>
      <c r="H90" s="120"/>
      <c r="I90" s="120"/>
      <c r="J90" s="120"/>
      <c r="K90" s="120"/>
      <c r="L90" s="120"/>
      <c r="M90" s="120"/>
      <c r="N90" s="101"/>
    </row>
    <row r="91" spans="1:14" x14ac:dyDescent="0.2">
      <c r="A91" s="116"/>
      <c r="B91" s="118" t="s">
        <v>429</v>
      </c>
      <c r="C91" s="119" t="s">
        <v>315</v>
      </c>
      <c r="D91" s="119"/>
      <c r="E91" s="120"/>
      <c r="F91" s="120"/>
      <c r="G91" s="120"/>
      <c r="H91" s="120"/>
      <c r="I91" s="120"/>
      <c r="J91" s="120"/>
      <c r="K91" s="120"/>
      <c r="L91" s="120"/>
      <c r="M91" s="120"/>
      <c r="N91" s="101"/>
    </row>
    <row r="92" spans="1:14" x14ac:dyDescent="0.2">
      <c r="A92" s="116"/>
      <c r="B92" s="118" t="s">
        <v>427</v>
      </c>
      <c r="C92" s="465" t="s">
        <v>1127</v>
      </c>
      <c r="D92" s="465"/>
      <c r="E92" s="465"/>
      <c r="F92" s="465"/>
      <c r="G92" s="465"/>
      <c r="H92" s="465"/>
      <c r="I92" s="465"/>
      <c r="J92" s="465"/>
      <c r="K92" s="465"/>
      <c r="L92" s="465"/>
      <c r="M92" s="465"/>
      <c r="N92" s="466"/>
    </row>
    <row r="93" spans="1:14" x14ac:dyDescent="0.2">
      <c r="A93" s="116"/>
      <c r="B93" s="109"/>
      <c r="C93" s="465"/>
      <c r="D93" s="465"/>
      <c r="E93" s="465"/>
      <c r="F93" s="465"/>
      <c r="G93" s="465"/>
      <c r="H93" s="465"/>
      <c r="I93" s="465"/>
      <c r="J93" s="465"/>
      <c r="K93" s="465"/>
      <c r="L93" s="465"/>
      <c r="M93" s="465"/>
      <c r="N93" s="466"/>
    </row>
    <row r="94" spans="1:14" ht="13.5" thickBot="1" x14ac:dyDescent="0.25">
      <c r="A94" s="116"/>
      <c r="B94" s="109"/>
      <c r="C94" s="465"/>
      <c r="D94" s="465"/>
      <c r="E94" s="465"/>
      <c r="F94" s="465"/>
      <c r="G94" s="465"/>
      <c r="H94" s="465"/>
      <c r="I94" s="465"/>
      <c r="J94" s="465"/>
      <c r="K94" s="465"/>
      <c r="L94" s="465"/>
      <c r="M94" s="465"/>
      <c r="N94" s="466"/>
    </row>
    <row r="95" spans="1:14" x14ac:dyDescent="0.2">
      <c r="A95" s="112"/>
      <c r="B95" s="113" t="s">
        <v>263</v>
      </c>
      <c r="C95" s="113"/>
      <c r="D95" s="113"/>
      <c r="E95" s="114"/>
      <c r="F95" s="114"/>
      <c r="G95" s="114"/>
      <c r="H95" s="114"/>
      <c r="I95" s="114"/>
      <c r="J95" s="127"/>
      <c r="K95" s="126" t="s">
        <v>1841</v>
      </c>
      <c r="L95" s="126" t="s">
        <v>1837</v>
      </c>
      <c r="M95" s="126"/>
      <c r="N95" s="126"/>
    </row>
    <row r="96" spans="1:14" ht="13.5" thickBot="1" x14ac:dyDescent="0.25">
      <c r="A96" s="121"/>
      <c r="B96" s="119"/>
      <c r="C96" s="122"/>
      <c r="D96" s="122"/>
      <c r="E96" s="123"/>
      <c r="F96" s="123"/>
      <c r="G96" s="123"/>
      <c r="H96" s="123"/>
      <c r="I96" s="123"/>
      <c r="J96" s="125" t="s">
        <v>909</v>
      </c>
      <c r="K96" s="105" t="s">
        <v>1842</v>
      </c>
      <c r="L96" s="105" t="s">
        <v>1838</v>
      </c>
      <c r="M96" s="105" t="s">
        <v>1839</v>
      </c>
      <c r="N96" s="105" t="s">
        <v>1840</v>
      </c>
    </row>
    <row r="97" spans="1:14" x14ac:dyDescent="0.2">
      <c r="A97" s="112"/>
      <c r="B97" s="467" t="s">
        <v>67</v>
      </c>
      <c r="C97" s="467"/>
      <c r="D97" s="467"/>
      <c r="E97" s="114"/>
      <c r="F97" s="114" t="s">
        <v>1180</v>
      </c>
      <c r="G97" s="114" t="s">
        <v>68</v>
      </c>
      <c r="H97" s="114" t="s">
        <v>702</v>
      </c>
      <c r="I97" s="114"/>
      <c r="J97" s="126" t="s">
        <v>864</v>
      </c>
      <c r="K97" s="126">
        <f>45/ATHENS!O1*ATHENS!O2</f>
        <v>81.818181818181813</v>
      </c>
      <c r="L97" s="126">
        <f>54/ATHENS!O1*ATHENS!O2</f>
        <v>98.181818181818173</v>
      </c>
      <c r="M97" s="126">
        <f>63/ATHENS!O1*ATHENS!O2</f>
        <v>114.54545454545453</v>
      </c>
      <c r="N97" s="126">
        <f>77/ATHENS!O1*ATHENS!O2</f>
        <v>140</v>
      </c>
    </row>
    <row r="98" spans="1:14" x14ac:dyDescent="0.2">
      <c r="A98" s="116"/>
      <c r="B98" s="461" t="s">
        <v>67</v>
      </c>
      <c r="C98" s="461"/>
      <c r="D98" s="461"/>
      <c r="E98" s="120"/>
      <c r="F98" s="120" t="s">
        <v>1181</v>
      </c>
      <c r="G98" s="120" t="s">
        <v>68</v>
      </c>
      <c r="H98" s="120" t="s">
        <v>702</v>
      </c>
      <c r="I98" s="120"/>
      <c r="J98" s="100">
        <f>22.5/ATHENS!O1*ATHENS!O2</f>
        <v>40.909090909090907</v>
      </c>
      <c r="K98" s="100">
        <f>25/ATHENS!O1*ATHENS!O2</f>
        <v>45.454545454545453</v>
      </c>
      <c r="L98" s="100">
        <f>33/ATHENS!O1*ATHENS!O2</f>
        <v>59.999999999999993</v>
      </c>
      <c r="M98" s="100">
        <f>40/ATHENS!O1*ATHENS!O2</f>
        <v>72.72727272727272</v>
      </c>
      <c r="N98" s="100">
        <f>47.5/ATHENS!O1*ATHENS!O2</f>
        <v>86.36363636363636</v>
      </c>
    </row>
    <row r="99" spans="1:14" ht="13.5" thickBot="1" x14ac:dyDescent="0.25">
      <c r="A99" s="121"/>
      <c r="B99" s="460" t="s">
        <v>67</v>
      </c>
      <c r="C99" s="460"/>
      <c r="D99" s="460"/>
      <c r="E99" s="123"/>
      <c r="F99" s="123" t="s">
        <v>1182</v>
      </c>
      <c r="G99" s="123" t="s">
        <v>68</v>
      </c>
      <c r="H99" s="123" t="s">
        <v>702</v>
      </c>
      <c r="I99" s="123"/>
      <c r="J99" s="105">
        <f>18.5/ATHENS!O1*ATHENS!O2</f>
        <v>33.636363636363633</v>
      </c>
      <c r="K99" s="105">
        <f>20.5/ATHENS!O1*ATHENS!O2</f>
        <v>37.272727272727266</v>
      </c>
      <c r="L99" s="105">
        <f>24/ATHENS!O1*ATHENS!O2</f>
        <v>43.636363636363633</v>
      </c>
      <c r="M99" s="105">
        <f>29.6/ATHENS!O1*ATHENS!O2</f>
        <v>53.818181818181813</v>
      </c>
      <c r="N99" s="105">
        <f>36.5/ATHENS!O1*ATHENS!O2</f>
        <v>66.36363636363636</v>
      </c>
    </row>
  </sheetData>
  <customSheetViews>
    <customSheetView guid="{3C76061C-A85D-4390-B9DB-73E13038638C}" showPageBreaks="1" showGridLines="0" view="pageLayout" topLeftCell="A100">
      <selection activeCell="M51" sqref="M51"/>
      <pageMargins left="0.28125" right="0.25" top="0.6692913385826772" bottom="0.70866141732283472" header="0.23622047244094491" footer="0.47244094488188981"/>
      <printOptions horizontalCentered="1"/>
      <pageSetup paperSize="9" firstPageNumber="109"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29">
    <mergeCell ref="B59:M59"/>
    <mergeCell ref="C62:N63"/>
    <mergeCell ref="B68:D68"/>
    <mergeCell ref="B69:D69"/>
    <mergeCell ref="B71:D71"/>
    <mergeCell ref="B5:M5"/>
    <mergeCell ref="C8:N12"/>
    <mergeCell ref="B15:D15"/>
    <mergeCell ref="B16:D16"/>
    <mergeCell ref="C78:N81"/>
    <mergeCell ref="B45:D45"/>
    <mergeCell ref="B46:D46"/>
    <mergeCell ref="C39:N42"/>
    <mergeCell ref="B17:D17"/>
    <mergeCell ref="B36:M36"/>
    <mergeCell ref="B75:M75"/>
    <mergeCell ref="B20:M20"/>
    <mergeCell ref="C23:N24"/>
    <mergeCell ref="B29:D29"/>
    <mergeCell ref="B30:D30"/>
    <mergeCell ref="B32:D32"/>
    <mergeCell ref="B84:D84"/>
    <mergeCell ref="B85:D85"/>
    <mergeCell ref="B86:D86"/>
    <mergeCell ref="B98:D98"/>
    <mergeCell ref="B99:D99"/>
    <mergeCell ref="B89:M89"/>
    <mergeCell ref="C92:N94"/>
    <mergeCell ref="B97:D97"/>
  </mergeCells>
  <phoneticPr fontId="17" type="noConversion"/>
  <hyperlinks>
    <hyperlink ref="B5:M5" r:id="rId2" display="Skopelos Holidays" xr:uid="{00000000-0004-0000-2500-000000000000}"/>
    <hyperlink ref="B89:M89" r:id="rId3" display="Rigas" xr:uid="{00000000-0004-0000-2500-000001000000}"/>
    <hyperlink ref="B36:M36" r:id="rId4" display="Skopelos Village" xr:uid="{00000000-0004-0000-2500-000002000000}"/>
    <hyperlink ref="B75:M75" r:id="rId5" display="Dionyssos" xr:uid="{00000000-0004-0000-2500-000003000000}"/>
    <hyperlink ref="C64" r:id="rId6" display="http://www.afroditehotel.gr/about-skopelos.htm" xr:uid="{00000000-0004-0000-2500-000005000000}"/>
    <hyperlink ref="B20:M20" r:id="rId7" display="Prince Stafilos" xr:uid="{00000000-0004-0000-2500-000006000000}"/>
    <hyperlink ref="B59:M59" r:id="rId8" display="Afrodite" xr:uid="{00000000-0004-0000-2500-000004000000}"/>
  </hyperlinks>
  <printOptions horizontalCentered="1"/>
  <pageMargins left="0.28125" right="0.25" top="0.6692913385826772" bottom="0.70866141732283472" header="0.23622047244094491" footer="0.47244094488188981"/>
  <pageSetup paperSize="9" firstPageNumber="109" orientation="portrait" useFirstPageNumber="1" horizontalDpi="300" verticalDpi="300" r:id="rId9"/>
  <headerFooter scaleWithDoc="0" alignWithMargins="0">
    <oddHeader xml:space="preserve">&amp;C TARIFF 2021
 (EURO)
</oddHeader>
    <oddFooter>&amp;LAll rates are in EURO&amp;C
TARIFF 2021
&amp;RPage &amp;P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4:N47"/>
  <sheetViews>
    <sheetView view="pageLayout" topLeftCell="A37" zoomScaleNormal="100" workbookViewId="0">
      <selection activeCell="M53" sqref="M53"/>
    </sheetView>
  </sheetViews>
  <sheetFormatPr defaultRowHeight="12.75" x14ac:dyDescent="0.2"/>
  <cols>
    <col min="1" max="1" width="4" customWidth="1"/>
    <col min="2" max="2" width="8.140625" customWidth="1"/>
    <col min="5" max="5" width="3.85546875" customWidth="1"/>
    <col min="6" max="6" width="2.28515625" customWidth="1"/>
    <col min="7" max="8" width="3.7109375" customWidth="1"/>
    <col min="9" max="9" width="2.5703125" customWidth="1"/>
    <col min="10" max="10" width="11.140625" customWidth="1"/>
    <col min="11" max="11" width="10.28515625" customWidth="1"/>
    <col min="12" max="12" width="11.28515625" customWidth="1"/>
    <col min="13" max="13" width="7.5703125" customWidth="1"/>
  </cols>
  <sheetData>
    <row r="4" spans="1:14" ht="13.5" thickBot="1" x14ac:dyDescent="0.25"/>
    <row r="5" spans="1:14" x14ac:dyDescent="0.2">
      <c r="A5" s="20"/>
      <c r="B5" s="21"/>
      <c r="C5" s="21"/>
      <c r="D5" s="21"/>
      <c r="E5" s="22"/>
      <c r="F5" s="22"/>
      <c r="G5" s="22"/>
      <c r="H5" s="22"/>
      <c r="I5" s="22"/>
      <c r="J5" s="22"/>
      <c r="K5" s="22"/>
      <c r="L5" s="22"/>
      <c r="M5" s="22"/>
      <c r="N5" s="23"/>
    </row>
    <row r="6" spans="1:14" ht="15" x14ac:dyDescent="0.2">
      <c r="A6" s="24"/>
      <c r="B6" s="440" t="s">
        <v>1664</v>
      </c>
      <c r="C6" s="441"/>
      <c r="D6" s="441"/>
      <c r="E6" s="441"/>
      <c r="F6" s="441"/>
      <c r="G6" s="441"/>
      <c r="H6" s="441"/>
      <c r="I6" s="441"/>
      <c r="J6" s="441"/>
      <c r="K6" s="441"/>
      <c r="L6" s="441"/>
      <c r="M6" s="442"/>
      <c r="N6" s="25" t="s">
        <v>91</v>
      </c>
    </row>
    <row r="7" spans="1:14" x14ac:dyDescent="0.2">
      <c r="A7" s="24"/>
      <c r="B7" s="26" t="s">
        <v>428</v>
      </c>
      <c r="C7" s="317" t="s">
        <v>1669</v>
      </c>
      <c r="D7" s="27"/>
      <c r="E7" s="28"/>
      <c r="F7" s="28"/>
      <c r="G7" s="28"/>
      <c r="H7" s="28"/>
      <c r="I7" s="28"/>
      <c r="J7" s="28"/>
      <c r="K7" s="28"/>
      <c r="L7" s="28"/>
      <c r="M7" s="28"/>
      <c r="N7" s="29"/>
    </row>
    <row r="8" spans="1:14" x14ac:dyDescent="0.2">
      <c r="A8" s="24"/>
      <c r="B8" s="26" t="s">
        <v>429</v>
      </c>
      <c r="C8" s="27" t="s">
        <v>1243</v>
      </c>
      <c r="D8" s="27"/>
      <c r="E8" s="28"/>
      <c r="F8" s="28"/>
      <c r="G8" s="28"/>
      <c r="H8" s="28"/>
      <c r="I8" s="28"/>
      <c r="J8" s="28"/>
      <c r="K8" s="28"/>
      <c r="L8" s="28"/>
      <c r="M8" s="28"/>
      <c r="N8" s="29"/>
    </row>
    <row r="9" spans="1:14" x14ac:dyDescent="0.2">
      <c r="A9" s="24"/>
      <c r="B9" s="26" t="s">
        <v>427</v>
      </c>
      <c r="C9" s="436" t="s">
        <v>1737</v>
      </c>
      <c r="D9" s="436"/>
      <c r="E9" s="436"/>
      <c r="F9" s="436"/>
      <c r="G9" s="436"/>
      <c r="H9" s="436"/>
      <c r="I9" s="436"/>
      <c r="J9" s="436"/>
      <c r="K9" s="436"/>
      <c r="L9" s="436"/>
      <c r="M9" s="436"/>
      <c r="N9" s="437"/>
    </row>
    <row r="10" spans="1:14" x14ac:dyDescent="0.2">
      <c r="A10" s="24"/>
      <c r="B10" s="27"/>
      <c r="C10" s="436"/>
      <c r="D10" s="436"/>
      <c r="E10" s="436"/>
      <c r="F10" s="436"/>
      <c r="G10" s="436"/>
      <c r="H10" s="436"/>
      <c r="I10" s="436"/>
      <c r="J10" s="436"/>
      <c r="K10" s="436"/>
      <c r="L10" s="436"/>
      <c r="M10" s="436"/>
      <c r="N10" s="437"/>
    </row>
    <row r="11" spans="1:14" x14ac:dyDescent="0.2">
      <c r="A11" s="24"/>
      <c r="B11" s="26" t="s">
        <v>426</v>
      </c>
      <c r="C11" s="27" t="s">
        <v>1738</v>
      </c>
      <c r="D11" s="27"/>
      <c r="E11" s="28"/>
      <c r="F11" s="28"/>
      <c r="G11" s="28"/>
      <c r="H11" s="28"/>
      <c r="I11" s="28"/>
      <c r="J11" s="28"/>
      <c r="K11" s="28"/>
      <c r="L11" s="28"/>
      <c r="M11" s="28"/>
      <c r="N11" s="29"/>
    </row>
    <row r="12" spans="1:14" ht="13.5" thickBot="1" x14ac:dyDescent="0.25">
      <c r="A12" s="30"/>
      <c r="B12" s="26" t="s">
        <v>430</v>
      </c>
      <c r="C12" s="31"/>
      <c r="D12" s="31"/>
      <c r="E12" s="32"/>
      <c r="F12" s="32"/>
      <c r="G12" s="32"/>
      <c r="H12" s="32"/>
      <c r="I12" s="32"/>
      <c r="J12" s="32"/>
      <c r="K12" s="32"/>
      <c r="L12" s="32"/>
      <c r="M12" s="32"/>
      <c r="N12" s="33"/>
    </row>
    <row r="13" spans="1:14" ht="13.5" thickBot="1" x14ac:dyDescent="0.25">
      <c r="A13" s="24"/>
      <c r="B13" s="21" t="s">
        <v>263</v>
      </c>
      <c r="C13" s="27"/>
      <c r="D13" s="27"/>
      <c r="E13" s="28"/>
      <c r="F13" s="28"/>
      <c r="G13" s="28"/>
      <c r="H13" s="28"/>
      <c r="I13" s="28"/>
      <c r="J13" s="67" t="s">
        <v>385</v>
      </c>
      <c r="K13" s="63" t="s">
        <v>610</v>
      </c>
      <c r="L13" s="63"/>
      <c r="M13" s="63"/>
      <c r="N13" s="63"/>
    </row>
    <row r="14" spans="1:14" x14ac:dyDescent="0.2">
      <c r="A14" s="20"/>
      <c r="B14" s="434" t="s">
        <v>67</v>
      </c>
      <c r="C14" s="434"/>
      <c r="D14" s="434"/>
      <c r="E14" s="22"/>
      <c r="F14" s="22" t="s">
        <v>1180</v>
      </c>
      <c r="G14" s="22" t="s">
        <v>68</v>
      </c>
      <c r="H14" s="22" t="s">
        <v>702</v>
      </c>
      <c r="I14" s="28"/>
      <c r="J14" s="75">
        <f>63/ATHENS!O1*ATHENS!O2</f>
        <v>114.54545454545453</v>
      </c>
      <c r="K14" s="75">
        <f>81/ATHENS!O1*ATHENS!O2</f>
        <v>147.27272727272725</v>
      </c>
      <c r="L14" s="44"/>
      <c r="M14" s="42"/>
      <c r="N14" s="42"/>
    </row>
    <row r="15" spans="1:14" x14ac:dyDescent="0.2">
      <c r="A15" s="24"/>
      <c r="B15" s="435" t="s">
        <v>67</v>
      </c>
      <c r="C15" s="435"/>
      <c r="D15" s="435"/>
      <c r="E15" s="28"/>
      <c r="F15" s="28" t="s">
        <v>1181</v>
      </c>
      <c r="G15" s="28" t="s">
        <v>68</v>
      </c>
      <c r="H15" s="28" t="s">
        <v>702</v>
      </c>
      <c r="I15" s="28"/>
      <c r="J15" s="75">
        <f>36/ATHENS!O1*ATHENS!O2</f>
        <v>65.454545454545453</v>
      </c>
      <c r="K15" s="75">
        <f>58.5/ATHENS!O1*ATHENS!O2</f>
        <v>106.36363636363636</v>
      </c>
      <c r="L15" s="44"/>
      <c r="M15" s="44"/>
      <c r="N15" s="44"/>
    </row>
    <row r="16" spans="1:14" ht="13.5" thickBot="1" x14ac:dyDescent="0.25">
      <c r="A16" s="30"/>
      <c r="B16" s="443"/>
      <c r="C16" s="443"/>
      <c r="D16" s="443"/>
      <c r="E16" s="32"/>
      <c r="F16" s="89"/>
      <c r="G16" s="89"/>
      <c r="H16" s="32"/>
      <c r="I16" s="32"/>
      <c r="J16" s="76"/>
      <c r="K16" s="76"/>
      <c r="L16" s="46"/>
      <c r="M16" s="46"/>
      <c r="N16" s="46"/>
    </row>
    <row r="17" spans="1:14" ht="13.5" thickBot="1" x14ac:dyDescent="0.25"/>
    <row r="18" spans="1:14" x14ac:dyDescent="0.2">
      <c r="A18" s="20"/>
      <c r="B18" s="21"/>
      <c r="C18" s="21"/>
      <c r="D18" s="21"/>
      <c r="E18" s="22"/>
      <c r="F18" s="22"/>
      <c r="G18" s="22"/>
      <c r="H18" s="22"/>
      <c r="I18" s="22"/>
      <c r="J18" s="22"/>
      <c r="K18" s="22"/>
      <c r="L18" s="22"/>
      <c r="M18" s="22"/>
      <c r="N18" s="23"/>
    </row>
    <row r="19" spans="1:14" ht="15" x14ac:dyDescent="0.2">
      <c r="A19" s="24"/>
      <c r="B19" s="440" t="s">
        <v>1665</v>
      </c>
      <c r="C19" s="441"/>
      <c r="D19" s="441"/>
      <c r="E19" s="441"/>
      <c r="F19" s="441"/>
      <c r="G19" s="441"/>
      <c r="H19" s="441"/>
      <c r="I19" s="441"/>
      <c r="J19" s="441"/>
      <c r="K19" s="441"/>
      <c r="L19" s="441"/>
      <c r="M19" s="442"/>
      <c r="N19" s="25" t="s">
        <v>96</v>
      </c>
    </row>
    <row r="20" spans="1:14" x14ac:dyDescent="0.2">
      <c r="A20" s="24"/>
      <c r="B20" s="26" t="s">
        <v>428</v>
      </c>
      <c r="C20" s="27" t="s">
        <v>1670</v>
      </c>
      <c r="D20" s="27"/>
      <c r="E20" s="28"/>
      <c r="F20" s="28"/>
      <c r="G20" s="28"/>
      <c r="H20" s="28"/>
      <c r="I20" s="28"/>
      <c r="J20" s="28"/>
      <c r="K20" s="28"/>
      <c r="L20" s="28"/>
      <c r="M20" s="28"/>
      <c r="N20" s="29"/>
    </row>
    <row r="21" spans="1:14" x14ac:dyDescent="0.2">
      <c r="A21" s="24"/>
      <c r="B21" s="26" t="s">
        <v>429</v>
      </c>
      <c r="C21" s="27" t="s">
        <v>1655</v>
      </c>
      <c r="D21" s="27"/>
      <c r="E21" s="28"/>
      <c r="F21" s="28"/>
      <c r="G21" s="28"/>
      <c r="H21" s="28"/>
      <c r="I21" s="28"/>
      <c r="J21" s="28"/>
      <c r="K21" s="28"/>
      <c r="L21" s="28"/>
      <c r="M21" s="28"/>
      <c r="N21" s="29"/>
    </row>
    <row r="22" spans="1:14" x14ac:dyDescent="0.2">
      <c r="A22" s="24"/>
      <c r="B22" s="26" t="s">
        <v>427</v>
      </c>
      <c r="C22" s="436" t="s">
        <v>1671</v>
      </c>
      <c r="D22" s="436"/>
      <c r="E22" s="436"/>
      <c r="F22" s="436"/>
      <c r="G22" s="436"/>
      <c r="H22" s="436"/>
      <c r="I22" s="436"/>
      <c r="J22" s="436"/>
      <c r="K22" s="436"/>
      <c r="L22" s="436"/>
      <c r="M22" s="436"/>
      <c r="N22" s="437"/>
    </row>
    <row r="23" spans="1:14" x14ac:dyDescent="0.2">
      <c r="A23" s="24"/>
      <c r="B23" s="27"/>
      <c r="C23" s="436"/>
      <c r="D23" s="436"/>
      <c r="E23" s="436"/>
      <c r="F23" s="436"/>
      <c r="G23" s="436"/>
      <c r="H23" s="436"/>
      <c r="I23" s="436"/>
      <c r="J23" s="436"/>
      <c r="K23" s="436"/>
      <c r="L23" s="436"/>
      <c r="M23" s="436"/>
      <c r="N23" s="437"/>
    </row>
    <row r="24" spans="1:14" x14ac:dyDescent="0.2">
      <c r="A24" s="24"/>
      <c r="B24" s="26" t="s">
        <v>426</v>
      </c>
      <c r="C24" s="27"/>
      <c r="D24" s="27"/>
      <c r="E24" s="28"/>
      <c r="F24" s="28"/>
      <c r="G24" s="28"/>
      <c r="H24" s="28"/>
      <c r="I24" s="28"/>
      <c r="J24" s="28"/>
      <c r="K24" s="28"/>
      <c r="L24" s="28"/>
      <c r="M24" s="28"/>
      <c r="N24" s="29"/>
    </row>
    <row r="25" spans="1:14" ht="13.5" thickBot="1" x14ac:dyDescent="0.25">
      <c r="A25" s="30"/>
      <c r="B25" s="26" t="s">
        <v>430</v>
      </c>
      <c r="C25" s="31"/>
      <c r="D25" s="31"/>
      <c r="E25" s="32"/>
      <c r="F25" s="32"/>
      <c r="G25" s="32"/>
      <c r="H25" s="32"/>
      <c r="I25" s="32"/>
      <c r="J25" s="32"/>
      <c r="K25" s="32"/>
      <c r="L25" s="32"/>
      <c r="M25" s="32"/>
      <c r="N25" s="33"/>
    </row>
    <row r="26" spans="1:14" x14ac:dyDescent="0.2">
      <c r="A26" s="24"/>
      <c r="B26" s="21" t="s">
        <v>263</v>
      </c>
      <c r="C26" s="27"/>
      <c r="D26" s="27"/>
      <c r="E26" s="28"/>
      <c r="F26" s="28"/>
      <c r="G26" s="28"/>
      <c r="H26" s="28"/>
      <c r="I26" s="28"/>
      <c r="J26" s="67" t="s">
        <v>1953</v>
      </c>
      <c r="K26" s="63"/>
      <c r="L26" s="63"/>
      <c r="M26" s="63"/>
      <c r="N26" s="63"/>
    </row>
    <row r="27" spans="1:14" x14ac:dyDescent="0.2">
      <c r="A27" s="24"/>
      <c r="B27" s="27"/>
      <c r="C27" s="27"/>
      <c r="D27" s="27"/>
      <c r="E27" s="28"/>
      <c r="F27" s="28"/>
      <c r="G27" s="28"/>
      <c r="H27" s="28"/>
      <c r="I27" s="28"/>
      <c r="J27" s="67" t="s">
        <v>1954</v>
      </c>
      <c r="K27" t="s">
        <v>1826</v>
      </c>
      <c r="L27" s="63" t="s">
        <v>1955</v>
      </c>
      <c r="M27" s="63"/>
      <c r="N27" s="63"/>
    </row>
    <row r="28" spans="1:14" ht="13.5" thickBot="1" x14ac:dyDescent="0.25">
      <c r="A28" s="30"/>
      <c r="B28" s="31"/>
      <c r="C28" s="31"/>
      <c r="D28" s="31"/>
      <c r="E28" s="32"/>
      <c r="F28" s="32"/>
      <c r="G28" s="32"/>
      <c r="H28" s="32"/>
      <c r="I28" s="32"/>
      <c r="J28" s="49" t="s">
        <v>817</v>
      </c>
      <c r="K28" t="s">
        <v>1956</v>
      </c>
      <c r="L28" s="40" t="s">
        <v>832</v>
      </c>
      <c r="M28" s="40"/>
      <c r="N28" s="40"/>
    </row>
    <row r="29" spans="1:14" x14ac:dyDescent="0.2">
      <c r="A29" s="20"/>
      <c r="B29" s="434" t="s">
        <v>67</v>
      </c>
      <c r="C29" s="434"/>
      <c r="D29" s="434"/>
      <c r="E29" s="22"/>
      <c r="F29" s="22" t="s">
        <v>1180</v>
      </c>
      <c r="G29" s="22" t="s">
        <v>68</v>
      </c>
      <c r="H29" s="22" t="s">
        <v>702</v>
      </c>
      <c r="I29" s="28"/>
      <c r="J29" s="75">
        <f>58.5/ATHENS!O1*ATHENS!O2</f>
        <v>106.36363636363636</v>
      </c>
      <c r="K29" s="75">
        <f>67.5/ATHENS!O1*ATHENS!O2</f>
        <v>122.72727272727272</v>
      </c>
      <c r="L29" s="44">
        <f>72/ATHENS!O1*ATHENS!O2</f>
        <v>130.90909090909091</v>
      </c>
      <c r="M29" s="42"/>
      <c r="N29" s="42"/>
    </row>
    <row r="30" spans="1:14" x14ac:dyDescent="0.2">
      <c r="A30" s="24"/>
      <c r="B30" s="435" t="s">
        <v>67</v>
      </c>
      <c r="C30" s="435"/>
      <c r="D30" s="435"/>
      <c r="E30" s="28"/>
      <c r="F30" s="28" t="s">
        <v>1181</v>
      </c>
      <c r="G30" s="28" t="s">
        <v>68</v>
      </c>
      <c r="H30" s="28" t="s">
        <v>702</v>
      </c>
      <c r="I30" s="28"/>
      <c r="J30" s="75">
        <f>33.75/ATHENS!O1*ATHENS!O2</f>
        <v>61.36363636363636</v>
      </c>
      <c r="K30" s="75">
        <f>36.9/ATHENS!O1*ATHENS!O2</f>
        <v>67.090909090909079</v>
      </c>
      <c r="L30" s="44">
        <f>41/ATHENS!O1*ATHENS!O2</f>
        <v>74.545454545454533</v>
      </c>
      <c r="M30" s="44"/>
      <c r="N30" s="44"/>
    </row>
    <row r="31" spans="1:14" x14ac:dyDescent="0.2">
      <c r="A31" s="24"/>
      <c r="B31" s="68"/>
      <c r="C31" s="27"/>
      <c r="D31" s="27"/>
      <c r="E31" s="28"/>
      <c r="F31" s="28" t="s">
        <v>1182</v>
      </c>
      <c r="G31" s="28" t="s">
        <v>68</v>
      </c>
      <c r="H31" s="28" t="s">
        <v>702</v>
      </c>
      <c r="I31" s="28"/>
      <c r="J31" s="75">
        <f>27.5/ATHENS!O1*ATHENS!O2</f>
        <v>49.999999999999993</v>
      </c>
      <c r="K31" s="75">
        <f>29.6/ATHENS!O1*ATHENS!O2</f>
        <v>53.818181818181813</v>
      </c>
      <c r="L31" s="44">
        <f>32/ATHENS!O1*ATHENS!O2</f>
        <v>58.18181818181818</v>
      </c>
      <c r="M31" s="44"/>
      <c r="N31" s="44"/>
    </row>
    <row r="32" spans="1:14" ht="13.5" thickBot="1" x14ac:dyDescent="0.25">
      <c r="A32" s="30"/>
      <c r="B32" s="443"/>
      <c r="C32" s="443"/>
      <c r="D32" s="443"/>
      <c r="E32" s="32"/>
      <c r="F32" s="89"/>
      <c r="G32" s="89"/>
      <c r="H32" s="32"/>
      <c r="I32" s="32"/>
      <c r="J32" s="76"/>
      <c r="K32" s="76"/>
      <c r="L32" s="46"/>
      <c r="M32" s="46"/>
      <c r="N32" s="46"/>
    </row>
    <row r="33" spans="1:14" ht="13.5" thickBot="1" x14ac:dyDescent="0.25"/>
    <row r="34" spans="1:14" x14ac:dyDescent="0.2">
      <c r="A34" s="20"/>
      <c r="B34" s="21"/>
      <c r="C34" s="21"/>
      <c r="D34" s="21"/>
      <c r="E34" s="22"/>
      <c r="F34" s="22"/>
      <c r="G34" s="22"/>
      <c r="H34" s="22"/>
      <c r="I34" s="22"/>
      <c r="J34" s="22"/>
      <c r="K34" s="22"/>
      <c r="L34" s="22"/>
      <c r="M34" s="22"/>
      <c r="N34" s="23"/>
    </row>
    <row r="35" spans="1:14" ht="15" x14ac:dyDescent="0.2">
      <c r="A35" s="24"/>
      <c r="B35" s="440" t="s">
        <v>1666</v>
      </c>
      <c r="C35" s="441"/>
      <c r="D35" s="441"/>
      <c r="E35" s="441"/>
      <c r="F35" s="441"/>
      <c r="G35" s="441"/>
      <c r="H35" s="441"/>
      <c r="I35" s="441"/>
      <c r="J35" s="441"/>
      <c r="K35" s="441"/>
      <c r="L35" s="441"/>
      <c r="M35" s="442"/>
      <c r="N35" s="25" t="s">
        <v>664</v>
      </c>
    </row>
    <row r="36" spans="1:14" x14ac:dyDescent="0.2">
      <c r="A36" s="24"/>
      <c r="B36" s="26" t="s">
        <v>428</v>
      </c>
      <c r="C36" s="68" t="s">
        <v>1667</v>
      </c>
      <c r="D36" s="27"/>
      <c r="E36" s="28"/>
      <c r="F36" s="28"/>
      <c r="G36" s="28"/>
      <c r="H36" s="28"/>
      <c r="I36" s="28"/>
      <c r="J36" s="28"/>
      <c r="K36" s="28"/>
      <c r="L36" s="28"/>
      <c r="M36" s="28"/>
      <c r="N36" s="29"/>
    </row>
    <row r="37" spans="1:14" x14ac:dyDescent="0.2">
      <c r="A37" s="24"/>
      <c r="B37" s="26" t="s">
        <v>429</v>
      </c>
      <c r="C37" s="27" t="s">
        <v>1655</v>
      </c>
      <c r="D37" s="27"/>
      <c r="E37" s="28"/>
      <c r="F37" s="28"/>
      <c r="G37" s="28"/>
      <c r="H37" s="28"/>
      <c r="I37" s="28"/>
      <c r="J37" s="28"/>
      <c r="K37" s="28"/>
      <c r="L37" s="28"/>
      <c r="M37" s="28"/>
      <c r="N37" s="29"/>
    </row>
    <row r="38" spans="1:14" x14ac:dyDescent="0.2">
      <c r="A38" s="24"/>
      <c r="B38" s="26" t="s">
        <v>427</v>
      </c>
      <c r="C38" s="436" t="s">
        <v>1668</v>
      </c>
      <c r="D38" s="436"/>
      <c r="E38" s="436"/>
      <c r="F38" s="436"/>
      <c r="G38" s="436"/>
      <c r="H38" s="436"/>
      <c r="I38" s="436"/>
      <c r="J38" s="436"/>
      <c r="K38" s="436"/>
      <c r="L38" s="436"/>
      <c r="M38" s="436"/>
      <c r="N38" s="437"/>
    </row>
    <row r="39" spans="1:14" x14ac:dyDescent="0.2">
      <c r="A39" s="24"/>
      <c r="B39" s="27"/>
      <c r="C39" s="436"/>
      <c r="D39" s="436"/>
      <c r="E39" s="436"/>
      <c r="F39" s="436"/>
      <c r="G39" s="436"/>
      <c r="H39" s="436"/>
      <c r="I39" s="436"/>
      <c r="J39" s="436"/>
      <c r="K39" s="436"/>
      <c r="L39" s="436"/>
      <c r="M39" s="436"/>
      <c r="N39" s="437"/>
    </row>
    <row r="40" spans="1:14" x14ac:dyDescent="0.2">
      <c r="A40" s="24"/>
      <c r="B40" s="26" t="s">
        <v>426</v>
      </c>
      <c r="C40" s="27"/>
      <c r="D40" s="27"/>
      <c r="E40" s="28"/>
      <c r="F40" s="28"/>
      <c r="G40" s="28"/>
      <c r="H40" s="28"/>
      <c r="I40" s="28"/>
      <c r="J40" s="28"/>
      <c r="K40" s="28"/>
      <c r="L40" s="28"/>
      <c r="M40" s="28"/>
      <c r="N40" s="29"/>
    </row>
    <row r="41" spans="1:14" ht="13.5" thickBot="1" x14ac:dyDescent="0.25">
      <c r="A41" s="30"/>
      <c r="B41" s="26" t="s">
        <v>430</v>
      </c>
      <c r="C41" s="31"/>
      <c r="D41" s="31"/>
      <c r="E41" s="32"/>
      <c r="F41" s="32"/>
      <c r="G41" s="32"/>
      <c r="H41" s="32"/>
      <c r="I41" s="32"/>
      <c r="J41" s="32"/>
      <c r="K41" s="32"/>
      <c r="L41" s="32"/>
      <c r="M41" s="32"/>
      <c r="N41" s="33"/>
    </row>
    <row r="42" spans="1:14" x14ac:dyDescent="0.2">
      <c r="A42" s="24"/>
      <c r="B42" s="21" t="s">
        <v>263</v>
      </c>
      <c r="C42" s="27"/>
      <c r="D42" s="27"/>
      <c r="E42" s="28"/>
      <c r="F42" s="28"/>
      <c r="G42" s="28"/>
      <c r="H42" s="28"/>
      <c r="I42" s="28"/>
      <c r="J42" s="67" t="s">
        <v>2180</v>
      </c>
      <c r="K42" s="63"/>
      <c r="L42" s="63"/>
      <c r="M42" s="63"/>
      <c r="N42" s="63"/>
    </row>
    <row r="43" spans="1:14" x14ac:dyDescent="0.2">
      <c r="A43" s="24"/>
      <c r="B43" s="27"/>
      <c r="C43" s="27"/>
      <c r="D43" s="27"/>
      <c r="E43" s="28"/>
      <c r="F43" s="28"/>
      <c r="G43" s="28"/>
      <c r="H43" s="28"/>
      <c r="I43" s="28"/>
      <c r="J43" s="67" t="s">
        <v>2181</v>
      </c>
      <c r="K43" s="68" t="s">
        <v>2182</v>
      </c>
      <c r="L43" s="63" t="s">
        <v>279</v>
      </c>
      <c r="M43" s="63"/>
      <c r="N43" s="63"/>
    </row>
    <row r="44" spans="1:14" ht="13.5" thickBot="1" x14ac:dyDescent="0.25">
      <c r="A44" s="30"/>
      <c r="B44" s="31"/>
      <c r="C44" s="31"/>
      <c r="D44" s="31"/>
      <c r="E44" s="32"/>
      <c r="F44" s="32"/>
      <c r="G44" s="32"/>
      <c r="H44" s="32"/>
      <c r="I44" s="32"/>
      <c r="J44" s="49" t="s">
        <v>817</v>
      </c>
      <c r="K44" s="68" t="s">
        <v>514</v>
      </c>
      <c r="L44" s="40" t="s">
        <v>832</v>
      </c>
      <c r="M44" s="40"/>
      <c r="N44" s="40"/>
    </row>
    <row r="45" spans="1:14" x14ac:dyDescent="0.2">
      <c r="A45" s="20"/>
      <c r="B45" s="434" t="s">
        <v>67</v>
      </c>
      <c r="C45" s="434"/>
      <c r="D45" s="434"/>
      <c r="E45" s="22"/>
      <c r="F45" s="22" t="s">
        <v>1180</v>
      </c>
      <c r="G45" s="22" t="s">
        <v>68</v>
      </c>
      <c r="H45" s="22" t="s">
        <v>702</v>
      </c>
      <c r="I45" s="28"/>
      <c r="J45" s="75">
        <f>54/ATHENS!O1*ATHENS!O2</f>
        <v>98.181818181818173</v>
      </c>
      <c r="K45" s="75">
        <f>67.5/ATHENS!O1*ATHENS!O2</f>
        <v>122.72727272727272</v>
      </c>
      <c r="L45" s="44">
        <f>63/ATHENS!O1*ATHENS!O2</f>
        <v>114.54545454545453</v>
      </c>
      <c r="M45" s="42"/>
      <c r="N45" s="42"/>
    </row>
    <row r="46" spans="1:14" x14ac:dyDescent="0.2">
      <c r="A46" s="24"/>
      <c r="B46" s="435" t="s">
        <v>67</v>
      </c>
      <c r="C46" s="435"/>
      <c r="D46" s="435"/>
      <c r="E46" s="28"/>
      <c r="F46" s="28" t="s">
        <v>1181</v>
      </c>
      <c r="G46" s="28" t="s">
        <v>68</v>
      </c>
      <c r="H46" s="28" t="s">
        <v>702</v>
      </c>
      <c r="I46" s="28"/>
      <c r="J46" s="75">
        <f>34/ATHENS!O1*ATHENS!O2</f>
        <v>61.818181818181813</v>
      </c>
      <c r="K46" s="75">
        <f>38.5/ATHENS!O1*ATHENS!O2</f>
        <v>70</v>
      </c>
      <c r="L46" s="44">
        <f>39/ATHENS!O1*ATHENS!O2</f>
        <v>70.909090909090907</v>
      </c>
      <c r="M46" s="44"/>
      <c r="N46" s="44"/>
    </row>
    <row r="47" spans="1:14" ht="13.5" thickBot="1" x14ac:dyDescent="0.25">
      <c r="A47" s="30"/>
      <c r="B47" s="443" t="s">
        <v>67</v>
      </c>
      <c r="C47" s="443"/>
      <c r="D47" s="443"/>
      <c r="E47" s="32"/>
      <c r="F47" s="89" t="s">
        <v>1182</v>
      </c>
      <c r="G47" s="89" t="s">
        <v>68</v>
      </c>
      <c r="H47" s="32" t="s">
        <v>702</v>
      </c>
      <c r="I47" s="32"/>
      <c r="J47" s="76">
        <f>27.6/ATHENS!O1*ATHENS!O2</f>
        <v>50.18181818181818</v>
      </c>
      <c r="K47" s="76">
        <f>32.5/ATHENS!O1*ATHENS!O2</f>
        <v>59.090909090909086</v>
      </c>
      <c r="L47" s="46">
        <f>33/ATHENS!O1*ATHENS!O2</f>
        <v>59.999999999999993</v>
      </c>
      <c r="M47" s="46"/>
      <c r="N47" s="46"/>
    </row>
  </sheetData>
  <customSheetViews>
    <customSheetView guid="{3C76061C-A85D-4390-B9DB-73E13038638C}" showPageBreaks="1" view="pageLayout" topLeftCell="A37">
      <selection activeCell="M51" sqref="M51"/>
      <pageMargins left="0.28125" right="0.25" top="0.6692913385826772" bottom="0.70866141732283472" header="0.23622047244094491" footer="0.47244094488188981"/>
      <pageSetup paperSize="9" orientation="portrait" horizontalDpi="4294967293" verticalDpi="4294967293" r:id="rId1"/>
      <headerFooter scaleWithDoc="0" alignWithMargins="0">
        <oddHeader>&amp;C TARIFF 2019
 (EURO)
Accommodation in &amp;A</oddHeader>
        <oddFooter>&amp;LAll rates are in EURO&amp;C
TARIFF 2019
&amp;RPage &amp;P</oddFooter>
      </headerFooter>
    </customSheetView>
  </customSheetViews>
  <mergeCells count="15">
    <mergeCell ref="B6:M6"/>
    <mergeCell ref="C9:N10"/>
    <mergeCell ref="B14:D14"/>
    <mergeCell ref="B15:D15"/>
    <mergeCell ref="B16:D16"/>
    <mergeCell ref="B19:M19"/>
    <mergeCell ref="B45:D45"/>
    <mergeCell ref="B46:D46"/>
    <mergeCell ref="B47:D47"/>
    <mergeCell ref="C22:N23"/>
    <mergeCell ref="B29:D29"/>
    <mergeCell ref="B30:D30"/>
    <mergeCell ref="B32:D32"/>
    <mergeCell ref="B35:M35"/>
    <mergeCell ref="C38:N39"/>
  </mergeCells>
  <hyperlinks>
    <hyperlink ref="B35:M35" r:id="rId2" display="Hermes" xr:uid="{00000000-0004-0000-2600-000000000000}"/>
    <hyperlink ref="B6:M6" r:id="rId3" display="Apollonion Palace" xr:uid="{00000000-0004-0000-2600-000001000000}"/>
    <hyperlink ref="B19:M19" r:id="rId4" display="Syrou Melathron" xr:uid="{00000000-0004-0000-2600-000002000000}"/>
  </hyperlinks>
  <pageMargins left="0.28125" right="0.25" top="0.6692913385826772" bottom="0.70866141732283472" header="0.23622047244094491" footer="0.47244094488188981"/>
  <pageSetup paperSize="9" orientation="portrait" horizontalDpi="4294967293" verticalDpi="4294967293" r:id="rId5"/>
  <headerFooter scaleWithDoc="0" alignWithMargins="0">
    <oddHeader xml:space="preserve">&amp;C TARIFF 2021
 (EURO)
</oddHeader>
    <oddFooter>&amp;LAll rates are in EURO&amp;C
TARIFF 2021
&amp;RPage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Φύλλο3"/>
  <dimension ref="B4:J53"/>
  <sheetViews>
    <sheetView showGridLines="0" view="pageLayout" zoomScaleSheetLayoutView="100" workbookViewId="0">
      <selection activeCell="M53" sqref="M53"/>
    </sheetView>
  </sheetViews>
  <sheetFormatPr defaultRowHeight="12.75" x14ac:dyDescent="0.2"/>
  <cols>
    <col min="1" max="2" width="5.85546875" customWidth="1"/>
    <col min="3" max="3" width="1.85546875" customWidth="1"/>
  </cols>
  <sheetData>
    <row r="4" spans="2:9" x14ac:dyDescent="0.2">
      <c r="D4" s="379" t="s">
        <v>1085</v>
      </c>
      <c r="E4" s="379"/>
      <c r="F4" s="379"/>
      <c r="G4" s="379"/>
      <c r="H4" s="379"/>
    </row>
    <row r="5" spans="2:9" x14ac:dyDescent="0.2">
      <c r="D5" s="379"/>
      <c r="E5" s="379"/>
      <c r="F5" s="379"/>
      <c r="G5" s="379"/>
      <c r="H5" s="379"/>
    </row>
    <row r="6" spans="2:9" ht="12.75" customHeight="1" x14ac:dyDescent="0.2">
      <c r="D6" s="379"/>
      <c r="E6" s="379"/>
      <c r="F6" s="379"/>
      <c r="G6" s="379"/>
      <c r="H6" s="379"/>
    </row>
    <row r="7" spans="2:9" ht="12.75" customHeight="1" x14ac:dyDescent="0.2">
      <c r="D7" s="379"/>
      <c r="E7" s="379"/>
      <c r="F7" s="379"/>
      <c r="G7" s="379"/>
      <c r="H7" s="379"/>
    </row>
    <row r="9" spans="2:9" x14ac:dyDescent="0.2">
      <c r="B9" s="10" t="s">
        <v>111</v>
      </c>
      <c r="C9" s="10"/>
      <c r="D9" s="1" t="s">
        <v>362</v>
      </c>
    </row>
    <row r="10" spans="2:9" x14ac:dyDescent="0.2">
      <c r="D10" s="1" t="s">
        <v>304</v>
      </c>
    </row>
    <row r="11" spans="2:9" x14ac:dyDescent="0.2">
      <c r="D11" s="1" t="s">
        <v>305</v>
      </c>
    </row>
    <row r="12" spans="2:9" x14ac:dyDescent="0.2">
      <c r="D12" s="1"/>
    </row>
    <row r="13" spans="2:9" x14ac:dyDescent="0.2">
      <c r="B13" s="9" t="s">
        <v>111</v>
      </c>
      <c r="C13" s="9"/>
      <c r="D13" s="1" t="s">
        <v>687</v>
      </c>
    </row>
    <row r="14" spans="2:9" x14ac:dyDescent="0.2">
      <c r="D14" s="1" t="s">
        <v>361</v>
      </c>
    </row>
    <row r="16" spans="2:9" x14ac:dyDescent="0.2">
      <c r="B16" s="10" t="s">
        <v>111</v>
      </c>
      <c r="C16" s="10"/>
      <c r="D16" s="2" t="s">
        <v>1111</v>
      </c>
      <c r="E16" s="1"/>
      <c r="F16" s="1"/>
      <c r="G16" s="1"/>
      <c r="H16" s="1"/>
      <c r="I16" s="1"/>
    </row>
    <row r="17" spans="2:9" x14ac:dyDescent="0.2">
      <c r="B17" s="1"/>
      <c r="C17" s="1"/>
      <c r="D17" s="2" t="s">
        <v>1112</v>
      </c>
      <c r="E17" s="1"/>
      <c r="F17" s="1"/>
      <c r="G17" s="1"/>
      <c r="H17" s="1"/>
      <c r="I17" s="1"/>
    </row>
    <row r="18" spans="2:9" x14ac:dyDescent="0.2">
      <c r="B18" s="1"/>
      <c r="C18" s="1"/>
      <c r="D18" s="1"/>
      <c r="E18" s="1"/>
      <c r="F18" s="1"/>
      <c r="G18" s="1"/>
      <c r="H18" s="1"/>
      <c r="I18" s="1"/>
    </row>
    <row r="19" spans="2:9" x14ac:dyDescent="0.2">
      <c r="B19" s="386"/>
      <c r="C19" s="386"/>
      <c r="D19" s="386"/>
      <c r="E19" s="386"/>
      <c r="F19" s="386"/>
      <c r="G19" s="386"/>
      <c r="H19" s="386"/>
      <c r="I19" s="386"/>
    </row>
    <row r="20" spans="2:9" x14ac:dyDescent="0.2">
      <c r="B20" s="386"/>
      <c r="C20" s="386"/>
      <c r="D20" s="386"/>
      <c r="E20" s="386"/>
      <c r="F20" s="386"/>
      <c r="G20" s="386"/>
      <c r="H20" s="386"/>
      <c r="I20" s="386"/>
    </row>
    <row r="21" spans="2:9" x14ac:dyDescent="0.2">
      <c r="B21" s="386"/>
      <c r="C21" s="386"/>
      <c r="D21" s="386"/>
      <c r="E21" s="386"/>
      <c r="F21" s="386"/>
      <c r="G21" s="386"/>
      <c r="H21" s="386"/>
      <c r="I21" s="386"/>
    </row>
    <row r="22" spans="2:9" x14ac:dyDescent="0.2">
      <c r="B22" s="386"/>
      <c r="C22" s="386"/>
      <c r="D22" s="386"/>
      <c r="E22" s="386"/>
      <c r="F22" s="386"/>
      <c r="G22" s="386"/>
      <c r="H22" s="386"/>
      <c r="I22" s="386"/>
    </row>
    <row r="23" spans="2:9" x14ac:dyDescent="0.2">
      <c r="B23" s="386"/>
      <c r="C23" s="386"/>
      <c r="D23" s="386"/>
      <c r="E23" s="386"/>
      <c r="F23" s="386"/>
      <c r="G23" s="386"/>
      <c r="H23" s="386"/>
      <c r="I23" s="386"/>
    </row>
    <row r="24" spans="2:9" x14ac:dyDescent="0.2">
      <c r="B24" s="386"/>
      <c r="C24" s="386"/>
      <c r="D24" s="386"/>
      <c r="E24" s="386"/>
      <c r="F24" s="386"/>
      <c r="G24" s="386"/>
      <c r="H24" s="386"/>
      <c r="I24" s="386"/>
    </row>
    <row r="25" spans="2:9" x14ac:dyDescent="0.2">
      <c r="B25" s="4"/>
      <c r="C25" s="4"/>
      <c r="D25" s="4"/>
      <c r="E25" s="4"/>
      <c r="F25" s="4"/>
      <c r="G25" s="4"/>
      <c r="H25" s="4"/>
      <c r="I25" s="4"/>
    </row>
    <row r="26" spans="2:9" x14ac:dyDescent="0.2">
      <c r="B26" s="386"/>
      <c r="C26" s="386"/>
      <c r="D26" s="386"/>
      <c r="E26" s="386"/>
      <c r="F26" s="386"/>
      <c r="G26" s="386"/>
      <c r="H26" s="386"/>
      <c r="I26" s="386"/>
    </row>
    <row r="27" spans="2:9" x14ac:dyDescent="0.2">
      <c r="B27" s="386"/>
      <c r="C27" s="386"/>
      <c r="D27" s="386"/>
      <c r="E27" s="386"/>
      <c r="F27" s="386"/>
      <c r="G27" s="386"/>
      <c r="H27" s="386"/>
      <c r="I27" s="386"/>
    </row>
    <row r="28" spans="2:9" x14ac:dyDescent="0.2">
      <c r="B28" s="386"/>
      <c r="C28" s="386"/>
      <c r="D28" s="386"/>
      <c r="E28" s="386"/>
      <c r="F28" s="386"/>
      <c r="G28" s="386"/>
      <c r="H28" s="386"/>
      <c r="I28" s="386"/>
    </row>
    <row r="29" spans="2:9" x14ac:dyDescent="0.2">
      <c r="B29" s="386"/>
      <c r="C29" s="386"/>
      <c r="D29" s="386"/>
      <c r="E29" s="386"/>
      <c r="F29" s="386"/>
      <c r="G29" s="386"/>
      <c r="H29" s="386"/>
      <c r="I29" s="386"/>
    </row>
    <row r="30" spans="2:9" x14ac:dyDescent="0.2">
      <c r="B30" s="386"/>
      <c r="C30" s="386"/>
      <c r="D30" s="386"/>
      <c r="E30" s="386"/>
      <c r="F30" s="386"/>
      <c r="G30" s="386"/>
      <c r="H30" s="386"/>
      <c r="I30" s="386"/>
    </row>
    <row r="31" spans="2:9" x14ac:dyDescent="0.2">
      <c r="B31" s="386"/>
      <c r="C31" s="386"/>
      <c r="D31" s="386"/>
      <c r="E31" s="386"/>
      <c r="F31" s="386"/>
      <c r="G31" s="386"/>
      <c r="H31" s="386"/>
      <c r="I31" s="386"/>
    </row>
    <row r="32" spans="2:9" x14ac:dyDescent="0.2">
      <c r="B32" s="4"/>
      <c r="C32" s="4"/>
      <c r="D32" s="4"/>
      <c r="E32" s="4"/>
      <c r="F32" s="4"/>
      <c r="G32" s="4"/>
      <c r="H32" s="4"/>
      <c r="I32" s="4"/>
    </row>
    <row r="33" spans="2:9" x14ac:dyDescent="0.2">
      <c r="B33" s="386"/>
      <c r="C33" s="386"/>
      <c r="D33" s="386"/>
      <c r="E33" s="386"/>
      <c r="F33" s="386"/>
      <c r="G33" s="386"/>
      <c r="H33" s="386"/>
      <c r="I33" s="386"/>
    </row>
    <row r="34" spans="2:9" x14ac:dyDescent="0.2">
      <c r="B34" s="386"/>
      <c r="C34" s="386"/>
      <c r="D34" s="386"/>
      <c r="E34" s="386"/>
      <c r="F34" s="386"/>
      <c r="G34" s="386"/>
      <c r="H34" s="386"/>
      <c r="I34" s="386"/>
    </row>
    <row r="35" spans="2:9" x14ac:dyDescent="0.2">
      <c r="B35" s="386"/>
      <c r="C35" s="386"/>
      <c r="D35" s="386"/>
      <c r="E35" s="386"/>
      <c r="F35" s="386"/>
      <c r="G35" s="386"/>
      <c r="H35" s="386"/>
      <c r="I35" s="386"/>
    </row>
    <row r="36" spans="2:9" x14ac:dyDescent="0.2">
      <c r="B36" s="386"/>
      <c r="C36" s="386"/>
      <c r="D36" s="386"/>
      <c r="E36" s="386"/>
      <c r="F36" s="386"/>
      <c r="G36" s="386"/>
      <c r="H36" s="386"/>
      <c r="I36" s="386"/>
    </row>
    <row r="37" spans="2:9" x14ac:dyDescent="0.2">
      <c r="B37" s="386"/>
      <c r="C37" s="386"/>
      <c r="D37" s="386"/>
      <c r="E37" s="386"/>
      <c r="F37" s="386"/>
      <c r="G37" s="386"/>
      <c r="H37" s="386"/>
      <c r="I37" s="386"/>
    </row>
    <row r="38" spans="2:9" x14ac:dyDescent="0.2">
      <c r="B38" s="386"/>
      <c r="C38" s="386"/>
      <c r="D38" s="386"/>
      <c r="E38" s="386"/>
      <c r="F38" s="386"/>
      <c r="G38" s="386"/>
      <c r="H38" s="386"/>
      <c r="I38" s="386"/>
    </row>
    <row r="53" spans="10:10" x14ac:dyDescent="0.2">
      <c r="J53" t="s">
        <v>675</v>
      </c>
    </row>
  </sheetData>
  <customSheetViews>
    <customSheetView guid="{3C76061C-A85D-4390-B9DB-73E13038638C}" showPageBreaks="1" showGridLines="0" view="pageLayout">
      <selection activeCell="D4" sqref="D4:H7"/>
      <pageMargins left="0.28125" right="0.25" top="0.6692913385826772" bottom="0.70866141732283472" header="0.23622047244094491" footer="0.47244094488188981"/>
      <pageSetup paperSize="9" orientation="portrait" horizontalDpi="300" verticalDpi="300" r:id="rId1"/>
      <headerFooter scaleWithDoc="0" alignWithMargins="0">
        <oddHeader>&amp;C TARIFF 2019
 (EURO)
Accommodation in &amp;A</oddHeader>
        <oddFooter>&amp;LAll rates are in EURO&amp;C
TARIFF 2019
&amp;RPage &amp;P</oddFooter>
      </headerFooter>
    </customSheetView>
    <customSheetView guid="{777CFE61-6F99-11D9-974B-0050BFD074B6}" showRuler="0" topLeftCell="A19">
      <selection activeCell="L11" sqref="L11"/>
      <pageMargins left="0.75" right="0.75" top="1" bottom="1" header="0.5" footer="0.5"/>
      <pageSetup paperSize="9" orientation="portrait" horizontalDpi="4294967293" verticalDpi="300" r:id="rId2"/>
      <headerFooter alignWithMargins="0"/>
    </customSheetView>
    <customSheetView guid="{95D45CB7-1E39-11D6-AFD7-008048E20DDD}" showRuler="0">
      <pageMargins left="0.75" right="0.75" top="1" bottom="1" header="0.5" footer="0.5"/>
      <pageSetup paperSize="9" orientation="portrait" horizontalDpi="4294967293" verticalDpi="0" r:id="rId3"/>
      <headerFooter alignWithMargins="0"/>
    </customSheetView>
  </customSheetViews>
  <mergeCells count="19">
    <mergeCell ref="D4:H7"/>
    <mergeCell ref="B31:I31"/>
    <mergeCell ref="B33:I33"/>
    <mergeCell ref="B34:I34"/>
    <mergeCell ref="B24:I24"/>
    <mergeCell ref="B27:I27"/>
    <mergeCell ref="B28:I28"/>
    <mergeCell ref="B29:I29"/>
    <mergeCell ref="B38:I38"/>
    <mergeCell ref="B19:I19"/>
    <mergeCell ref="B20:I20"/>
    <mergeCell ref="B30:I30"/>
    <mergeCell ref="B21:I21"/>
    <mergeCell ref="B22:I22"/>
    <mergeCell ref="B23:I23"/>
    <mergeCell ref="B26:I26"/>
    <mergeCell ref="B36:I36"/>
    <mergeCell ref="B37:I37"/>
    <mergeCell ref="B35:I35"/>
  </mergeCells>
  <phoneticPr fontId="0" type="noConversion"/>
  <pageMargins left="0.28125" right="0.25" top="0.6692913385826772" bottom="0.70866141732283472" header="0.23622047244094491" footer="0.47244094488188981"/>
  <pageSetup paperSize="9" orientation="portrait" horizontalDpi="300" verticalDpi="300" r:id="rId4"/>
  <headerFooter scaleWithDoc="0" alignWithMargins="0">
    <oddHeader xml:space="preserve">&amp;C TARIFF 2021
 (EURO)
</oddHeader>
    <oddFooter>&amp;LAll rates are in EURO&amp;C
TARIFF 2021
&amp;RPage &amp;P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210"/>
  <sheetViews>
    <sheetView showGridLines="0" view="pageLayout" topLeftCell="A37" zoomScaleSheetLayoutView="100" workbookViewId="0">
      <selection activeCell="M53" sqref="M53"/>
    </sheetView>
  </sheetViews>
  <sheetFormatPr defaultRowHeight="12.75" x14ac:dyDescent="0.2"/>
  <cols>
    <col min="1" max="1" width="1.85546875" style="141" customWidth="1"/>
    <col min="2" max="3" width="10.7109375" style="141" customWidth="1"/>
    <col min="4" max="9" width="3.7109375" style="141" customWidth="1"/>
    <col min="10" max="14" width="10.7109375" style="141" customWidth="1"/>
    <col min="15" max="16384" width="9.140625" style="141"/>
  </cols>
  <sheetData>
    <row r="1" spans="1:14" ht="11.25" customHeight="1" thickBot="1" x14ac:dyDescent="0.25">
      <c r="A1" s="108"/>
      <c r="B1" s="138"/>
      <c r="C1" s="138"/>
      <c r="D1" s="138"/>
      <c r="E1" s="139"/>
      <c r="F1" s="139"/>
      <c r="G1" s="139"/>
      <c r="H1" s="139"/>
      <c r="I1" s="139"/>
      <c r="J1" s="139"/>
      <c r="K1" s="139"/>
      <c r="L1" s="139"/>
      <c r="M1" s="139"/>
      <c r="N1" s="139"/>
    </row>
    <row r="2" spans="1:14" ht="13.5" thickBot="1" x14ac:dyDescent="0.25">
      <c r="A2" s="112"/>
      <c r="B2" s="113"/>
      <c r="C2" s="113"/>
      <c r="D2" s="113"/>
      <c r="E2" s="114"/>
      <c r="F2" s="114"/>
      <c r="G2" s="114"/>
      <c r="H2" s="114"/>
      <c r="I2" s="114"/>
      <c r="J2" s="114"/>
      <c r="K2" s="114"/>
      <c r="L2" s="114"/>
      <c r="M2" s="114"/>
      <c r="N2" s="115"/>
    </row>
    <row r="3" spans="1:14" ht="15.75" thickBot="1" x14ac:dyDescent="0.25">
      <c r="A3" s="116"/>
      <c r="B3" s="484" t="s">
        <v>632</v>
      </c>
      <c r="C3" s="485"/>
      <c r="D3" s="485"/>
      <c r="E3" s="485"/>
      <c r="F3" s="485"/>
      <c r="G3" s="485"/>
      <c r="H3" s="485"/>
      <c r="I3" s="485"/>
      <c r="J3" s="485"/>
      <c r="K3" s="485"/>
      <c r="L3" s="485"/>
      <c r="M3" s="486"/>
      <c r="N3" s="117" t="s">
        <v>91</v>
      </c>
    </row>
    <row r="4" spans="1:14" x14ac:dyDescent="0.2">
      <c r="A4" s="116"/>
      <c r="B4" s="118" t="s">
        <v>428</v>
      </c>
      <c r="C4" s="119" t="s">
        <v>1284</v>
      </c>
      <c r="D4" s="119"/>
      <c r="E4" s="120"/>
      <c r="F4" s="120"/>
      <c r="G4" s="120"/>
      <c r="H4" s="120"/>
      <c r="I4" s="120"/>
      <c r="J4" s="120"/>
      <c r="K4" s="120"/>
      <c r="L4" s="120"/>
      <c r="M4" s="120"/>
      <c r="N4" s="101"/>
    </row>
    <row r="5" spans="1:14" x14ac:dyDescent="0.2">
      <c r="A5" s="116"/>
      <c r="B5" s="118" t="s">
        <v>429</v>
      </c>
      <c r="C5" s="119" t="s">
        <v>317</v>
      </c>
      <c r="D5" s="119"/>
      <c r="E5" s="120"/>
      <c r="F5" s="120"/>
      <c r="G5" s="120"/>
      <c r="H5" s="120"/>
      <c r="I5" s="120"/>
      <c r="J5" s="120"/>
      <c r="K5" s="120"/>
      <c r="L5" s="120"/>
      <c r="M5" s="120"/>
      <c r="N5" s="101"/>
    </row>
    <row r="6" spans="1:14" x14ac:dyDescent="0.2">
      <c r="A6" s="116"/>
      <c r="B6" s="118" t="s">
        <v>427</v>
      </c>
      <c r="C6" s="465" t="s">
        <v>1285</v>
      </c>
      <c r="D6" s="465"/>
      <c r="E6" s="465"/>
      <c r="F6" s="465"/>
      <c r="G6" s="465"/>
      <c r="H6" s="465"/>
      <c r="I6" s="465"/>
      <c r="J6" s="465"/>
      <c r="K6" s="465"/>
      <c r="L6" s="465"/>
      <c r="M6" s="465"/>
      <c r="N6" s="466"/>
    </row>
    <row r="7" spans="1:14" ht="13.5" thickBot="1" x14ac:dyDescent="0.25">
      <c r="A7" s="116"/>
      <c r="B7" s="109"/>
      <c r="C7" s="465"/>
      <c r="D7" s="465"/>
      <c r="E7" s="465"/>
      <c r="F7" s="465"/>
      <c r="G7" s="465"/>
      <c r="H7" s="465"/>
      <c r="I7" s="465"/>
      <c r="J7" s="465"/>
      <c r="K7" s="465"/>
      <c r="L7" s="465"/>
      <c r="M7" s="465"/>
      <c r="N7" s="466"/>
    </row>
    <row r="8" spans="1:14" ht="13.5" thickBot="1" x14ac:dyDescent="0.25">
      <c r="A8" s="112"/>
      <c r="B8" s="113" t="s">
        <v>263</v>
      </c>
      <c r="C8" s="241"/>
      <c r="D8" s="241"/>
      <c r="E8" s="241"/>
      <c r="F8" s="241"/>
      <c r="G8" s="241"/>
      <c r="H8" s="241"/>
      <c r="I8" s="242"/>
      <c r="J8" s="243" t="s">
        <v>229</v>
      </c>
      <c r="K8" s="243"/>
      <c r="L8" s="244"/>
      <c r="M8" s="244"/>
      <c r="N8" s="242"/>
    </row>
    <row r="9" spans="1:14" x14ac:dyDescent="0.2">
      <c r="A9" s="112"/>
      <c r="B9" s="467" t="s">
        <v>67</v>
      </c>
      <c r="C9" s="467"/>
      <c r="D9" s="467"/>
      <c r="E9" s="114"/>
      <c r="F9" s="114" t="s">
        <v>1180</v>
      </c>
      <c r="G9" s="114" t="s">
        <v>68</v>
      </c>
      <c r="H9" s="114" t="s">
        <v>702</v>
      </c>
      <c r="I9" s="114"/>
      <c r="J9" s="100">
        <f>144/ATHENS!O1*ATHENS!O2</f>
        <v>261.81818181818181</v>
      </c>
      <c r="K9" s="100"/>
      <c r="L9" s="100"/>
      <c r="M9" s="126"/>
      <c r="N9" s="126"/>
    </row>
    <row r="10" spans="1:14" x14ac:dyDescent="0.2">
      <c r="A10" s="116"/>
      <c r="B10" s="461" t="s">
        <v>67</v>
      </c>
      <c r="C10" s="461"/>
      <c r="D10" s="461"/>
      <c r="E10" s="120"/>
      <c r="F10" s="120" t="s">
        <v>1181</v>
      </c>
      <c r="G10" s="120" t="s">
        <v>68</v>
      </c>
      <c r="H10" s="120" t="s">
        <v>702</v>
      </c>
      <c r="I10" s="120"/>
      <c r="J10" s="100">
        <f>75/ATHENS!O1*ATHENS!O2</f>
        <v>136.36363636363635</v>
      </c>
      <c r="K10" s="100"/>
      <c r="L10" s="100"/>
      <c r="M10" s="100"/>
      <c r="N10" s="100"/>
    </row>
    <row r="11" spans="1:14" ht="13.5" thickBot="1" x14ac:dyDescent="0.25">
      <c r="A11" s="121"/>
      <c r="B11" s="460" t="s">
        <v>67</v>
      </c>
      <c r="C11" s="460"/>
      <c r="D11" s="460"/>
      <c r="E11" s="123"/>
      <c r="F11" s="123" t="s">
        <v>1182</v>
      </c>
      <c r="G11" s="123" t="s">
        <v>68</v>
      </c>
      <c r="H11" s="123" t="s">
        <v>702</v>
      </c>
      <c r="I11" s="123"/>
      <c r="J11" s="105" t="s">
        <v>864</v>
      </c>
      <c r="K11" s="105"/>
      <c r="L11" s="105"/>
      <c r="M11" s="105"/>
      <c r="N11" s="105"/>
    </row>
    <row r="12" spans="1:14" ht="7.5" customHeight="1" thickBot="1" x14ac:dyDescent="0.25">
      <c r="A12" s="108"/>
      <c r="B12" s="138"/>
      <c r="C12" s="138"/>
      <c r="D12" s="138"/>
      <c r="E12" s="139"/>
      <c r="F12" s="139"/>
      <c r="G12" s="139"/>
      <c r="H12" s="139"/>
      <c r="I12" s="139"/>
      <c r="J12" s="139"/>
      <c r="K12" s="139"/>
      <c r="L12" s="139"/>
      <c r="M12" s="139"/>
      <c r="N12" s="139"/>
    </row>
    <row r="13" spans="1:14" ht="13.5" thickBot="1" x14ac:dyDescent="0.25">
      <c r="A13" s="112"/>
      <c r="B13" s="113"/>
      <c r="C13" s="113"/>
      <c r="D13" s="113"/>
      <c r="E13" s="114"/>
      <c r="F13" s="114"/>
      <c r="G13" s="114"/>
      <c r="H13" s="114"/>
      <c r="I13" s="114"/>
      <c r="J13" s="114"/>
      <c r="K13" s="114"/>
      <c r="L13" s="114"/>
      <c r="M13" s="114"/>
      <c r="N13" s="115"/>
    </row>
    <row r="14" spans="1:14" ht="15.75" thickBot="1" x14ac:dyDescent="0.25">
      <c r="A14" s="116"/>
      <c r="B14" s="484" t="s">
        <v>806</v>
      </c>
      <c r="C14" s="485"/>
      <c r="D14" s="485"/>
      <c r="E14" s="485"/>
      <c r="F14" s="485"/>
      <c r="G14" s="485"/>
      <c r="H14" s="485"/>
      <c r="I14" s="485"/>
      <c r="J14" s="485"/>
      <c r="K14" s="485"/>
      <c r="L14" s="485"/>
      <c r="M14" s="486"/>
      <c r="N14" s="117" t="s">
        <v>91</v>
      </c>
    </row>
    <row r="15" spans="1:14" x14ac:dyDescent="0.2">
      <c r="A15" s="116"/>
      <c r="B15" s="118" t="s">
        <v>428</v>
      </c>
      <c r="C15" s="119" t="s">
        <v>1378</v>
      </c>
      <c r="D15" s="119"/>
      <c r="E15" s="120"/>
      <c r="F15" s="120"/>
      <c r="G15" s="120"/>
      <c r="H15" s="120"/>
      <c r="I15" s="120"/>
      <c r="J15" s="120"/>
      <c r="K15" s="120"/>
      <c r="L15" s="120"/>
      <c r="M15" s="120"/>
      <c r="N15" s="101"/>
    </row>
    <row r="16" spans="1:14" x14ac:dyDescent="0.2">
      <c r="A16" s="116"/>
      <c r="B16" s="118" t="s">
        <v>429</v>
      </c>
      <c r="C16" s="119" t="s">
        <v>318</v>
      </c>
      <c r="D16" s="119"/>
      <c r="E16" s="120"/>
      <c r="F16" s="120"/>
      <c r="G16" s="120"/>
      <c r="H16" s="120"/>
      <c r="I16" s="120"/>
      <c r="J16" s="120"/>
      <c r="K16" s="120"/>
      <c r="L16" s="120"/>
      <c r="M16" s="120"/>
      <c r="N16" s="101"/>
    </row>
    <row r="17" spans="1:14" x14ac:dyDescent="0.2">
      <c r="A17" s="116"/>
      <c r="B17" s="118" t="s">
        <v>427</v>
      </c>
      <c r="C17" s="465" t="s">
        <v>386</v>
      </c>
      <c r="D17" s="465"/>
      <c r="E17" s="465"/>
      <c r="F17" s="465"/>
      <c r="G17" s="465"/>
      <c r="H17" s="465"/>
      <c r="I17" s="465"/>
      <c r="J17" s="465"/>
      <c r="K17" s="465"/>
      <c r="L17" s="465"/>
      <c r="M17" s="465"/>
      <c r="N17" s="466"/>
    </row>
    <row r="18" spans="1:14" x14ac:dyDescent="0.2">
      <c r="A18" s="116"/>
      <c r="B18" s="118"/>
      <c r="C18" s="465"/>
      <c r="D18" s="465"/>
      <c r="E18" s="465"/>
      <c r="F18" s="465"/>
      <c r="G18" s="465"/>
      <c r="H18" s="465"/>
      <c r="I18" s="465"/>
      <c r="J18" s="465"/>
      <c r="K18" s="465"/>
      <c r="L18" s="465"/>
      <c r="M18" s="465"/>
      <c r="N18" s="466"/>
    </row>
    <row r="19" spans="1:14" ht="13.5" thickBot="1" x14ac:dyDescent="0.25">
      <c r="A19" s="116"/>
      <c r="B19" s="109"/>
      <c r="C19" s="465"/>
      <c r="D19" s="465"/>
      <c r="E19" s="465"/>
      <c r="F19" s="465"/>
      <c r="G19" s="465"/>
      <c r="H19" s="465"/>
      <c r="I19" s="465"/>
      <c r="J19" s="465"/>
      <c r="K19" s="465"/>
      <c r="L19" s="465"/>
      <c r="M19" s="465"/>
      <c r="N19" s="466"/>
    </row>
    <row r="20" spans="1:14" ht="13.5" thickBot="1" x14ac:dyDescent="0.25">
      <c r="A20" s="134"/>
      <c r="B20" s="135" t="s">
        <v>263</v>
      </c>
      <c r="C20" s="246"/>
      <c r="D20" s="246"/>
      <c r="E20" s="246"/>
      <c r="F20" s="246"/>
      <c r="G20" s="246"/>
      <c r="H20" s="246"/>
      <c r="I20" s="248"/>
      <c r="J20" s="249" t="s">
        <v>858</v>
      </c>
      <c r="K20" s="249" t="s">
        <v>1996</v>
      </c>
      <c r="L20" s="249"/>
      <c r="M20" s="249"/>
      <c r="N20" s="247"/>
    </row>
    <row r="21" spans="1:14" ht="13.5" thickBot="1" x14ac:dyDescent="0.25">
      <c r="A21" s="134"/>
      <c r="B21" s="135" t="s">
        <v>263</v>
      </c>
      <c r="C21" s="135"/>
      <c r="D21" s="135"/>
      <c r="E21" s="136"/>
      <c r="F21" s="136"/>
      <c r="G21" s="136"/>
      <c r="H21" s="136"/>
      <c r="I21" s="136"/>
      <c r="J21" s="156" t="s">
        <v>514</v>
      </c>
      <c r="K21" s="157" t="s">
        <v>494</v>
      </c>
      <c r="L21" s="157"/>
      <c r="M21" s="137"/>
      <c r="N21" s="157"/>
    </row>
    <row r="22" spans="1:14" x14ac:dyDescent="0.2">
      <c r="A22" s="112"/>
      <c r="B22" s="467" t="s">
        <v>67</v>
      </c>
      <c r="C22" s="467"/>
      <c r="D22" s="467"/>
      <c r="E22" s="114"/>
      <c r="F22" s="114" t="s">
        <v>1180</v>
      </c>
      <c r="G22" s="114" t="s">
        <v>68</v>
      </c>
      <c r="H22" s="114" t="s">
        <v>702</v>
      </c>
      <c r="I22" s="114"/>
      <c r="J22" s="100">
        <f>115/ATHENS!O1*ATHENS!O2</f>
        <v>209.09090909090907</v>
      </c>
      <c r="K22" s="100">
        <f>126/ATHENS!O1*ATHENS!O2</f>
        <v>229.09090909090907</v>
      </c>
      <c r="L22" s="100"/>
      <c r="M22" s="126"/>
      <c r="N22" s="126"/>
    </row>
    <row r="23" spans="1:14" x14ac:dyDescent="0.2">
      <c r="A23" s="116"/>
      <c r="B23" s="461" t="s">
        <v>67</v>
      </c>
      <c r="C23" s="461"/>
      <c r="D23" s="461"/>
      <c r="E23" s="120"/>
      <c r="F23" s="120" t="s">
        <v>1181</v>
      </c>
      <c r="G23" s="120" t="s">
        <v>68</v>
      </c>
      <c r="H23" s="120" t="s">
        <v>702</v>
      </c>
      <c r="I23" s="120"/>
      <c r="J23" s="100">
        <f>65.5/ATHENS!O1*ATHENS!O2</f>
        <v>119.09090909090908</v>
      </c>
      <c r="K23" s="100">
        <f>71/ATHENS!O1*ATHENS!O2</f>
        <v>129.09090909090909</v>
      </c>
      <c r="L23" s="100"/>
      <c r="M23" s="100"/>
      <c r="N23" s="100"/>
    </row>
    <row r="24" spans="1:14" ht="13.5" thickBot="1" x14ac:dyDescent="0.25">
      <c r="A24" s="121"/>
      <c r="B24" s="460" t="s">
        <v>67</v>
      </c>
      <c r="C24" s="460"/>
      <c r="D24" s="460"/>
      <c r="E24" s="123"/>
      <c r="F24" s="123" t="s">
        <v>1182</v>
      </c>
      <c r="G24" s="123" t="s">
        <v>68</v>
      </c>
      <c r="H24" s="123" t="s">
        <v>702</v>
      </c>
      <c r="I24" s="123"/>
      <c r="J24" s="105">
        <f>51/ATHENS!O1*ATHENS!O2</f>
        <v>92.72727272727272</v>
      </c>
      <c r="K24" s="105">
        <f>54.6/ATHENS!O1*ATHENS!O2</f>
        <v>99.272727272727266</v>
      </c>
      <c r="L24" s="105"/>
      <c r="M24" s="105"/>
      <c r="N24" s="105"/>
    </row>
    <row r="25" spans="1:14" ht="6.75" customHeight="1" thickBot="1" x14ac:dyDescent="0.25">
      <c r="A25" s="108"/>
      <c r="B25" s="138"/>
      <c r="C25" s="138"/>
      <c r="D25" s="138"/>
      <c r="E25" s="139"/>
      <c r="F25" s="139"/>
      <c r="G25" s="139"/>
      <c r="H25" s="139"/>
      <c r="I25" s="139"/>
      <c r="J25" s="139"/>
      <c r="K25" s="139"/>
      <c r="L25" s="139"/>
      <c r="M25" s="139"/>
      <c r="N25" s="139"/>
    </row>
    <row r="26" spans="1:14" ht="13.5" thickBot="1" x14ac:dyDescent="0.25">
      <c r="A26" s="112"/>
      <c r="B26" s="113"/>
      <c r="C26" s="113"/>
      <c r="D26" s="113"/>
      <c r="E26" s="114"/>
      <c r="F26" s="114"/>
      <c r="G26" s="114"/>
      <c r="H26" s="114"/>
      <c r="I26" s="114"/>
      <c r="J26" s="114"/>
      <c r="K26" s="114"/>
      <c r="L26" s="114"/>
      <c r="M26" s="114"/>
      <c r="N26" s="115"/>
    </row>
    <row r="27" spans="1:14" ht="15.75" thickBot="1" x14ac:dyDescent="0.25">
      <c r="A27" s="116"/>
      <c r="B27" s="484" t="s">
        <v>633</v>
      </c>
      <c r="C27" s="485"/>
      <c r="D27" s="485"/>
      <c r="E27" s="485"/>
      <c r="F27" s="485"/>
      <c r="G27" s="485"/>
      <c r="H27" s="485"/>
      <c r="I27" s="485"/>
      <c r="J27" s="485"/>
      <c r="K27" s="485"/>
      <c r="L27" s="485"/>
      <c r="M27" s="486"/>
      <c r="N27" s="117" t="s">
        <v>91</v>
      </c>
    </row>
    <row r="28" spans="1:14" x14ac:dyDescent="0.2">
      <c r="A28" s="116"/>
      <c r="B28" s="118" t="s">
        <v>428</v>
      </c>
      <c r="C28" s="119" t="s">
        <v>1286</v>
      </c>
      <c r="D28" s="119"/>
      <c r="E28" s="120"/>
      <c r="F28" s="120"/>
      <c r="G28" s="120"/>
      <c r="H28" s="120"/>
      <c r="I28" s="120"/>
      <c r="J28" s="120"/>
      <c r="K28" s="120"/>
      <c r="L28" s="120"/>
      <c r="M28" s="120"/>
      <c r="N28" s="101"/>
    </row>
    <row r="29" spans="1:14" x14ac:dyDescent="0.2">
      <c r="A29" s="116"/>
      <c r="B29" s="118" t="s">
        <v>429</v>
      </c>
      <c r="C29" s="119" t="s">
        <v>711</v>
      </c>
      <c r="D29" s="119"/>
      <c r="E29" s="120"/>
      <c r="F29" s="120"/>
      <c r="G29" s="120"/>
      <c r="H29" s="120"/>
      <c r="I29" s="120"/>
      <c r="J29" s="120"/>
      <c r="K29" s="120"/>
      <c r="L29" s="120"/>
      <c r="M29" s="120"/>
      <c r="N29" s="101"/>
    </row>
    <row r="30" spans="1:14" x14ac:dyDescent="0.2">
      <c r="A30" s="116"/>
      <c r="B30" s="118" t="s">
        <v>427</v>
      </c>
      <c r="C30" s="465" t="s">
        <v>1287</v>
      </c>
      <c r="D30" s="465"/>
      <c r="E30" s="465"/>
      <c r="F30" s="465"/>
      <c r="G30" s="465"/>
      <c r="H30" s="465"/>
      <c r="I30" s="465"/>
      <c r="J30" s="465"/>
      <c r="K30" s="465"/>
      <c r="L30" s="465"/>
      <c r="M30" s="465"/>
      <c r="N30" s="466"/>
    </row>
    <row r="31" spans="1:14" ht="13.5" thickBot="1" x14ac:dyDescent="0.25">
      <c r="A31" s="116"/>
      <c r="B31" s="109"/>
      <c r="C31" s="465"/>
      <c r="D31" s="465"/>
      <c r="E31" s="465"/>
      <c r="F31" s="465"/>
      <c r="G31" s="465"/>
      <c r="H31" s="465"/>
      <c r="I31" s="465"/>
      <c r="J31" s="465"/>
      <c r="K31" s="465"/>
      <c r="L31" s="465"/>
      <c r="M31" s="465"/>
      <c r="N31" s="466"/>
    </row>
    <row r="32" spans="1:14" ht="13.5" thickBot="1" x14ac:dyDescent="0.25">
      <c r="A32" s="112"/>
      <c r="B32" s="113" t="s">
        <v>263</v>
      </c>
      <c r="C32" s="113"/>
      <c r="D32" s="113"/>
      <c r="E32" s="114"/>
      <c r="F32" s="114"/>
      <c r="G32" s="114"/>
      <c r="H32" s="114"/>
      <c r="I32" s="114"/>
      <c r="J32" s="126" t="s">
        <v>1177</v>
      </c>
      <c r="K32" s="126"/>
      <c r="L32" s="126"/>
      <c r="M32" s="126"/>
      <c r="N32" s="126"/>
    </row>
    <row r="33" spans="1:14" x14ac:dyDescent="0.2">
      <c r="A33" s="112"/>
      <c r="B33" s="467" t="s">
        <v>67</v>
      </c>
      <c r="C33" s="467"/>
      <c r="D33" s="467"/>
      <c r="E33" s="114"/>
      <c r="F33" s="114" t="s">
        <v>1180</v>
      </c>
      <c r="G33" s="114" t="s">
        <v>68</v>
      </c>
      <c r="H33" s="114" t="s">
        <v>702</v>
      </c>
      <c r="I33" s="114"/>
      <c r="J33" s="100">
        <f>90/ATHENS!O1*ATHENS!O2</f>
        <v>163.63636363636363</v>
      </c>
      <c r="K33" s="100"/>
      <c r="L33" s="100"/>
      <c r="M33" s="126"/>
      <c r="N33" s="126"/>
    </row>
    <row r="34" spans="1:14" ht="13.5" thickBot="1" x14ac:dyDescent="0.25">
      <c r="A34" s="121"/>
      <c r="B34" s="460" t="s">
        <v>67</v>
      </c>
      <c r="C34" s="460"/>
      <c r="D34" s="460"/>
      <c r="E34" s="123"/>
      <c r="F34" s="123" t="s">
        <v>1181</v>
      </c>
      <c r="G34" s="123" t="s">
        <v>68</v>
      </c>
      <c r="H34" s="123" t="s">
        <v>702</v>
      </c>
      <c r="I34" s="123"/>
      <c r="J34" s="105">
        <f>55/ATHENS!O1*ATHENS!O2</f>
        <v>99.999999999999986</v>
      </c>
      <c r="K34" s="105"/>
      <c r="L34" s="105"/>
      <c r="M34" s="105"/>
      <c r="N34" s="105"/>
    </row>
    <row r="35" spans="1:14" ht="7.5" customHeight="1" thickBot="1" x14ac:dyDescent="0.25">
      <c r="A35" s="108"/>
      <c r="B35" s="138"/>
      <c r="C35" s="138"/>
      <c r="D35" s="138"/>
      <c r="E35" s="139"/>
      <c r="F35" s="139"/>
      <c r="G35" s="139"/>
      <c r="H35" s="139"/>
      <c r="I35" s="139"/>
      <c r="J35" s="139"/>
      <c r="K35" s="139"/>
      <c r="L35" s="139"/>
      <c r="M35" s="139"/>
      <c r="N35" s="139"/>
    </row>
    <row r="36" spans="1:14" ht="13.5" thickBot="1" x14ac:dyDescent="0.25">
      <c r="A36" s="112"/>
      <c r="B36" s="113"/>
      <c r="C36" s="113"/>
      <c r="D36" s="113"/>
      <c r="E36" s="114"/>
      <c r="F36" s="114"/>
      <c r="G36" s="114"/>
      <c r="H36" s="114"/>
      <c r="I36" s="114"/>
      <c r="J36" s="114"/>
      <c r="K36" s="114"/>
      <c r="L36" s="114"/>
      <c r="M36" s="114"/>
      <c r="N36" s="115"/>
    </row>
    <row r="37" spans="1:14" ht="15.75" thickBot="1" x14ac:dyDescent="0.25">
      <c r="A37" s="116"/>
      <c r="B37" s="484" t="s">
        <v>634</v>
      </c>
      <c r="C37" s="485"/>
      <c r="D37" s="485"/>
      <c r="E37" s="485"/>
      <c r="F37" s="485"/>
      <c r="G37" s="485"/>
      <c r="H37" s="485"/>
      <c r="I37" s="485"/>
      <c r="J37" s="485"/>
      <c r="K37" s="485"/>
      <c r="L37" s="485"/>
      <c r="M37" s="486"/>
      <c r="N37" s="117" t="s">
        <v>91</v>
      </c>
    </row>
    <row r="38" spans="1:14" x14ac:dyDescent="0.2">
      <c r="A38" s="116"/>
      <c r="B38" s="118" t="s">
        <v>428</v>
      </c>
      <c r="C38" s="119" t="s">
        <v>1288</v>
      </c>
      <c r="D38" s="119"/>
      <c r="E38" s="120"/>
      <c r="F38" s="120"/>
      <c r="G38" s="120"/>
      <c r="H38" s="120"/>
      <c r="I38" s="120"/>
      <c r="J38" s="120"/>
      <c r="K38" s="120"/>
      <c r="L38" s="120"/>
      <c r="M38" s="120"/>
      <c r="N38" s="101"/>
    </row>
    <row r="39" spans="1:14" x14ac:dyDescent="0.2">
      <c r="A39" s="116"/>
      <c r="B39" s="118" t="s">
        <v>429</v>
      </c>
      <c r="C39" s="119" t="s">
        <v>712</v>
      </c>
      <c r="D39" s="119"/>
      <c r="E39" s="120"/>
      <c r="F39" s="120"/>
      <c r="G39" s="120"/>
      <c r="H39" s="120"/>
      <c r="I39" s="120"/>
      <c r="J39" s="120"/>
      <c r="K39" s="120"/>
      <c r="L39" s="120"/>
      <c r="M39" s="120"/>
      <c r="N39" s="101"/>
    </row>
    <row r="40" spans="1:14" x14ac:dyDescent="0.2">
      <c r="A40" s="116"/>
      <c r="B40" s="118" t="s">
        <v>427</v>
      </c>
      <c r="C40" s="465" t="s">
        <v>1289</v>
      </c>
      <c r="D40" s="465"/>
      <c r="E40" s="465"/>
      <c r="F40" s="465"/>
      <c r="G40" s="465"/>
      <c r="H40" s="465"/>
      <c r="I40" s="465"/>
      <c r="J40" s="465"/>
      <c r="K40" s="465"/>
      <c r="L40" s="465"/>
      <c r="M40" s="465"/>
      <c r="N40" s="466"/>
    </row>
    <row r="41" spans="1:14" x14ac:dyDescent="0.2">
      <c r="A41" s="116"/>
      <c r="B41" s="118"/>
      <c r="C41" s="465"/>
      <c r="D41" s="465"/>
      <c r="E41" s="465"/>
      <c r="F41" s="465"/>
      <c r="G41" s="465"/>
      <c r="H41" s="465"/>
      <c r="I41" s="465"/>
      <c r="J41" s="465"/>
      <c r="K41" s="465"/>
      <c r="L41" s="465"/>
      <c r="M41" s="465"/>
      <c r="N41" s="466"/>
    </row>
    <row r="42" spans="1:14" x14ac:dyDescent="0.2">
      <c r="A42" s="116"/>
      <c r="B42" s="118"/>
      <c r="C42" s="465"/>
      <c r="D42" s="465"/>
      <c r="E42" s="465"/>
      <c r="F42" s="465"/>
      <c r="G42" s="465"/>
      <c r="H42" s="465"/>
      <c r="I42" s="465"/>
      <c r="J42" s="465"/>
      <c r="K42" s="465"/>
      <c r="L42" s="465"/>
      <c r="M42" s="465"/>
      <c r="N42" s="466"/>
    </row>
    <row r="43" spans="1:14" ht="13.5" thickBot="1" x14ac:dyDescent="0.25">
      <c r="A43" s="116"/>
      <c r="B43" s="122"/>
      <c r="C43" s="501"/>
      <c r="D43" s="501"/>
      <c r="E43" s="501"/>
      <c r="F43" s="501"/>
      <c r="G43" s="501"/>
      <c r="H43" s="501"/>
      <c r="I43" s="501"/>
      <c r="J43" s="501"/>
      <c r="K43" s="501"/>
      <c r="L43" s="501"/>
      <c r="M43" s="501"/>
      <c r="N43" s="502"/>
    </row>
    <row r="44" spans="1:14" x14ac:dyDescent="0.2">
      <c r="A44" s="112"/>
      <c r="B44" s="119" t="s">
        <v>263</v>
      </c>
      <c r="C44" s="225"/>
      <c r="D44" s="225"/>
      <c r="E44" s="225"/>
      <c r="F44" s="225"/>
      <c r="G44" s="225"/>
      <c r="H44" s="225"/>
      <c r="I44" s="242"/>
      <c r="J44" s="243" t="s">
        <v>94</v>
      </c>
      <c r="K44" s="243"/>
      <c r="L44" s="244"/>
      <c r="M44" s="244"/>
      <c r="N44" s="226"/>
    </row>
    <row r="45" spans="1:14" x14ac:dyDescent="0.2">
      <c r="A45" s="116"/>
      <c r="B45" s="119" t="s">
        <v>263</v>
      </c>
      <c r="C45" s="225"/>
      <c r="D45" s="225"/>
      <c r="E45" s="225"/>
      <c r="F45" s="225"/>
      <c r="G45" s="225"/>
      <c r="H45" s="225"/>
      <c r="I45" s="226"/>
      <c r="J45" s="240" t="s">
        <v>1991</v>
      </c>
      <c r="K45" s="240" t="s">
        <v>1993</v>
      </c>
      <c r="L45" s="245"/>
      <c r="M45" s="245"/>
      <c r="N45" s="226"/>
    </row>
    <row r="46" spans="1:14" x14ac:dyDescent="0.2">
      <c r="A46" s="116"/>
      <c r="B46" s="119" t="s">
        <v>263</v>
      </c>
      <c r="C46" s="225"/>
      <c r="D46" s="225"/>
      <c r="E46" s="225"/>
      <c r="F46" s="225"/>
      <c r="G46" s="225"/>
      <c r="H46" s="225"/>
      <c r="I46" s="226"/>
      <c r="J46" s="240" t="s">
        <v>1990</v>
      </c>
      <c r="K46" s="240" t="s">
        <v>1994</v>
      </c>
      <c r="L46" s="245"/>
      <c r="M46" s="245"/>
      <c r="N46" s="245"/>
    </row>
    <row r="47" spans="1:14" ht="13.5" thickBot="1" x14ac:dyDescent="0.25">
      <c r="A47" s="121"/>
      <c r="B47" s="122" t="s">
        <v>263</v>
      </c>
      <c r="C47" s="122"/>
      <c r="D47" s="122"/>
      <c r="E47" s="123"/>
      <c r="F47" s="123"/>
      <c r="G47" s="123"/>
      <c r="H47" s="123"/>
      <c r="I47" s="123"/>
      <c r="J47" s="125" t="s">
        <v>1992</v>
      </c>
      <c r="K47" s="105" t="s">
        <v>1995</v>
      </c>
      <c r="L47" s="105"/>
      <c r="M47" s="105"/>
      <c r="N47" s="105"/>
    </row>
    <row r="48" spans="1:14" ht="13.5" thickBot="1" x14ac:dyDescent="0.25">
      <c r="A48" s="116"/>
      <c r="B48" s="119"/>
      <c r="C48" s="119"/>
      <c r="D48" s="119"/>
      <c r="E48" s="120"/>
      <c r="F48" s="120"/>
      <c r="G48" s="120"/>
      <c r="H48" s="120"/>
      <c r="I48" s="120"/>
      <c r="J48" s="124"/>
      <c r="K48" s="100"/>
      <c r="L48" s="100"/>
      <c r="M48" s="100"/>
      <c r="N48" s="100"/>
    </row>
    <row r="49" spans="1:14" x14ac:dyDescent="0.2">
      <c r="A49" s="112"/>
      <c r="B49" s="467" t="s">
        <v>67</v>
      </c>
      <c r="C49" s="467"/>
      <c r="D49" s="467"/>
      <c r="E49" s="114"/>
      <c r="F49" s="114" t="s">
        <v>1180</v>
      </c>
      <c r="G49" s="114" t="s">
        <v>68</v>
      </c>
      <c r="H49" s="114" t="s">
        <v>702</v>
      </c>
      <c r="I49" s="114"/>
      <c r="J49" s="100">
        <f>80/ATHENS!O1*ATHENS!O2</f>
        <v>145.45454545454544</v>
      </c>
      <c r="K49" s="100">
        <f>90/ATHENS!O1*ATHENS!O2</f>
        <v>163.63636363636363</v>
      </c>
      <c r="L49" s="100"/>
      <c r="M49" s="126"/>
      <c r="N49" s="126"/>
    </row>
    <row r="50" spans="1:14" x14ac:dyDescent="0.2">
      <c r="A50" s="116"/>
      <c r="B50" s="461" t="s">
        <v>67</v>
      </c>
      <c r="C50" s="461"/>
      <c r="D50" s="461"/>
      <c r="E50" s="120"/>
      <c r="F50" s="120" t="s">
        <v>1181</v>
      </c>
      <c r="G50" s="120" t="s">
        <v>68</v>
      </c>
      <c r="H50" s="120" t="s">
        <v>702</v>
      </c>
      <c r="I50" s="120"/>
      <c r="J50" s="100">
        <f>45/ATHENS!O1*ATHENS!O2</f>
        <v>81.818181818181813</v>
      </c>
      <c r="K50" s="100">
        <f>50/ATHENS!O1*ATHENS!O2</f>
        <v>90.909090909090907</v>
      </c>
      <c r="L50" s="100"/>
      <c r="M50" s="100"/>
      <c r="N50" s="100"/>
    </row>
    <row r="51" spans="1:14" ht="13.5" thickBot="1" x14ac:dyDescent="0.25">
      <c r="A51" s="121"/>
      <c r="B51" s="460" t="s">
        <v>67</v>
      </c>
      <c r="C51" s="460"/>
      <c r="D51" s="460"/>
      <c r="E51" s="123"/>
      <c r="F51" s="123" t="s">
        <v>1182</v>
      </c>
      <c r="G51" s="123" t="s">
        <v>68</v>
      </c>
      <c r="H51" s="123" t="s">
        <v>702</v>
      </c>
      <c r="I51" s="123"/>
      <c r="J51" s="105">
        <f>36.6/ATHENS!O1*ATHENS!O2</f>
        <v>66.545454545454547</v>
      </c>
      <c r="K51" s="105">
        <f>40/ATHENS!O1*ATHENS!O2</f>
        <v>72.72727272727272</v>
      </c>
      <c r="L51" s="105"/>
      <c r="M51" s="105"/>
      <c r="N51" s="105"/>
    </row>
    <row r="52" spans="1:14" x14ac:dyDescent="0.2">
      <c r="A52" s="239"/>
      <c r="B52" s="119"/>
      <c r="C52" s="119"/>
      <c r="D52" s="119"/>
      <c r="E52" s="120"/>
      <c r="F52" s="120"/>
      <c r="G52" s="120"/>
      <c r="H52" s="120"/>
      <c r="I52" s="120"/>
      <c r="J52" s="120"/>
      <c r="K52" s="120"/>
      <c r="L52" s="120"/>
      <c r="M52" s="120"/>
      <c r="N52" s="120"/>
    </row>
    <row r="53" spans="1:14" x14ac:dyDescent="0.2">
      <c r="A53" s="239"/>
      <c r="B53" s="119"/>
      <c r="C53" s="119"/>
      <c r="D53" s="119"/>
      <c r="E53" s="120"/>
      <c r="F53" s="120"/>
      <c r="G53" s="120"/>
      <c r="H53" s="120"/>
      <c r="I53" s="120"/>
      <c r="J53" s="120"/>
      <c r="K53" s="120"/>
      <c r="L53" s="120"/>
      <c r="M53" s="120"/>
      <c r="N53" s="120"/>
    </row>
    <row r="54" spans="1:14" x14ac:dyDescent="0.2">
      <c r="A54" s="239"/>
      <c r="B54" s="119"/>
      <c r="C54" s="119"/>
      <c r="D54" s="119"/>
      <c r="E54" s="120"/>
      <c r="F54" s="120"/>
      <c r="G54" s="120"/>
      <c r="H54" s="120"/>
      <c r="I54" s="120"/>
      <c r="J54" s="120"/>
      <c r="K54" s="120"/>
      <c r="L54" s="120"/>
      <c r="M54" s="120"/>
      <c r="N54" s="120"/>
    </row>
    <row r="55" spans="1:14" x14ac:dyDescent="0.2">
      <c r="A55" s="239"/>
      <c r="B55" s="119"/>
      <c r="C55" s="119"/>
      <c r="D55" s="119"/>
      <c r="E55" s="120"/>
      <c r="F55" s="120"/>
      <c r="G55" s="120"/>
      <c r="H55" s="120"/>
      <c r="I55" s="120"/>
      <c r="J55" s="120"/>
      <c r="K55" s="120"/>
      <c r="L55" s="120"/>
      <c r="M55" s="120"/>
      <c r="N55" s="120"/>
    </row>
    <row r="56" spans="1:14" x14ac:dyDescent="0.2">
      <c r="A56" s="239"/>
      <c r="B56" s="119"/>
      <c r="C56" s="119"/>
      <c r="D56" s="119"/>
      <c r="E56" s="120"/>
      <c r="F56" s="120"/>
      <c r="G56" s="120"/>
      <c r="H56" s="120"/>
      <c r="I56" s="120"/>
      <c r="J56" s="120"/>
      <c r="K56" s="120"/>
      <c r="L56" s="120"/>
      <c r="M56" s="120"/>
      <c r="N56" s="120"/>
    </row>
    <row r="57" spans="1:14" x14ac:dyDescent="0.2">
      <c r="A57" s="239"/>
      <c r="B57" s="119"/>
      <c r="C57" s="119"/>
      <c r="D57" s="119"/>
      <c r="E57" s="120"/>
      <c r="F57" s="120"/>
      <c r="G57" s="120"/>
      <c r="H57" s="120"/>
      <c r="I57" s="120"/>
      <c r="J57" s="120"/>
      <c r="K57" s="120"/>
      <c r="L57" s="120"/>
      <c r="M57" s="120"/>
      <c r="N57" s="120"/>
    </row>
    <row r="58" spans="1:14" x14ac:dyDescent="0.2">
      <c r="A58" s="239"/>
      <c r="B58" s="119"/>
      <c r="C58" s="119"/>
      <c r="D58" s="119"/>
      <c r="E58" s="120"/>
      <c r="F58" s="120"/>
      <c r="G58" s="120"/>
      <c r="H58" s="120"/>
      <c r="I58" s="120"/>
      <c r="J58" s="120"/>
      <c r="K58" s="120"/>
      <c r="L58" s="120"/>
      <c r="M58" s="120"/>
      <c r="N58" s="120"/>
    </row>
    <row r="59" spans="1:14" x14ac:dyDescent="0.2">
      <c r="A59" s="239"/>
      <c r="B59" s="119"/>
      <c r="C59" s="119"/>
      <c r="D59" s="119"/>
      <c r="E59" s="120"/>
      <c r="F59" s="120"/>
      <c r="G59" s="120"/>
      <c r="H59" s="120"/>
      <c r="I59" s="120"/>
      <c r="J59" s="120"/>
      <c r="K59" s="120"/>
      <c r="L59" s="120"/>
      <c r="M59" s="120"/>
      <c r="N59" s="120"/>
    </row>
    <row r="60" spans="1:14" ht="13.5" thickBot="1" x14ac:dyDescent="0.25">
      <c r="A60" s="239"/>
      <c r="B60" s="119"/>
      <c r="C60" s="119"/>
      <c r="D60" s="119"/>
      <c r="E60" s="120"/>
      <c r="F60" s="120"/>
      <c r="G60" s="120"/>
      <c r="H60" s="120"/>
      <c r="I60" s="120"/>
      <c r="J60" s="120"/>
      <c r="K60" s="120"/>
      <c r="L60" s="120"/>
      <c r="M60" s="120"/>
      <c r="N60" s="120"/>
    </row>
    <row r="61" spans="1:14" ht="13.5" thickBot="1" x14ac:dyDescent="0.25">
      <c r="A61" s="112"/>
      <c r="B61" s="113"/>
      <c r="C61" s="113"/>
      <c r="D61" s="113"/>
      <c r="E61" s="114"/>
      <c r="F61" s="114"/>
      <c r="G61" s="114"/>
      <c r="H61" s="114"/>
      <c r="I61" s="114"/>
      <c r="J61" s="114"/>
      <c r="K61" s="114"/>
      <c r="L61" s="114"/>
      <c r="M61" s="114"/>
      <c r="N61" s="115"/>
    </row>
    <row r="62" spans="1:14" ht="15.75" thickBot="1" x14ac:dyDescent="0.25">
      <c r="A62" s="116"/>
      <c r="B62" s="484" t="s">
        <v>635</v>
      </c>
      <c r="C62" s="485"/>
      <c r="D62" s="485"/>
      <c r="E62" s="485"/>
      <c r="F62" s="485"/>
      <c r="G62" s="485"/>
      <c r="H62" s="485"/>
      <c r="I62" s="485"/>
      <c r="J62" s="485"/>
      <c r="K62" s="485"/>
      <c r="L62" s="485"/>
      <c r="M62" s="486"/>
      <c r="N62" s="117" t="s">
        <v>91</v>
      </c>
    </row>
    <row r="63" spans="1:14" x14ac:dyDescent="0.2">
      <c r="A63" s="116"/>
      <c r="B63" s="118" t="s">
        <v>428</v>
      </c>
      <c r="C63" s="119" t="s">
        <v>1290</v>
      </c>
      <c r="D63" s="119"/>
      <c r="E63" s="120"/>
      <c r="F63" s="120"/>
      <c r="G63" s="120"/>
      <c r="H63" s="120"/>
      <c r="I63" s="120"/>
      <c r="J63" s="120"/>
      <c r="K63" s="120"/>
      <c r="L63" s="120"/>
      <c r="M63" s="120"/>
      <c r="N63" s="101"/>
    </row>
    <row r="64" spans="1:14" x14ac:dyDescent="0.2">
      <c r="A64" s="116"/>
      <c r="B64" s="118" t="s">
        <v>429</v>
      </c>
      <c r="C64" s="119" t="s">
        <v>713</v>
      </c>
      <c r="D64" s="119"/>
      <c r="E64" s="120"/>
      <c r="F64" s="120"/>
      <c r="G64" s="120"/>
      <c r="H64" s="120"/>
      <c r="I64" s="120"/>
      <c r="J64" s="120"/>
      <c r="K64" s="120"/>
      <c r="L64" s="120"/>
      <c r="M64" s="120"/>
      <c r="N64" s="101"/>
    </row>
    <row r="65" spans="1:14" x14ac:dyDescent="0.2">
      <c r="A65" s="116"/>
      <c r="B65" s="118" t="s">
        <v>427</v>
      </c>
      <c r="C65" s="465" t="s">
        <v>1291</v>
      </c>
      <c r="D65" s="465"/>
      <c r="E65" s="465"/>
      <c r="F65" s="465"/>
      <c r="G65" s="465"/>
      <c r="H65" s="465"/>
      <c r="I65" s="465"/>
      <c r="J65" s="465"/>
      <c r="K65" s="465"/>
      <c r="L65" s="465"/>
      <c r="M65" s="465"/>
      <c r="N65" s="466"/>
    </row>
    <row r="66" spans="1:14" x14ac:dyDescent="0.2">
      <c r="A66" s="116"/>
      <c r="B66" s="118"/>
      <c r="C66" s="465"/>
      <c r="D66" s="465"/>
      <c r="E66" s="465"/>
      <c r="F66" s="465"/>
      <c r="G66" s="465"/>
      <c r="H66" s="465"/>
      <c r="I66" s="465"/>
      <c r="J66" s="465"/>
      <c r="K66" s="465"/>
      <c r="L66" s="465"/>
      <c r="M66" s="465"/>
      <c r="N66" s="466"/>
    </row>
    <row r="67" spans="1:14" ht="13.5" thickBot="1" x14ac:dyDescent="0.25">
      <c r="A67" s="116"/>
      <c r="B67" s="109"/>
      <c r="C67" s="465"/>
      <c r="D67" s="465"/>
      <c r="E67" s="465"/>
      <c r="F67" s="465"/>
      <c r="G67" s="465"/>
      <c r="H67" s="465"/>
      <c r="I67" s="465"/>
      <c r="J67" s="465"/>
      <c r="K67" s="465"/>
      <c r="L67" s="465"/>
      <c r="M67" s="465"/>
      <c r="N67" s="466"/>
    </row>
    <row r="68" spans="1:14" ht="13.5" thickBot="1" x14ac:dyDescent="0.25">
      <c r="A68" s="134"/>
      <c r="B68" s="135" t="s">
        <v>263</v>
      </c>
      <c r="C68" s="135"/>
      <c r="D68" s="135"/>
      <c r="E68" s="136"/>
      <c r="F68" s="136"/>
      <c r="G68" s="136"/>
      <c r="H68" s="136"/>
      <c r="I68" s="137"/>
      <c r="J68" s="156" t="s">
        <v>229</v>
      </c>
      <c r="K68" s="157"/>
      <c r="L68" s="157"/>
      <c r="M68" s="157"/>
      <c r="N68" s="157"/>
    </row>
    <row r="69" spans="1:14" x14ac:dyDescent="0.2">
      <c r="A69" s="112"/>
      <c r="B69" s="467" t="s">
        <v>67</v>
      </c>
      <c r="C69" s="467"/>
      <c r="D69" s="467"/>
      <c r="E69" s="114"/>
      <c r="F69" s="114" t="s">
        <v>1180</v>
      </c>
      <c r="G69" s="114" t="s">
        <v>68</v>
      </c>
      <c r="H69" s="114" t="s">
        <v>702</v>
      </c>
      <c r="I69" s="114"/>
      <c r="J69" s="100">
        <f>81/ATHENS!O1*ATHENS!O2</f>
        <v>147.27272727272725</v>
      </c>
      <c r="K69" s="100"/>
      <c r="L69" s="100"/>
      <c r="M69" s="126"/>
      <c r="N69" s="126"/>
    </row>
    <row r="70" spans="1:14" ht="13.5" thickBot="1" x14ac:dyDescent="0.25">
      <c r="A70" s="116"/>
      <c r="B70" s="460" t="s">
        <v>67</v>
      </c>
      <c r="C70" s="460"/>
      <c r="D70" s="460"/>
      <c r="E70" s="123"/>
      <c r="F70" s="123" t="s">
        <v>1181</v>
      </c>
      <c r="G70" s="123" t="s">
        <v>68</v>
      </c>
      <c r="H70" s="123" t="s">
        <v>702</v>
      </c>
      <c r="I70" s="120"/>
      <c r="J70" s="100">
        <f>48.5/ATHENS!O1*ATHENS!O2</f>
        <v>88.181818181818173</v>
      </c>
      <c r="K70" s="100"/>
      <c r="L70" s="100"/>
      <c r="M70" s="100"/>
      <c r="N70" s="100"/>
    </row>
    <row r="71" spans="1:14" ht="13.5" thickBot="1" x14ac:dyDescent="0.25">
      <c r="A71" s="121"/>
      <c r="B71" s="460" t="s">
        <v>67</v>
      </c>
      <c r="C71" s="460"/>
      <c r="D71" s="460"/>
      <c r="E71" s="123"/>
      <c r="F71" s="123" t="s">
        <v>1182</v>
      </c>
      <c r="G71" s="123" t="s">
        <v>68</v>
      </c>
      <c r="H71" s="123" t="s">
        <v>702</v>
      </c>
      <c r="I71" s="123"/>
      <c r="J71" s="105">
        <f>39.5/ATHENS!O1*ATHENS!O2</f>
        <v>71.818181818181813</v>
      </c>
      <c r="K71" s="105"/>
      <c r="L71" s="105"/>
      <c r="M71" s="105"/>
      <c r="N71" s="105"/>
    </row>
    <row r="72" spans="1:14" x14ac:dyDescent="0.2">
      <c r="A72" s="239"/>
      <c r="B72" s="119" t="s">
        <v>1306</v>
      </c>
      <c r="C72" s="119"/>
      <c r="D72" s="119"/>
      <c r="E72" s="120"/>
      <c r="F72" s="120"/>
      <c r="G72" s="120"/>
      <c r="H72" s="120"/>
      <c r="I72" s="120"/>
      <c r="J72" s="120"/>
      <c r="K72" s="120"/>
      <c r="L72" s="120"/>
      <c r="M72" s="120"/>
      <c r="N72" s="120"/>
    </row>
    <row r="73" spans="1:14" ht="13.5" thickBot="1" x14ac:dyDescent="0.25">
      <c r="A73" s="108"/>
      <c r="B73" s="138"/>
      <c r="C73" s="138"/>
      <c r="D73" s="138"/>
      <c r="E73" s="139"/>
      <c r="F73" s="139"/>
      <c r="G73" s="139"/>
      <c r="H73" s="139"/>
      <c r="I73" s="139"/>
      <c r="J73" s="139"/>
      <c r="K73" s="139"/>
      <c r="L73" s="139"/>
      <c r="M73" s="139"/>
      <c r="N73" s="139"/>
    </row>
    <row r="74" spans="1:14" ht="13.5" thickBot="1" x14ac:dyDescent="0.25">
      <c r="A74" s="112"/>
      <c r="B74" s="113"/>
      <c r="C74" s="113"/>
      <c r="D74" s="113"/>
      <c r="E74" s="114"/>
      <c r="F74" s="114"/>
      <c r="G74" s="114"/>
      <c r="H74" s="114"/>
      <c r="I74" s="114"/>
      <c r="J74" s="114"/>
      <c r="K74" s="114"/>
      <c r="L74" s="114"/>
      <c r="M74" s="114"/>
      <c r="N74" s="115"/>
    </row>
    <row r="75" spans="1:14" ht="15.75" thickBot="1" x14ac:dyDescent="0.25">
      <c r="A75" s="116"/>
      <c r="B75" s="484" t="s">
        <v>636</v>
      </c>
      <c r="C75" s="485"/>
      <c r="D75" s="485"/>
      <c r="E75" s="485"/>
      <c r="F75" s="485"/>
      <c r="G75" s="485"/>
      <c r="H75" s="485"/>
      <c r="I75" s="485"/>
      <c r="J75" s="485"/>
      <c r="K75" s="485"/>
      <c r="L75" s="485"/>
      <c r="M75" s="486"/>
      <c r="N75" s="117" t="s">
        <v>91</v>
      </c>
    </row>
    <row r="76" spans="1:14" x14ac:dyDescent="0.2">
      <c r="A76" s="116"/>
      <c r="B76" s="118" t="s">
        <v>428</v>
      </c>
      <c r="C76" s="119" t="s">
        <v>155</v>
      </c>
      <c r="D76" s="119"/>
      <c r="E76" s="120"/>
      <c r="F76" s="120"/>
      <c r="G76" s="120"/>
      <c r="H76" s="120"/>
      <c r="I76" s="120"/>
      <c r="J76" s="120"/>
      <c r="K76" s="120"/>
      <c r="L76" s="120"/>
      <c r="M76" s="120"/>
      <c r="N76" s="101"/>
    </row>
    <row r="77" spans="1:14" x14ac:dyDescent="0.2">
      <c r="A77" s="116"/>
      <c r="B77" s="118" t="s">
        <v>429</v>
      </c>
      <c r="C77" s="119" t="s">
        <v>714</v>
      </c>
      <c r="D77" s="119"/>
      <c r="E77" s="120"/>
      <c r="F77" s="120"/>
      <c r="G77" s="120"/>
      <c r="H77" s="120"/>
      <c r="I77" s="120"/>
      <c r="J77" s="120"/>
      <c r="K77" s="120"/>
      <c r="L77" s="120"/>
      <c r="M77" s="120"/>
      <c r="N77" s="101"/>
    </row>
    <row r="78" spans="1:14" x14ac:dyDescent="0.2">
      <c r="A78" s="116"/>
      <c r="B78" s="118" t="s">
        <v>427</v>
      </c>
      <c r="C78" s="465" t="s">
        <v>149</v>
      </c>
      <c r="D78" s="465"/>
      <c r="E78" s="465"/>
      <c r="F78" s="465"/>
      <c r="G78" s="465"/>
      <c r="H78" s="465"/>
      <c r="I78" s="465"/>
      <c r="J78" s="465"/>
      <c r="K78" s="465"/>
      <c r="L78" s="465"/>
      <c r="M78" s="465"/>
      <c r="N78" s="466"/>
    </row>
    <row r="79" spans="1:14" x14ac:dyDescent="0.2">
      <c r="A79" s="116"/>
      <c r="B79" s="118"/>
      <c r="C79" s="465"/>
      <c r="D79" s="465"/>
      <c r="E79" s="465"/>
      <c r="F79" s="465"/>
      <c r="G79" s="465"/>
      <c r="H79" s="465"/>
      <c r="I79" s="465"/>
      <c r="J79" s="465"/>
      <c r="K79" s="465"/>
      <c r="L79" s="465"/>
      <c r="M79" s="465"/>
      <c r="N79" s="466"/>
    </row>
    <row r="80" spans="1:14" x14ac:dyDescent="0.2">
      <c r="A80" s="116"/>
      <c r="B80" s="118"/>
      <c r="C80" s="465"/>
      <c r="D80" s="465"/>
      <c r="E80" s="465"/>
      <c r="F80" s="465"/>
      <c r="G80" s="465"/>
      <c r="H80" s="465"/>
      <c r="I80" s="465"/>
      <c r="J80" s="465"/>
      <c r="K80" s="465"/>
      <c r="L80" s="465"/>
      <c r="M80" s="465"/>
      <c r="N80" s="466"/>
    </row>
    <row r="81" spans="1:14" ht="13.5" thickBot="1" x14ac:dyDescent="0.25">
      <c r="A81" s="116"/>
      <c r="B81" s="109"/>
      <c r="C81" s="465"/>
      <c r="D81" s="465"/>
      <c r="E81" s="465"/>
      <c r="F81" s="465"/>
      <c r="G81" s="465"/>
      <c r="H81" s="465"/>
      <c r="I81" s="465"/>
      <c r="J81" s="465"/>
      <c r="K81" s="465"/>
      <c r="L81" s="465"/>
      <c r="M81" s="465"/>
      <c r="N81" s="466"/>
    </row>
    <row r="82" spans="1:14" ht="13.5" thickBot="1" x14ac:dyDescent="0.25">
      <c r="A82" s="134"/>
      <c r="B82" s="135" t="s">
        <v>263</v>
      </c>
      <c r="C82" s="135"/>
      <c r="D82" s="135"/>
      <c r="E82" s="136"/>
      <c r="F82" s="136"/>
      <c r="G82" s="136"/>
      <c r="H82" s="136"/>
      <c r="I82" s="136"/>
      <c r="J82" s="156" t="s">
        <v>1989</v>
      </c>
      <c r="K82" s="157"/>
      <c r="L82" s="157"/>
      <c r="M82" s="157"/>
      <c r="N82" s="157"/>
    </row>
    <row r="83" spans="1:14" x14ac:dyDescent="0.2">
      <c r="A83" s="112"/>
      <c r="B83" s="467" t="s">
        <v>67</v>
      </c>
      <c r="C83" s="467"/>
      <c r="D83" s="467"/>
      <c r="E83" s="114"/>
      <c r="F83" s="114" t="s">
        <v>1180</v>
      </c>
      <c r="G83" s="114" t="s">
        <v>68</v>
      </c>
      <c r="H83" s="114" t="s">
        <v>702</v>
      </c>
      <c r="I83" s="114"/>
      <c r="J83" s="100">
        <f>110/ATHENS!O1*ATHENS!O2</f>
        <v>199.99999999999997</v>
      </c>
      <c r="K83" s="100"/>
      <c r="L83" s="100"/>
      <c r="M83" s="126"/>
      <c r="N83" s="126"/>
    </row>
    <row r="84" spans="1:14" x14ac:dyDescent="0.2">
      <c r="A84" s="116"/>
      <c r="B84" s="461" t="s">
        <v>67</v>
      </c>
      <c r="C84" s="461"/>
      <c r="D84" s="461"/>
      <c r="E84" s="120"/>
      <c r="F84" s="120" t="s">
        <v>1181</v>
      </c>
      <c r="G84" s="120" t="s">
        <v>68</v>
      </c>
      <c r="H84" s="120" t="s">
        <v>702</v>
      </c>
      <c r="I84" s="120"/>
      <c r="J84" s="100">
        <f>60/ATHENS!O1*ATHENS!O2</f>
        <v>109.09090909090908</v>
      </c>
      <c r="K84" s="100"/>
      <c r="L84" s="100"/>
      <c r="M84" s="100"/>
      <c r="N84" s="100"/>
    </row>
    <row r="85" spans="1:14" ht="13.5" thickBot="1" x14ac:dyDescent="0.25">
      <c r="A85" s="121"/>
      <c r="B85" s="460" t="s">
        <v>67</v>
      </c>
      <c r="C85" s="460"/>
      <c r="D85" s="460"/>
      <c r="E85" s="123"/>
      <c r="F85" s="123" t="s">
        <v>1182</v>
      </c>
      <c r="G85" s="123" t="s">
        <v>68</v>
      </c>
      <c r="H85" s="123" t="s">
        <v>702</v>
      </c>
      <c r="I85" s="123"/>
      <c r="J85" s="105">
        <f>43.5/ATHENS!O1*ATHENS!O2</f>
        <v>79.090909090909079</v>
      </c>
      <c r="K85" s="105"/>
      <c r="L85" s="105"/>
      <c r="M85" s="105"/>
      <c r="N85" s="105"/>
    </row>
    <row r="86" spans="1:14" ht="13.5" thickBot="1" x14ac:dyDescent="0.25">
      <c r="A86" s="108"/>
      <c r="B86" s="138"/>
      <c r="C86" s="138"/>
      <c r="D86" s="138"/>
      <c r="E86" s="139"/>
      <c r="F86" s="139"/>
      <c r="G86" s="139"/>
      <c r="H86" s="139"/>
      <c r="I86" s="139"/>
      <c r="J86" s="139"/>
      <c r="K86" s="139"/>
      <c r="L86" s="139"/>
      <c r="M86" s="139"/>
      <c r="N86" s="139"/>
    </row>
    <row r="87" spans="1:14" ht="13.5" thickBot="1" x14ac:dyDescent="0.25">
      <c r="A87" s="112"/>
      <c r="B87" s="113"/>
      <c r="C87" s="113"/>
      <c r="D87" s="113"/>
      <c r="E87" s="114"/>
      <c r="F87" s="114"/>
      <c r="G87" s="114"/>
      <c r="H87" s="114"/>
      <c r="I87" s="114"/>
      <c r="J87" s="114"/>
      <c r="K87" s="114"/>
      <c r="L87" s="114"/>
      <c r="M87" s="114"/>
      <c r="N87" s="115"/>
    </row>
    <row r="88" spans="1:14" ht="15.75" thickBot="1" x14ac:dyDescent="0.25">
      <c r="A88" s="116"/>
      <c r="B88" s="484" t="s">
        <v>637</v>
      </c>
      <c r="C88" s="485"/>
      <c r="D88" s="485"/>
      <c r="E88" s="485"/>
      <c r="F88" s="485"/>
      <c r="G88" s="485"/>
      <c r="H88" s="485"/>
      <c r="I88" s="485"/>
      <c r="J88" s="485"/>
      <c r="K88" s="485"/>
      <c r="L88" s="485"/>
      <c r="M88" s="486"/>
      <c r="N88" s="117" t="s">
        <v>96</v>
      </c>
    </row>
    <row r="89" spans="1:14" x14ac:dyDescent="0.2">
      <c r="A89" s="116"/>
      <c r="B89" s="118" t="s">
        <v>428</v>
      </c>
      <c r="C89" s="119" t="s">
        <v>1451</v>
      </c>
      <c r="D89" s="119"/>
      <c r="E89" s="120"/>
      <c r="F89" s="120"/>
      <c r="G89" s="120"/>
      <c r="H89" s="120"/>
      <c r="I89" s="120"/>
      <c r="J89" s="120"/>
      <c r="K89" s="120"/>
      <c r="L89" s="120"/>
      <c r="M89" s="120"/>
      <c r="N89" s="101"/>
    </row>
    <row r="90" spans="1:14" x14ac:dyDescent="0.2">
      <c r="A90" s="116"/>
      <c r="B90" s="118" t="s">
        <v>429</v>
      </c>
      <c r="C90" s="119" t="s">
        <v>715</v>
      </c>
      <c r="D90" s="119"/>
      <c r="E90" s="120"/>
      <c r="F90" s="120"/>
      <c r="G90" s="120"/>
      <c r="H90" s="120"/>
      <c r="I90" s="120"/>
      <c r="J90" s="120"/>
      <c r="K90" s="120"/>
      <c r="L90" s="120"/>
      <c r="M90" s="120"/>
      <c r="N90" s="101"/>
    </row>
    <row r="91" spans="1:14" x14ac:dyDescent="0.2">
      <c r="A91" s="116"/>
      <c r="B91" s="118" t="s">
        <v>427</v>
      </c>
      <c r="C91" s="465" t="s">
        <v>1452</v>
      </c>
      <c r="D91" s="465"/>
      <c r="E91" s="465"/>
      <c r="F91" s="465"/>
      <c r="G91" s="465"/>
      <c r="H91" s="465"/>
      <c r="I91" s="465"/>
      <c r="J91" s="465"/>
      <c r="K91" s="465"/>
      <c r="L91" s="465"/>
      <c r="M91" s="465"/>
      <c r="N91" s="466"/>
    </row>
    <row r="92" spans="1:14" x14ac:dyDescent="0.2">
      <c r="A92" s="116"/>
      <c r="B92" s="118"/>
      <c r="C92" s="465"/>
      <c r="D92" s="465"/>
      <c r="E92" s="465"/>
      <c r="F92" s="465"/>
      <c r="G92" s="465"/>
      <c r="H92" s="465"/>
      <c r="I92" s="465"/>
      <c r="J92" s="465"/>
      <c r="K92" s="465"/>
      <c r="L92" s="465"/>
      <c r="M92" s="465"/>
      <c r="N92" s="466"/>
    </row>
    <row r="93" spans="1:14" x14ac:dyDescent="0.2">
      <c r="A93" s="116"/>
      <c r="B93" s="109"/>
      <c r="C93" s="465"/>
      <c r="D93" s="465"/>
      <c r="E93" s="465"/>
      <c r="F93" s="465"/>
      <c r="G93" s="465"/>
      <c r="H93" s="465"/>
      <c r="I93" s="465"/>
      <c r="J93" s="465"/>
      <c r="K93" s="465"/>
      <c r="L93" s="465"/>
      <c r="M93" s="465"/>
      <c r="N93" s="466"/>
    </row>
    <row r="94" spans="1:14" x14ac:dyDescent="0.2">
      <c r="A94" s="116"/>
      <c r="B94" s="118" t="s">
        <v>426</v>
      </c>
      <c r="C94" s="119"/>
      <c r="D94" s="119"/>
      <c r="E94" s="120"/>
      <c r="F94" s="120"/>
      <c r="G94" s="120"/>
      <c r="H94" s="120"/>
      <c r="I94" s="120"/>
      <c r="J94" s="120"/>
      <c r="K94" s="120"/>
      <c r="L94" s="120"/>
      <c r="M94" s="120"/>
      <c r="N94" s="101"/>
    </row>
    <row r="95" spans="1:14" ht="13.5" thickBot="1" x14ac:dyDescent="0.25">
      <c r="A95" s="121"/>
      <c r="B95" s="118" t="s">
        <v>430</v>
      </c>
      <c r="C95" s="122"/>
      <c r="D95" s="122"/>
      <c r="E95" s="123"/>
      <c r="F95" s="123"/>
      <c r="G95" s="123"/>
      <c r="H95" s="123"/>
      <c r="I95" s="123"/>
      <c r="J95" s="123"/>
      <c r="K95" s="123"/>
      <c r="L95" s="123"/>
      <c r="M95" s="123"/>
      <c r="N95" s="104"/>
    </row>
    <row r="96" spans="1:14" ht="13.5" thickBot="1" x14ac:dyDescent="0.25">
      <c r="A96" s="121"/>
      <c r="B96" s="135" t="s">
        <v>263</v>
      </c>
      <c r="C96" s="122"/>
      <c r="D96" s="122"/>
      <c r="E96" s="123"/>
      <c r="F96" s="123"/>
      <c r="G96" s="123"/>
      <c r="H96" s="123"/>
      <c r="I96" s="123"/>
      <c r="J96" s="125" t="s">
        <v>1177</v>
      </c>
      <c r="K96" s="105"/>
      <c r="L96" s="105"/>
      <c r="M96" s="105"/>
      <c r="N96" s="105"/>
    </row>
    <row r="97" spans="1:14" x14ac:dyDescent="0.2">
      <c r="A97" s="112"/>
      <c r="B97" s="467" t="s">
        <v>67</v>
      </c>
      <c r="C97" s="467"/>
      <c r="D97" s="467"/>
      <c r="E97" s="114"/>
      <c r="F97" s="114" t="s">
        <v>1180</v>
      </c>
      <c r="G97" s="114" t="s">
        <v>68</v>
      </c>
      <c r="H97" s="114" t="s">
        <v>702</v>
      </c>
      <c r="I97" s="114"/>
      <c r="J97" s="100">
        <f>84/ATHENS!O1*ATHENS!O2</f>
        <v>152.72727272727272</v>
      </c>
      <c r="K97" s="100"/>
      <c r="L97" s="100"/>
      <c r="M97" s="126"/>
      <c r="N97" s="126"/>
    </row>
    <row r="98" spans="1:14" x14ac:dyDescent="0.2">
      <c r="A98" s="116"/>
      <c r="B98" s="461" t="s">
        <v>67</v>
      </c>
      <c r="C98" s="461"/>
      <c r="D98" s="461"/>
      <c r="E98" s="120"/>
      <c r="F98" s="120" t="s">
        <v>1181</v>
      </c>
      <c r="G98" s="120" t="s">
        <v>68</v>
      </c>
      <c r="H98" s="120" t="s">
        <v>702</v>
      </c>
      <c r="I98" s="120"/>
      <c r="J98" s="100">
        <f>46.5/ATHENS!O1*ATHENS!O2</f>
        <v>84.545454545454533</v>
      </c>
      <c r="K98" s="100"/>
      <c r="L98" s="100"/>
      <c r="M98" s="100"/>
      <c r="N98" s="100"/>
    </row>
    <row r="99" spans="1:14" ht="13.5" thickBot="1" x14ac:dyDescent="0.25">
      <c r="A99" s="121"/>
      <c r="B99" s="460" t="s">
        <v>67</v>
      </c>
      <c r="C99" s="460"/>
      <c r="D99" s="460"/>
      <c r="E99" s="123"/>
      <c r="F99" s="123" t="s">
        <v>1182</v>
      </c>
      <c r="G99" s="123" t="s">
        <v>68</v>
      </c>
      <c r="H99" s="123" t="s">
        <v>702</v>
      </c>
      <c r="I99" s="123"/>
      <c r="J99" s="105">
        <f>36.8/ATHENS!O1*ATHENS!O2</f>
        <v>66.909090909090892</v>
      </c>
      <c r="K99" s="105"/>
      <c r="L99" s="105"/>
      <c r="M99" s="105"/>
      <c r="N99" s="105"/>
    </row>
    <row r="100" spans="1:14" ht="13.5" thickBot="1" x14ac:dyDescent="0.25">
      <c r="A100" s="108"/>
      <c r="B100" s="138"/>
      <c r="C100" s="138"/>
      <c r="D100" s="138"/>
      <c r="E100" s="139"/>
      <c r="F100" s="139"/>
      <c r="G100" s="139"/>
      <c r="H100" s="139"/>
      <c r="I100" s="139"/>
      <c r="J100" s="139"/>
      <c r="K100" s="139"/>
      <c r="L100" s="139"/>
      <c r="M100" s="139"/>
      <c r="N100" s="139"/>
    </row>
    <row r="101" spans="1:14" ht="13.5" thickBot="1" x14ac:dyDescent="0.25">
      <c r="A101" s="112"/>
      <c r="B101" s="113"/>
      <c r="C101" s="113"/>
      <c r="D101" s="113"/>
      <c r="E101" s="114"/>
      <c r="F101" s="114"/>
      <c r="G101" s="114"/>
      <c r="H101" s="114"/>
      <c r="I101" s="114"/>
      <c r="J101" s="114"/>
      <c r="K101" s="114"/>
      <c r="L101" s="114"/>
      <c r="M101" s="114"/>
      <c r="N101" s="115"/>
    </row>
    <row r="102" spans="1:14" ht="15.75" thickBot="1" x14ac:dyDescent="0.25">
      <c r="A102" s="116"/>
      <c r="B102" s="484" t="s">
        <v>638</v>
      </c>
      <c r="C102" s="485"/>
      <c r="D102" s="485"/>
      <c r="E102" s="485"/>
      <c r="F102" s="485"/>
      <c r="G102" s="485"/>
      <c r="H102" s="485"/>
      <c r="I102" s="485"/>
      <c r="J102" s="485"/>
      <c r="K102" s="485"/>
      <c r="L102" s="485"/>
      <c r="M102" s="486"/>
      <c r="N102" s="117" t="s">
        <v>96</v>
      </c>
    </row>
    <row r="103" spans="1:14" x14ac:dyDescent="0.2">
      <c r="A103" s="116"/>
      <c r="B103" s="118" t="s">
        <v>428</v>
      </c>
      <c r="C103" s="119" t="s">
        <v>1453</v>
      </c>
      <c r="D103" s="119"/>
      <c r="E103" s="120"/>
      <c r="F103" s="120"/>
      <c r="G103" s="120"/>
      <c r="H103" s="120"/>
      <c r="I103" s="120"/>
      <c r="J103" s="120"/>
      <c r="K103" s="120"/>
      <c r="L103" s="120"/>
      <c r="M103" s="120"/>
      <c r="N103" s="101"/>
    </row>
    <row r="104" spans="1:14" x14ac:dyDescent="0.2">
      <c r="A104" s="116"/>
      <c r="B104" s="118" t="s">
        <v>429</v>
      </c>
      <c r="C104" s="119" t="s">
        <v>716</v>
      </c>
      <c r="D104" s="119"/>
      <c r="E104" s="120"/>
      <c r="F104" s="120"/>
      <c r="G104" s="120"/>
      <c r="H104" s="120"/>
      <c r="I104" s="120"/>
      <c r="J104" s="120"/>
      <c r="K104" s="120"/>
      <c r="L104" s="120"/>
      <c r="M104" s="120"/>
      <c r="N104" s="101"/>
    </row>
    <row r="105" spans="1:14" x14ac:dyDescent="0.2">
      <c r="A105" s="116"/>
      <c r="B105" s="118" t="s">
        <v>427</v>
      </c>
      <c r="C105" s="465" t="s">
        <v>552</v>
      </c>
      <c r="D105" s="465"/>
      <c r="E105" s="465"/>
      <c r="F105" s="465"/>
      <c r="G105" s="465"/>
      <c r="H105" s="465"/>
      <c r="I105" s="465"/>
      <c r="J105" s="465"/>
      <c r="K105" s="465"/>
      <c r="L105" s="465"/>
      <c r="M105" s="465"/>
      <c r="N105" s="466"/>
    </row>
    <row r="106" spans="1:14" ht="13.5" thickBot="1" x14ac:dyDescent="0.25">
      <c r="A106" s="116"/>
      <c r="B106" s="109"/>
      <c r="C106" s="465"/>
      <c r="D106" s="465"/>
      <c r="E106" s="465"/>
      <c r="F106" s="465"/>
      <c r="G106" s="465"/>
      <c r="H106" s="465"/>
      <c r="I106" s="465"/>
      <c r="J106" s="465"/>
      <c r="K106" s="465"/>
      <c r="L106" s="465"/>
      <c r="M106" s="465"/>
      <c r="N106" s="466"/>
    </row>
    <row r="107" spans="1:14" ht="13.5" thickBot="1" x14ac:dyDescent="0.25">
      <c r="A107" s="134"/>
      <c r="B107" s="135" t="s">
        <v>263</v>
      </c>
      <c r="C107" s="135"/>
      <c r="D107" s="135"/>
      <c r="E107" s="136"/>
      <c r="F107" s="136"/>
      <c r="G107" s="136"/>
      <c r="H107" s="136"/>
      <c r="I107" s="136"/>
      <c r="J107" s="156" t="s">
        <v>229</v>
      </c>
      <c r="K107" s="157"/>
      <c r="L107" s="157"/>
      <c r="M107" s="157"/>
      <c r="N107" s="157"/>
    </row>
    <row r="108" spans="1:14" x14ac:dyDescent="0.2">
      <c r="A108" s="112"/>
      <c r="B108" s="467" t="s">
        <v>67</v>
      </c>
      <c r="C108" s="467"/>
      <c r="D108" s="467"/>
      <c r="E108" s="114"/>
      <c r="F108" s="114" t="s">
        <v>1180</v>
      </c>
      <c r="G108" s="114" t="s">
        <v>68</v>
      </c>
      <c r="H108" s="114" t="s">
        <v>702</v>
      </c>
      <c r="I108" s="114"/>
      <c r="J108" s="100">
        <f>70/ATHENS!O1*ATHENS!O2</f>
        <v>127.27272727272727</v>
      </c>
      <c r="K108" s="100"/>
      <c r="L108" s="100"/>
      <c r="M108" s="126"/>
      <c r="N108" s="126"/>
    </row>
    <row r="109" spans="1:14" x14ac:dyDescent="0.2">
      <c r="A109" s="116"/>
      <c r="B109" s="461" t="s">
        <v>67</v>
      </c>
      <c r="C109" s="461"/>
      <c r="D109" s="461"/>
      <c r="E109" s="120"/>
      <c r="F109" s="120" t="s">
        <v>1181</v>
      </c>
      <c r="G109" s="120" t="s">
        <v>68</v>
      </c>
      <c r="H109" s="120" t="s">
        <v>702</v>
      </c>
      <c r="I109" s="120"/>
      <c r="J109" s="100">
        <f>40/ATHENS!O1*ATHENS!O2</f>
        <v>72.72727272727272</v>
      </c>
      <c r="K109" s="100"/>
      <c r="L109" s="100"/>
      <c r="M109" s="100"/>
      <c r="N109" s="100"/>
    </row>
    <row r="110" spans="1:14" ht="13.5" thickBot="1" x14ac:dyDescent="0.25">
      <c r="A110" s="121"/>
      <c r="B110" s="460" t="s">
        <v>67</v>
      </c>
      <c r="C110" s="460"/>
      <c r="D110" s="460"/>
      <c r="E110" s="123"/>
      <c r="F110" s="123" t="s">
        <v>1182</v>
      </c>
      <c r="G110" s="123" t="s">
        <v>68</v>
      </c>
      <c r="H110" s="123" t="s">
        <v>702</v>
      </c>
      <c r="I110" s="123"/>
      <c r="J110" s="105">
        <f>30/ATHENS!O1*ATHENS!O2</f>
        <v>54.54545454545454</v>
      </c>
      <c r="K110" s="105"/>
      <c r="L110" s="105"/>
      <c r="M110" s="105"/>
      <c r="N110" s="105"/>
    </row>
    <row r="111" spans="1:14" x14ac:dyDescent="0.2">
      <c r="A111" s="239"/>
      <c r="B111" s="119"/>
      <c r="C111" s="119"/>
      <c r="D111" s="119"/>
      <c r="E111" s="120"/>
      <c r="F111" s="120"/>
      <c r="G111" s="120"/>
      <c r="H111" s="120"/>
      <c r="I111" s="120"/>
      <c r="J111" s="120"/>
      <c r="K111" s="120"/>
      <c r="L111" s="120"/>
      <c r="M111" s="120"/>
      <c r="N111" s="120"/>
    </row>
    <row r="112" spans="1:14" x14ac:dyDescent="0.2">
      <c r="A112" s="239"/>
      <c r="B112" s="119"/>
      <c r="C112" s="119"/>
      <c r="D112" s="119"/>
      <c r="E112" s="120"/>
      <c r="F112" s="120"/>
      <c r="G112" s="120"/>
      <c r="H112" s="120"/>
      <c r="I112" s="120"/>
      <c r="J112" s="120"/>
      <c r="K112" s="120"/>
      <c r="L112" s="120"/>
      <c r="M112" s="120"/>
      <c r="N112" s="120"/>
    </row>
    <row r="113" spans="1:14" x14ac:dyDescent="0.2">
      <c r="A113" s="239"/>
      <c r="B113" s="119"/>
      <c r="C113" s="119"/>
      <c r="D113" s="119"/>
      <c r="E113" s="120"/>
      <c r="F113" s="120"/>
      <c r="G113" s="120"/>
      <c r="H113" s="120"/>
      <c r="I113" s="120"/>
      <c r="J113" s="120"/>
      <c r="K113" s="120"/>
      <c r="L113" s="120"/>
      <c r="M113" s="120"/>
      <c r="N113" s="120"/>
    </row>
    <row r="114" spans="1:14" x14ac:dyDescent="0.2">
      <c r="A114" s="239"/>
      <c r="B114" s="119"/>
      <c r="C114" s="119"/>
      <c r="D114" s="119"/>
      <c r="E114" s="120"/>
      <c r="F114" s="120"/>
      <c r="G114" s="120"/>
      <c r="H114" s="120"/>
      <c r="I114" s="120"/>
      <c r="J114" s="120"/>
      <c r="K114" s="120"/>
      <c r="L114" s="120"/>
      <c r="M114" s="120"/>
      <c r="N114" s="120"/>
    </row>
    <row r="115" spans="1:14" ht="13.5" thickBot="1" x14ac:dyDescent="0.25">
      <c r="A115" s="108"/>
      <c r="B115" s="138"/>
      <c r="C115" s="138"/>
      <c r="D115" s="138"/>
      <c r="E115" s="139"/>
      <c r="F115" s="139"/>
      <c r="G115" s="139"/>
      <c r="H115" s="139"/>
      <c r="I115" s="139"/>
      <c r="J115" s="139"/>
      <c r="K115" s="139"/>
      <c r="L115" s="139"/>
      <c r="M115" s="139"/>
      <c r="N115" s="139"/>
    </row>
    <row r="116" spans="1:14" ht="13.5" thickBot="1" x14ac:dyDescent="0.25">
      <c r="A116" s="112"/>
      <c r="B116" s="113"/>
      <c r="C116" s="113"/>
      <c r="D116" s="113"/>
      <c r="E116" s="114"/>
      <c r="F116" s="114"/>
      <c r="G116" s="114"/>
      <c r="H116" s="114"/>
      <c r="I116" s="114"/>
      <c r="J116" s="114"/>
      <c r="K116" s="114"/>
      <c r="L116" s="114"/>
      <c r="M116" s="114"/>
      <c r="N116" s="115"/>
    </row>
    <row r="117" spans="1:14" ht="15.75" thickBot="1" x14ac:dyDescent="0.25">
      <c r="A117" s="116"/>
      <c r="B117" s="484" t="s">
        <v>553</v>
      </c>
      <c r="C117" s="485"/>
      <c r="D117" s="485"/>
      <c r="E117" s="485"/>
      <c r="F117" s="485"/>
      <c r="G117" s="485"/>
      <c r="H117" s="485"/>
      <c r="I117" s="485"/>
      <c r="J117" s="485"/>
      <c r="K117" s="485"/>
      <c r="L117" s="485"/>
      <c r="M117" s="486"/>
      <c r="N117" s="117" t="s">
        <v>96</v>
      </c>
    </row>
    <row r="118" spans="1:14" x14ac:dyDescent="0.2">
      <c r="A118" s="116"/>
      <c r="B118" s="118" t="s">
        <v>428</v>
      </c>
      <c r="C118" s="119" t="s">
        <v>554</v>
      </c>
      <c r="D118" s="119"/>
      <c r="E118" s="120"/>
      <c r="F118" s="120"/>
      <c r="G118" s="120"/>
      <c r="H118" s="120"/>
      <c r="I118" s="120"/>
      <c r="J118" s="120"/>
      <c r="K118" s="120"/>
      <c r="L118" s="120"/>
      <c r="M118" s="120"/>
      <c r="N118" s="101"/>
    </row>
    <row r="119" spans="1:14" x14ac:dyDescent="0.2">
      <c r="A119" s="116"/>
      <c r="B119" s="118" t="s">
        <v>429</v>
      </c>
      <c r="C119" s="119" t="s">
        <v>717</v>
      </c>
      <c r="D119" s="119"/>
      <c r="E119" s="120"/>
      <c r="F119" s="120"/>
      <c r="G119" s="120"/>
      <c r="H119" s="120"/>
      <c r="I119" s="120"/>
      <c r="J119" s="120"/>
      <c r="K119" s="120"/>
      <c r="L119" s="120"/>
      <c r="M119" s="120"/>
      <c r="N119" s="101"/>
    </row>
    <row r="120" spans="1:14" x14ac:dyDescent="0.2">
      <c r="A120" s="116"/>
      <c r="B120" s="118" t="s">
        <v>427</v>
      </c>
      <c r="C120" s="465" t="s">
        <v>555</v>
      </c>
      <c r="D120" s="465"/>
      <c r="E120" s="465"/>
      <c r="F120" s="465"/>
      <c r="G120" s="465"/>
      <c r="H120" s="465"/>
      <c r="I120" s="465"/>
      <c r="J120" s="465"/>
      <c r="K120" s="465"/>
      <c r="L120" s="465"/>
      <c r="M120" s="465"/>
      <c r="N120" s="466"/>
    </row>
    <row r="121" spans="1:14" x14ac:dyDescent="0.2">
      <c r="A121" s="116"/>
      <c r="B121" s="118"/>
      <c r="C121" s="465"/>
      <c r="D121" s="465"/>
      <c r="E121" s="465"/>
      <c r="F121" s="465"/>
      <c r="G121" s="465"/>
      <c r="H121" s="465"/>
      <c r="I121" s="465"/>
      <c r="J121" s="465"/>
      <c r="K121" s="465"/>
      <c r="L121" s="465"/>
      <c r="M121" s="465"/>
      <c r="N121" s="466"/>
    </row>
    <row r="122" spans="1:14" x14ac:dyDescent="0.2">
      <c r="A122" s="116"/>
      <c r="B122" s="109"/>
      <c r="C122" s="465"/>
      <c r="D122" s="465"/>
      <c r="E122" s="465"/>
      <c r="F122" s="465"/>
      <c r="G122" s="465"/>
      <c r="H122" s="465"/>
      <c r="I122" s="465"/>
      <c r="J122" s="465"/>
      <c r="K122" s="465"/>
      <c r="L122" s="465"/>
      <c r="M122" s="465"/>
      <c r="N122" s="466"/>
    </row>
    <row r="123" spans="1:14" x14ac:dyDescent="0.2">
      <c r="A123" s="116"/>
      <c r="B123" s="118" t="s">
        <v>426</v>
      </c>
      <c r="C123" s="119"/>
      <c r="D123" s="119"/>
      <c r="E123" s="120"/>
      <c r="F123" s="120"/>
      <c r="G123" s="120"/>
      <c r="H123" s="120"/>
      <c r="I123" s="120"/>
      <c r="J123" s="120"/>
      <c r="K123" s="120"/>
      <c r="L123" s="120"/>
      <c r="M123" s="120"/>
      <c r="N123" s="101"/>
    </row>
    <row r="124" spans="1:14" ht="13.5" thickBot="1" x14ac:dyDescent="0.25">
      <c r="A124" s="121"/>
      <c r="B124" s="118" t="s">
        <v>430</v>
      </c>
      <c r="C124" s="122"/>
      <c r="D124" s="122"/>
      <c r="E124" s="123"/>
      <c r="F124" s="123"/>
      <c r="G124" s="123"/>
      <c r="H124" s="123"/>
      <c r="I124" s="123"/>
      <c r="J124" s="123"/>
      <c r="K124" s="123"/>
      <c r="L124" s="123"/>
      <c r="M124" s="123"/>
      <c r="N124" s="104"/>
    </row>
    <row r="125" spans="1:14" ht="13.5" thickBot="1" x14ac:dyDescent="0.25">
      <c r="A125" s="121"/>
      <c r="B125" s="135" t="s">
        <v>263</v>
      </c>
      <c r="C125" s="122"/>
      <c r="D125" s="122"/>
      <c r="E125" s="123"/>
      <c r="F125" s="123"/>
      <c r="G125" s="123"/>
      <c r="H125" s="123"/>
      <c r="I125" s="123"/>
      <c r="J125" s="125" t="s">
        <v>1177</v>
      </c>
      <c r="K125" s="105"/>
      <c r="L125" s="105"/>
      <c r="M125" s="105"/>
      <c r="N125" s="105"/>
    </row>
    <row r="126" spans="1:14" x14ac:dyDescent="0.2">
      <c r="A126" s="112"/>
      <c r="B126" s="467" t="s">
        <v>67</v>
      </c>
      <c r="C126" s="467"/>
      <c r="D126" s="467"/>
      <c r="E126" s="114"/>
      <c r="F126" s="114" t="s">
        <v>1180</v>
      </c>
      <c r="G126" s="114" t="s">
        <v>68</v>
      </c>
      <c r="H126" s="114" t="s">
        <v>702</v>
      </c>
      <c r="I126" s="114"/>
      <c r="J126" s="100">
        <f>95/ATHENS!O1*ATHENS!O2</f>
        <v>172.72727272727272</v>
      </c>
      <c r="K126" s="100"/>
      <c r="L126" s="100"/>
      <c r="M126" s="126"/>
      <c r="N126" s="126"/>
    </row>
    <row r="127" spans="1:14" x14ac:dyDescent="0.2">
      <c r="A127" s="116"/>
      <c r="B127" s="461" t="s">
        <v>67</v>
      </c>
      <c r="C127" s="461"/>
      <c r="D127" s="461"/>
      <c r="E127" s="120"/>
      <c r="F127" s="120" t="s">
        <v>1181</v>
      </c>
      <c r="G127" s="120" t="s">
        <v>68</v>
      </c>
      <c r="H127" s="120" t="s">
        <v>702</v>
      </c>
      <c r="I127" s="120"/>
      <c r="J127" s="100">
        <f>52.5/ATHENS!O1*ATHENS!O2</f>
        <v>95.454545454545453</v>
      </c>
      <c r="K127" s="100"/>
      <c r="L127" s="100"/>
      <c r="M127" s="100"/>
      <c r="N127" s="100"/>
    </row>
    <row r="128" spans="1:14" ht="13.5" thickBot="1" x14ac:dyDescent="0.25">
      <c r="A128" s="121"/>
      <c r="B128" s="460"/>
      <c r="C128" s="460"/>
      <c r="D128" s="460"/>
      <c r="E128" s="123"/>
      <c r="F128" s="123"/>
      <c r="G128" s="123"/>
      <c r="H128" s="123"/>
      <c r="I128" s="123"/>
      <c r="J128" s="105"/>
      <c r="K128" s="105"/>
      <c r="L128" s="105"/>
      <c r="M128" s="105"/>
      <c r="N128" s="105"/>
    </row>
    <row r="129" spans="1:14" ht="13.5" thickBot="1" x14ac:dyDescent="0.25">
      <c r="A129" s="108"/>
      <c r="B129" s="138"/>
      <c r="C129" s="138"/>
      <c r="D129" s="138"/>
      <c r="E129" s="139"/>
      <c r="F129" s="139"/>
      <c r="G129" s="139"/>
      <c r="H129" s="139"/>
      <c r="I129" s="139"/>
      <c r="J129" s="139"/>
      <c r="K129" s="139"/>
      <c r="L129" s="139"/>
      <c r="M129" s="139"/>
      <c r="N129" s="139"/>
    </row>
    <row r="130" spans="1:14" ht="13.5" thickBot="1" x14ac:dyDescent="0.25">
      <c r="A130" s="112"/>
      <c r="B130" s="113"/>
      <c r="C130" s="113"/>
      <c r="D130" s="113"/>
      <c r="E130" s="114"/>
      <c r="F130" s="114"/>
      <c r="G130" s="114"/>
      <c r="H130" s="114"/>
      <c r="I130" s="114"/>
      <c r="J130" s="114"/>
      <c r="K130" s="114"/>
      <c r="L130" s="114"/>
      <c r="M130" s="114"/>
      <c r="N130" s="115"/>
    </row>
    <row r="131" spans="1:14" ht="15.75" thickBot="1" x14ac:dyDescent="0.25">
      <c r="A131" s="116"/>
      <c r="B131" s="484" t="s">
        <v>639</v>
      </c>
      <c r="C131" s="485"/>
      <c r="D131" s="485"/>
      <c r="E131" s="485"/>
      <c r="F131" s="485"/>
      <c r="G131" s="485"/>
      <c r="H131" s="485"/>
      <c r="I131" s="485"/>
      <c r="J131" s="485"/>
      <c r="K131" s="485"/>
      <c r="L131" s="485"/>
      <c r="M131" s="486"/>
      <c r="N131" s="117" t="s">
        <v>96</v>
      </c>
    </row>
    <row r="132" spans="1:14" x14ac:dyDescent="0.2">
      <c r="A132" s="116"/>
      <c r="B132" s="118" t="s">
        <v>428</v>
      </c>
      <c r="C132" s="119" t="s">
        <v>80</v>
      </c>
      <c r="D132" s="119"/>
      <c r="E132" s="120"/>
      <c r="F132" s="120"/>
      <c r="G132" s="120"/>
      <c r="H132" s="120"/>
      <c r="I132" s="120"/>
      <c r="J132" s="120"/>
      <c r="K132" s="120"/>
      <c r="L132" s="120"/>
      <c r="M132" s="120"/>
      <c r="N132" s="101"/>
    </row>
    <row r="133" spans="1:14" x14ac:dyDescent="0.2">
      <c r="A133" s="116"/>
      <c r="B133" s="118" t="s">
        <v>429</v>
      </c>
      <c r="C133" s="119" t="s">
        <v>718</v>
      </c>
      <c r="D133" s="119"/>
      <c r="E133" s="120"/>
      <c r="F133" s="120"/>
      <c r="G133" s="120"/>
      <c r="H133" s="120"/>
      <c r="I133" s="120"/>
      <c r="J133" s="120"/>
      <c r="K133" s="120"/>
      <c r="L133" s="120"/>
      <c r="M133" s="120"/>
      <c r="N133" s="101"/>
    </row>
    <row r="134" spans="1:14" x14ac:dyDescent="0.2">
      <c r="A134" s="116"/>
      <c r="B134" s="118" t="s">
        <v>427</v>
      </c>
      <c r="C134" s="465" t="s">
        <v>1367</v>
      </c>
      <c r="D134" s="465"/>
      <c r="E134" s="465"/>
      <c r="F134" s="465"/>
      <c r="G134" s="465"/>
      <c r="H134" s="465"/>
      <c r="I134" s="465"/>
      <c r="J134" s="465"/>
      <c r="K134" s="465"/>
      <c r="L134" s="465"/>
      <c r="M134" s="465"/>
      <c r="N134" s="466"/>
    </row>
    <row r="135" spans="1:14" x14ac:dyDescent="0.2">
      <c r="A135" s="116"/>
      <c r="B135" s="109"/>
      <c r="C135" s="465"/>
      <c r="D135" s="465"/>
      <c r="E135" s="465"/>
      <c r="F135" s="465"/>
      <c r="G135" s="465"/>
      <c r="H135" s="465"/>
      <c r="I135" s="465"/>
      <c r="J135" s="465"/>
      <c r="K135" s="465"/>
      <c r="L135" s="465"/>
      <c r="M135" s="465"/>
      <c r="N135" s="466"/>
    </row>
    <row r="136" spans="1:14" x14ac:dyDescent="0.2">
      <c r="A136" s="116"/>
      <c r="B136" s="118" t="s">
        <v>426</v>
      </c>
      <c r="C136" s="119"/>
      <c r="D136" s="119"/>
      <c r="E136" s="120"/>
      <c r="F136" s="120"/>
      <c r="G136" s="120"/>
      <c r="H136" s="120"/>
      <c r="I136" s="120"/>
      <c r="J136" s="120"/>
      <c r="K136" s="120"/>
      <c r="L136" s="120"/>
      <c r="M136" s="120"/>
      <c r="N136" s="101"/>
    </row>
    <row r="137" spans="1:14" ht="13.5" thickBot="1" x14ac:dyDescent="0.25">
      <c r="A137" s="121"/>
      <c r="B137" s="118" t="s">
        <v>430</v>
      </c>
      <c r="C137" s="122"/>
      <c r="D137" s="122"/>
      <c r="E137" s="123"/>
      <c r="F137" s="123"/>
      <c r="G137" s="123"/>
      <c r="H137" s="123"/>
      <c r="I137" s="123"/>
      <c r="J137" s="123"/>
      <c r="K137" s="123"/>
      <c r="L137" s="123"/>
      <c r="M137" s="123"/>
      <c r="N137" s="104"/>
    </row>
    <row r="138" spans="1:14" x14ac:dyDescent="0.2">
      <c r="A138" s="116"/>
      <c r="B138" s="113" t="s">
        <v>263</v>
      </c>
      <c r="C138" s="119"/>
      <c r="D138" s="119"/>
      <c r="E138" s="120"/>
      <c r="F138" s="120"/>
      <c r="G138" s="120"/>
      <c r="H138" s="120"/>
      <c r="I138" s="120"/>
      <c r="J138" s="124" t="s">
        <v>385</v>
      </c>
      <c r="K138" s="100"/>
      <c r="L138" s="100"/>
      <c r="M138" s="100"/>
      <c r="N138" s="100"/>
    </row>
    <row r="139" spans="1:14" ht="13.5" thickBot="1" x14ac:dyDescent="0.25">
      <c r="A139" s="121"/>
      <c r="B139" s="122"/>
      <c r="C139" s="122"/>
      <c r="D139" s="122"/>
      <c r="E139" s="123"/>
      <c r="F139" s="123"/>
      <c r="G139" s="123"/>
      <c r="H139" s="123"/>
      <c r="I139" s="123"/>
      <c r="J139" s="125" t="s">
        <v>1774</v>
      </c>
      <c r="K139" s="105" t="s">
        <v>1775</v>
      </c>
      <c r="L139" s="105"/>
      <c r="M139" s="105"/>
      <c r="N139" s="105"/>
    </row>
    <row r="140" spans="1:14" x14ac:dyDescent="0.2">
      <c r="A140" s="112"/>
      <c r="B140" s="467" t="s">
        <v>67</v>
      </c>
      <c r="C140" s="467"/>
      <c r="D140" s="467"/>
      <c r="E140" s="114"/>
      <c r="F140" s="114" t="s">
        <v>1180</v>
      </c>
      <c r="G140" s="114" t="s">
        <v>68</v>
      </c>
      <c r="H140" s="114" t="s">
        <v>702</v>
      </c>
      <c r="I140" s="114"/>
      <c r="J140" s="100">
        <f>52/ATHENS!O1*ATHENS!O2</f>
        <v>94.545454545454533</v>
      </c>
      <c r="K140" s="100">
        <f>50/ATHENS!O1*ATHENS!O2</f>
        <v>90.909090909090907</v>
      </c>
      <c r="L140" s="100"/>
      <c r="M140" s="126"/>
      <c r="N140" s="126"/>
    </row>
    <row r="141" spans="1:14" x14ac:dyDescent="0.2">
      <c r="A141" s="116"/>
      <c r="B141" s="461" t="s">
        <v>67</v>
      </c>
      <c r="C141" s="461"/>
      <c r="D141" s="461"/>
      <c r="E141" s="120"/>
      <c r="F141" s="120" t="s">
        <v>1181</v>
      </c>
      <c r="G141" s="120" t="s">
        <v>68</v>
      </c>
      <c r="H141" s="120" t="s">
        <v>702</v>
      </c>
      <c r="I141" s="120"/>
      <c r="J141" s="100">
        <f>28/ATHENS!O1*ATHENS!O2</f>
        <v>50.909090909090907</v>
      </c>
      <c r="K141" s="100">
        <f>27/ATHENS!O1*ATHENS!O2</f>
        <v>49.090909090909086</v>
      </c>
      <c r="L141" s="100"/>
      <c r="M141" s="100"/>
      <c r="N141" s="100"/>
    </row>
    <row r="142" spans="1:14" ht="13.5" thickBot="1" x14ac:dyDescent="0.25">
      <c r="A142" s="121"/>
      <c r="B142" s="460" t="s">
        <v>67</v>
      </c>
      <c r="C142" s="460"/>
      <c r="D142" s="460"/>
      <c r="E142" s="123"/>
      <c r="F142" s="123" t="s">
        <v>1182</v>
      </c>
      <c r="G142" s="123" t="s">
        <v>68</v>
      </c>
      <c r="H142" s="123" t="s">
        <v>702</v>
      </c>
      <c r="I142" s="123"/>
      <c r="J142" s="105">
        <f>21.6/ATHENS!O1*ATHENS!O2</f>
        <v>39.272727272727273</v>
      </c>
      <c r="K142" s="105">
        <f>20.6/ATHENS!O1*ATHENS!O2</f>
        <v>37.454545454545453</v>
      </c>
      <c r="L142" s="105"/>
      <c r="M142" s="105"/>
      <c r="N142" s="105"/>
    </row>
    <row r="143" spans="1:14" ht="13.5" thickBot="1" x14ac:dyDescent="0.25">
      <c r="A143" s="108"/>
      <c r="B143" s="138"/>
      <c r="C143" s="138"/>
      <c r="D143" s="138"/>
      <c r="E143" s="139"/>
      <c r="F143" s="139"/>
      <c r="G143" s="139"/>
      <c r="H143" s="139"/>
      <c r="I143" s="139"/>
      <c r="J143" s="139"/>
      <c r="K143" s="139"/>
      <c r="L143" s="139"/>
      <c r="M143" s="139"/>
      <c r="N143" s="139"/>
    </row>
    <row r="144" spans="1:14" ht="13.5" thickBot="1" x14ac:dyDescent="0.25">
      <c r="A144" s="112"/>
      <c r="B144" s="113"/>
      <c r="C144" s="113"/>
      <c r="D144" s="113"/>
      <c r="E144" s="114"/>
      <c r="F144" s="114"/>
      <c r="G144" s="114"/>
      <c r="H144" s="114"/>
      <c r="I144" s="114"/>
      <c r="J144" s="114"/>
      <c r="K144" s="114"/>
      <c r="L144" s="114"/>
      <c r="M144" s="114"/>
      <c r="N144" s="115"/>
    </row>
    <row r="145" spans="1:14" ht="15.75" thickBot="1" x14ac:dyDescent="0.25">
      <c r="A145" s="116"/>
      <c r="B145" s="484" t="s">
        <v>640</v>
      </c>
      <c r="C145" s="485"/>
      <c r="D145" s="485"/>
      <c r="E145" s="485"/>
      <c r="F145" s="485"/>
      <c r="G145" s="485"/>
      <c r="H145" s="485"/>
      <c r="I145" s="485"/>
      <c r="J145" s="485"/>
      <c r="K145" s="485"/>
      <c r="L145" s="485"/>
      <c r="M145" s="486"/>
      <c r="N145" s="117" t="s">
        <v>96</v>
      </c>
    </row>
    <row r="146" spans="1:14" x14ac:dyDescent="0.2">
      <c r="A146" s="116"/>
      <c r="B146" s="118" t="s">
        <v>428</v>
      </c>
      <c r="C146" s="119" t="s">
        <v>1368</v>
      </c>
      <c r="D146" s="119"/>
      <c r="E146" s="120"/>
      <c r="F146" s="120"/>
      <c r="G146" s="120"/>
      <c r="H146" s="120"/>
      <c r="I146" s="120"/>
      <c r="J146" s="120"/>
      <c r="K146" s="120"/>
      <c r="L146" s="120"/>
      <c r="M146" s="120"/>
      <c r="N146" s="101"/>
    </row>
    <row r="147" spans="1:14" x14ac:dyDescent="0.2">
      <c r="A147" s="116"/>
      <c r="B147" s="118" t="s">
        <v>429</v>
      </c>
      <c r="C147" s="119" t="s">
        <v>719</v>
      </c>
      <c r="D147" s="119"/>
      <c r="E147" s="120"/>
      <c r="F147" s="120"/>
      <c r="G147" s="120"/>
      <c r="H147" s="120"/>
      <c r="I147" s="120"/>
      <c r="J147" s="120"/>
      <c r="K147" s="120"/>
      <c r="L147" s="120"/>
      <c r="M147" s="120"/>
      <c r="N147" s="101"/>
    </row>
    <row r="148" spans="1:14" x14ac:dyDescent="0.2">
      <c r="A148" s="116"/>
      <c r="B148" s="118" t="s">
        <v>427</v>
      </c>
      <c r="C148" s="465" t="s">
        <v>1369</v>
      </c>
      <c r="D148" s="465"/>
      <c r="E148" s="465"/>
      <c r="F148" s="465"/>
      <c r="G148" s="465"/>
      <c r="H148" s="465"/>
      <c r="I148" s="465"/>
      <c r="J148" s="465"/>
      <c r="K148" s="465"/>
      <c r="L148" s="465"/>
      <c r="M148" s="465"/>
      <c r="N148" s="466"/>
    </row>
    <row r="149" spans="1:14" x14ac:dyDescent="0.2">
      <c r="A149" s="116"/>
      <c r="B149" s="118"/>
      <c r="C149" s="465"/>
      <c r="D149" s="465"/>
      <c r="E149" s="465"/>
      <c r="F149" s="465"/>
      <c r="G149" s="465"/>
      <c r="H149" s="465"/>
      <c r="I149" s="465"/>
      <c r="J149" s="465"/>
      <c r="K149" s="465"/>
      <c r="L149" s="465"/>
      <c r="M149" s="465"/>
      <c r="N149" s="466"/>
    </row>
    <row r="150" spans="1:14" ht="13.5" thickBot="1" x14ac:dyDescent="0.25">
      <c r="A150" s="116"/>
      <c r="B150" s="109"/>
      <c r="C150" s="465"/>
      <c r="D150" s="465"/>
      <c r="E150" s="465"/>
      <c r="F150" s="465"/>
      <c r="G150" s="465"/>
      <c r="H150" s="465"/>
      <c r="I150" s="465"/>
      <c r="J150" s="465"/>
      <c r="K150" s="465"/>
      <c r="L150" s="465"/>
      <c r="M150" s="465"/>
      <c r="N150" s="466"/>
    </row>
    <row r="151" spans="1:14" x14ac:dyDescent="0.2">
      <c r="A151" s="112"/>
      <c r="B151" s="113"/>
      <c r="C151" s="241"/>
      <c r="D151" s="241"/>
      <c r="E151" s="241"/>
      <c r="F151" s="241"/>
      <c r="G151" s="241"/>
      <c r="H151" s="241"/>
      <c r="I151" s="242"/>
      <c r="J151" s="243" t="s">
        <v>1443</v>
      </c>
      <c r="K151" s="244"/>
      <c r="L151" s="244"/>
      <c r="M151" s="244"/>
      <c r="N151" s="242"/>
    </row>
    <row r="152" spans="1:14" ht="13.5" thickBot="1" x14ac:dyDescent="0.25">
      <c r="A152" s="121"/>
      <c r="B152" s="122" t="s">
        <v>263</v>
      </c>
      <c r="C152" s="122"/>
      <c r="D152" s="122"/>
      <c r="E152" s="123"/>
      <c r="F152" s="123"/>
      <c r="G152" s="123"/>
      <c r="H152" s="123"/>
      <c r="I152" s="104"/>
      <c r="J152" s="123" t="s">
        <v>494</v>
      </c>
      <c r="K152" s="105" t="s">
        <v>514</v>
      </c>
      <c r="L152" s="105"/>
      <c r="M152" s="105"/>
      <c r="N152" s="104"/>
    </row>
    <row r="153" spans="1:14" x14ac:dyDescent="0.2">
      <c r="A153" s="112"/>
      <c r="B153" s="467" t="s">
        <v>67</v>
      </c>
      <c r="C153" s="467"/>
      <c r="D153" s="467"/>
      <c r="E153" s="114"/>
      <c r="F153" s="114" t="s">
        <v>1180</v>
      </c>
      <c r="G153" s="114" t="s">
        <v>68</v>
      </c>
      <c r="H153" s="114" t="s">
        <v>702</v>
      </c>
      <c r="I153" s="114"/>
      <c r="J153" s="100">
        <f>55/ATHENS!O1*ATHENS!O2</f>
        <v>99.999999999999986</v>
      </c>
      <c r="K153" s="100">
        <f>60/ATHENS!O1*ATHENS!O2</f>
        <v>109.09090909090908</v>
      </c>
      <c r="L153" s="100"/>
      <c r="M153" s="126"/>
      <c r="N153" s="115"/>
    </row>
    <row r="154" spans="1:14" x14ac:dyDescent="0.2">
      <c r="A154" s="116"/>
      <c r="B154" s="461" t="s">
        <v>67</v>
      </c>
      <c r="C154" s="461"/>
      <c r="D154" s="461"/>
      <c r="E154" s="120"/>
      <c r="F154" s="120" t="s">
        <v>1181</v>
      </c>
      <c r="G154" s="120" t="s">
        <v>68</v>
      </c>
      <c r="H154" s="120" t="s">
        <v>702</v>
      </c>
      <c r="I154" s="120"/>
      <c r="J154" s="100">
        <f>30/ATHENS!O1*ATHENS!O2</f>
        <v>54.54545454545454</v>
      </c>
      <c r="K154" s="100">
        <f>35/ATHENS!O1*ATHENS!O2</f>
        <v>63.636363636363633</v>
      </c>
      <c r="L154" s="100"/>
      <c r="M154" s="100"/>
      <c r="N154" s="100"/>
    </row>
    <row r="155" spans="1:14" ht="13.5" thickBot="1" x14ac:dyDescent="0.25">
      <c r="A155" s="121"/>
      <c r="B155" s="460" t="s">
        <v>67</v>
      </c>
      <c r="C155" s="460"/>
      <c r="D155" s="460"/>
      <c r="E155" s="123"/>
      <c r="F155" s="123" t="s">
        <v>1182</v>
      </c>
      <c r="G155" s="123" t="s">
        <v>68</v>
      </c>
      <c r="H155" s="123" t="s">
        <v>702</v>
      </c>
      <c r="I155" s="123"/>
      <c r="J155" s="105">
        <f>23.5/ATHENS!O1*ATHENS!O2</f>
        <v>42.727272727272727</v>
      </c>
      <c r="K155" s="105">
        <f>26.6/ATHENS!O1*ATHENS!O2</f>
        <v>48.36363636363636</v>
      </c>
      <c r="L155" s="105"/>
      <c r="M155" s="105"/>
      <c r="N155" s="105"/>
    </row>
    <row r="156" spans="1:14" ht="13.5" thickBot="1" x14ac:dyDescent="0.25">
      <c r="A156" s="108"/>
      <c r="B156" s="138"/>
      <c r="C156" s="138"/>
      <c r="D156" s="138"/>
      <c r="E156" s="139"/>
      <c r="F156" s="139"/>
      <c r="G156" s="139"/>
      <c r="H156" s="139"/>
      <c r="I156" s="139"/>
      <c r="J156" s="139"/>
      <c r="K156" s="139"/>
      <c r="L156" s="139"/>
      <c r="M156" s="139"/>
      <c r="N156" s="139"/>
    </row>
    <row r="157" spans="1:14" ht="13.5" thickBot="1" x14ac:dyDescent="0.25">
      <c r="A157" s="112"/>
      <c r="B157" s="113"/>
      <c r="C157" s="113"/>
      <c r="D157" s="113"/>
      <c r="E157" s="114"/>
      <c r="F157" s="114"/>
      <c r="G157" s="114"/>
      <c r="H157" s="114"/>
      <c r="I157" s="114"/>
      <c r="J157" s="114"/>
      <c r="K157" s="114"/>
      <c r="L157" s="114"/>
      <c r="M157" s="114"/>
      <c r="N157" s="115"/>
    </row>
    <row r="158" spans="1:14" ht="15.75" thickBot="1" x14ac:dyDescent="0.25">
      <c r="A158" s="116"/>
      <c r="B158" s="484" t="s">
        <v>1247</v>
      </c>
      <c r="C158" s="485"/>
      <c r="D158" s="485"/>
      <c r="E158" s="485"/>
      <c r="F158" s="485"/>
      <c r="G158" s="485"/>
      <c r="H158" s="485"/>
      <c r="I158" s="485"/>
      <c r="J158" s="485"/>
      <c r="K158" s="485"/>
      <c r="L158" s="485"/>
      <c r="M158" s="486"/>
      <c r="N158" s="117" t="s">
        <v>664</v>
      </c>
    </row>
    <row r="159" spans="1:14" x14ac:dyDescent="0.2">
      <c r="A159" s="116"/>
      <c r="B159" s="118" t="s">
        <v>428</v>
      </c>
      <c r="C159" s="119" t="s">
        <v>1370</v>
      </c>
      <c r="D159" s="119"/>
      <c r="E159" s="120"/>
      <c r="F159" s="120"/>
      <c r="G159" s="120"/>
      <c r="H159" s="120"/>
      <c r="I159" s="120"/>
      <c r="J159" s="120"/>
      <c r="K159" s="120"/>
      <c r="L159" s="120"/>
      <c r="M159" s="120"/>
      <c r="N159" s="101"/>
    </row>
    <row r="160" spans="1:14" x14ac:dyDescent="0.2">
      <c r="A160" s="116"/>
      <c r="B160" s="118" t="s">
        <v>429</v>
      </c>
      <c r="C160" s="119" t="s">
        <v>884</v>
      </c>
      <c r="D160" s="119"/>
      <c r="E160" s="120"/>
      <c r="F160" s="120"/>
      <c r="G160" s="120"/>
      <c r="H160" s="120"/>
      <c r="I160" s="120"/>
      <c r="J160" s="120"/>
      <c r="K160" s="120"/>
      <c r="L160" s="120"/>
      <c r="M160" s="120"/>
      <c r="N160" s="101"/>
    </row>
    <row r="161" spans="1:14" x14ac:dyDescent="0.2">
      <c r="A161" s="116"/>
      <c r="B161" s="118" t="s">
        <v>427</v>
      </c>
      <c r="C161" s="465" t="s">
        <v>1371</v>
      </c>
      <c r="D161" s="465"/>
      <c r="E161" s="465"/>
      <c r="F161" s="465"/>
      <c r="G161" s="465"/>
      <c r="H161" s="465"/>
      <c r="I161" s="465"/>
      <c r="J161" s="465"/>
      <c r="K161" s="465"/>
      <c r="L161" s="465"/>
      <c r="M161" s="465"/>
      <c r="N161" s="466"/>
    </row>
    <row r="162" spans="1:14" x14ac:dyDescent="0.2">
      <c r="A162" s="116"/>
      <c r="B162" s="118"/>
      <c r="C162" s="465"/>
      <c r="D162" s="465"/>
      <c r="E162" s="465"/>
      <c r="F162" s="465"/>
      <c r="G162" s="465"/>
      <c r="H162" s="465"/>
      <c r="I162" s="465"/>
      <c r="J162" s="465"/>
      <c r="K162" s="465"/>
      <c r="L162" s="465"/>
      <c r="M162" s="465"/>
      <c r="N162" s="466"/>
    </row>
    <row r="163" spans="1:14" ht="13.5" thickBot="1" x14ac:dyDescent="0.25">
      <c r="A163" s="116"/>
      <c r="B163" s="109"/>
      <c r="C163" s="465"/>
      <c r="D163" s="465"/>
      <c r="E163" s="465"/>
      <c r="F163" s="465"/>
      <c r="G163" s="465"/>
      <c r="H163" s="465"/>
      <c r="I163" s="465"/>
      <c r="J163" s="465"/>
      <c r="K163" s="465"/>
      <c r="L163" s="465"/>
      <c r="M163" s="465"/>
      <c r="N163" s="466"/>
    </row>
    <row r="164" spans="1:14" ht="13.5" thickBot="1" x14ac:dyDescent="0.25">
      <c r="A164" s="112"/>
      <c r="B164" s="113" t="s">
        <v>263</v>
      </c>
      <c r="C164" s="113"/>
      <c r="D164" s="113"/>
      <c r="E164" s="114"/>
      <c r="F164" s="114"/>
      <c r="G164" s="114"/>
      <c r="H164" s="114"/>
      <c r="I164" s="114"/>
      <c r="J164" s="319" t="s">
        <v>229</v>
      </c>
      <c r="K164" s="115"/>
      <c r="L164" s="126"/>
      <c r="M164" s="126"/>
      <c r="N164" s="126"/>
    </row>
    <row r="165" spans="1:14" x14ac:dyDescent="0.2">
      <c r="A165" s="112"/>
      <c r="B165" s="467" t="s">
        <v>67</v>
      </c>
      <c r="C165" s="467"/>
      <c r="D165" s="467"/>
      <c r="E165" s="114"/>
      <c r="F165" s="114" t="s">
        <v>1180</v>
      </c>
      <c r="G165" s="114" t="s">
        <v>68</v>
      </c>
      <c r="H165" s="114" t="s">
        <v>702</v>
      </c>
      <c r="I165" s="114"/>
      <c r="J165" s="100">
        <f>45/ATHENS!O1*ATHENS!O2</f>
        <v>81.818181818181813</v>
      </c>
      <c r="K165" s="100"/>
      <c r="L165" s="100"/>
      <c r="M165" s="126"/>
      <c r="N165" s="126"/>
    </row>
    <row r="166" spans="1:14" x14ac:dyDescent="0.2">
      <c r="A166" s="116"/>
      <c r="B166" s="461" t="s">
        <v>67</v>
      </c>
      <c r="C166" s="461"/>
      <c r="D166" s="461"/>
      <c r="E166" s="120"/>
      <c r="F166" s="120" t="s">
        <v>1181</v>
      </c>
      <c r="G166" s="120" t="s">
        <v>68</v>
      </c>
      <c r="H166" s="120" t="s">
        <v>702</v>
      </c>
      <c r="I166" s="120"/>
      <c r="J166" s="100">
        <f>28/ATHENS!O1*ATHENS!O2</f>
        <v>50.909090909090907</v>
      </c>
      <c r="K166" s="100"/>
      <c r="L166" s="100"/>
      <c r="M166" s="100"/>
      <c r="N166" s="100"/>
    </row>
    <row r="167" spans="1:14" ht="13.5" thickBot="1" x14ac:dyDescent="0.25">
      <c r="A167" s="121"/>
      <c r="B167" s="460" t="s">
        <v>67</v>
      </c>
      <c r="C167" s="460"/>
      <c r="D167" s="460"/>
      <c r="E167" s="123"/>
      <c r="F167" s="123" t="s">
        <v>1182</v>
      </c>
      <c r="G167" s="123" t="s">
        <v>68</v>
      </c>
      <c r="H167" s="123" t="s">
        <v>702</v>
      </c>
      <c r="I167" s="123"/>
      <c r="J167" s="105">
        <f>21.5/ATHENS!O1*ATHENS!O2</f>
        <v>39.090909090909086</v>
      </c>
      <c r="K167" s="105"/>
      <c r="L167" s="105"/>
      <c r="M167" s="105"/>
      <c r="N167" s="105"/>
    </row>
    <row r="168" spans="1:14" ht="13.5" thickBot="1" x14ac:dyDescent="0.25">
      <c r="A168" s="108"/>
      <c r="B168" s="109"/>
      <c r="C168" s="109"/>
      <c r="D168" s="109"/>
      <c r="E168" s="110"/>
      <c r="F168" s="110"/>
      <c r="G168" s="110"/>
      <c r="H168" s="110"/>
      <c r="I168" s="110"/>
      <c r="J168" s="110"/>
      <c r="K168" s="110"/>
      <c r="L168" s="110"/>
      <c r="M168" s="110"/>
      <c r="N168" s="110"/>
    </row>
    <row r="169" spans="1:14" ht="13.5" thickBot="1" x14ac:dyDescent="0.25">
      <c r="A169" s="112"/>
      <c r="B169" s="113"/>
      <c r="C169" s="113"/>
      <c r="D169" s="113"/>
      <c r="E169" s="114"/>
      <c r="F169" s="114"/>
      <c r="G169" s="114"/>
      <c r="H169" s="114"/>
      <c r="I169" s="114"/>
      <c r="J169" s="114"/>
      <c r="K169" s="114"/>
      <c r="L169" s="114"/>
      <c r="M169" s="114"/>
      <c r="N169" s="115"/>
    </row>
    <row r="170" spans="1:14" ht="15.75" thickBot="1" x14ac:dyDescent="0.25">
      <c r="A170" s="116"/>
      <c r="B170" s="484" t="s">
        <v>641</v>
      </c>
      <c r="C170" s="485"/>
      <c r="D170" s="485"/>
      <c r="E170" s="485"/>
      <c r="F170" s="485"/>
      <c r="G170" s="485"/>
      <c r="H170" s="485"/>
      <c r="I170" s="485"/>
      <c r="J170" s="485"/>
      <c r="K170" s="485"/>
      <c r="L170" s="485"/>
      <c r="M170" s="486"/>
      <c r="N170" s="117" t="s">
        <v>664</v>
      </c>
    </row>
    <row r="171" spans="1:14" x14ac:dyDescent="0.2">
      <c r="A171" s="116"/>
      <c r="B171" s="118" t="s">
        <v>428</v>
      </c>
      <c r="C171" s="119" t="s">
        <v>1372</v>
      </c>
      <c r="D171" s="119"/>
      <c r="E171" s="120"/>
      <c r="F171" s="120"/>
      <c r="G171" s="120"/>
      <c r="H171" s="120"/>
      <c r="I171" s="120"/>
      <c r="J171" s="120"/>
      <c r="K171" s="120"/>
      <c r="L171" s="120"/>
      <c r="M171" s="120"/>
      <c r="N171" s="101"/>
    </row>
    <row r="172" spans="1:14" x14ac:dyDescent="0.2">
      <c r="A172" s="116"/>
      <c r="B172" s="118" t="s">
        <v>429</v>
      </c>
      <c r="C172" s="119" t="s">
        <v>720</v>
      </c>
      <c r="D172" s="119"/>
      <c r="E172" s="120"/>
      <c r="F172" s="120"/>
      <c r="G172" s="120"/>
      <c r="H172" s="120"/>
      <c r="I172" s="120"/>
      <c r="J172" s="120"/>
      <c r="K172" s="120"/>
      <c r="L172" s="120"/>
      <c r="M172" s="120"/>
      <c r="N172" s="101"/>
    </row>
    <row r="173" spans="1:14" x14ac:dyDescent="0.2">
      <c r="A173" s="116"/>
      <c r="B173" s="118" t="s">
        <v>427</v>
      </c>
      <c r="C173" s="465" t="s">
        <v>1373</v>
      </c>
      <c r="D173" s="465"/>
      <c r="E173" s="465"/>
      <c r="F173" s="465"/>
      <c r="G173" s="465"/>
      <c r="H173" s="465"/>
      <c r="I173" s="465"/>
      <c r="J173" s="465"/>
      <c r="K173" s="465"/>
      <c r="L173" s="465"/>
      <c r="M173" s="465"/>
      <c r="N173" s="466"/>
    </row>
    <row r="174" spans="1:14" x14ac:dyDescent="0.2">
      <c r="A174" s="116"/>
      <c r="B174" s="118"/>
      <c r="C174" s="465"/>
      <c r="D174" s="465"/>
      <c r="E174" s="465"/>
      <c r="F174" s="465"/>
      <c r="G174" s="465"/>
      <c r="H174" s="465"/>
      <c r="I174" s="465"/>
      <c r="J174" s="465"/>
      <c r="K174" s="465"/>
      <c r="L174" s="465"/>
      <c r="M174" s="465"/>
      <c r="N174" s="466"/>
    </row>
    <row r="175" spans="1:14" x14ac:dyDescent="0.2">
      <c r="A175" s="116"/>
      <c r="B175" s="109"/>
      <c r="C175" s="465"/>
      <c r="D175" s="465"/>
      <c r="E175" s="465"/>
      <c r="F175" s="465"/>
      <c r="G175" s="465"/>
      <c r="H175" s="465"/>
      <c r="I175" s="465"/>
      <c r="J175" s="465"/>
      <c r="K175" s="465"/>
      <c r="L175" s="465"/>
      <c r="M175" s="465"/>
      <c r="N175" s="466"/>
    </row>
    <row r="176" spans="1:14" x14ac:dyDescent="0.2">
      <c r="A176" s="116"/>
      <c r="B176" s="118" t="s">
        <v>426</v>
      </c>
      <c r="C176" s="119"/>
      <c r="D176" s="119"/>
      <c r="E176" s="120"/>
      <c r="F176" s="120"/>
      <c r="G176" s="120"/>
      <c r="H176" s="120"/>
      <c r="I176" s="120"/>
      <c r="J176" s="120"/>
      <c r="K176" s="120"/>
      <c r="L176" s="120"/>
      <c r="M176" s="120"/>
      <c r="N176" s="101"/>
    </row>
    <row r="177" spans="1:14" ht="13.5" thickBot="1" x14ac:dyDescent="0.25">
      <c r="A177" s="121"/>
      <c r="B177" s="118" t="s">
        <v>430</v>
      </c>
      <c r="C177" s="122"/>
      <c r="D177" s="122"/>
      <c r="E177" s="123"/>
      <c r="F177" s="123"/>
      <c r="G177" s="123"/>
      <c r="H177" s="123"/>
      <c r="I177" s="123"/>
      <c r="J177" s="123"/>
      <c r="K177" s="123"/>
      <c r="L177" s="123"/>
      <c r="M177" s="123"/>
      <c r="N177" s="104"/>
    </row>
    <row r="178" spans="1:14" ht="13.5" thickBot="1" x14ac:dyDescent="0.25">
      <c r="A178" s="121"/>
      <c r="B178" s="135" t="s">
        <v>263</v>
      </c>
      <c r="C178" s="122"/>
      <c r="D178" s="122"/>
      <c r="E178" s="123"/>
      <c r="F178" s="123"/>
      <c r="G178" s="123"/>
      <c r="H178" s="123"/>
      <c r="I178" s="123"/>
      <c r="J178" s="125" t="s">
        <v>229</v>
      </c>
      <c r="K178" s="105"/>
      <c r="L178" s="105"/>
      <c r="M178" s="105"/>
      <c r="N178" s="105"/>
    </row>
    <row r="179" spans="1:14" x14ac:dyDescent="0.2">
      <c r="A179" s="112"/>
      <c r="B179" s="467" t="s">
        <v>67</v>
      </c>
      <c r="C179" s="467"/>
      <c r="D179" s="467"/>
      <c r="E179" s="114"/>
      <c r="F179" s="114" t="s">
        <v>1180</v>
      </c>
      <c r="G179" s="114" t="s">
        <v>68</v>
      </c>
      <c r="H179" s="114" t="s">
        <v>702</v>
      </c>
      <c r="I179" s="114"/>
      <c r="J179" s="100">
        <f>49.5/ATHENS!O1*ATHENS!O2</f>
        <v>89.999999999999986</v>
      </c>
      <c r="K179" s="100"/>
      <c r="L179" s="100"/>
      <c r="M179" s="126"/>
      <c r="N179" s="126"/>
    </row>
    <row r="180" spans="1:14" x14ac:dyDescent="0.2">
      <c r="A180" s="116"/>
      <c r="B180" s="461" t="s">
        <v>67</v>
      </c>
      <c r="C180" s="461"/>
      <c r="D180" s="461"/>
      <c r="E180" s="120"/>
      <c r="F180" s="120" t="s">
        <v>1181</v>
      </c>
      <c r="G180" s="120" t="s">
        <v>68</v>
      </c>
      <c r="H180" s="120" t="s">
        <v>702</v>
      </c>
      <c r="I180" s="120"/>
      <c r="J180" s="100">
        <f>26.5/ATHENS!O1*ATHENS!O2</f>
        <v>48.18181818181818</v>
      </c>
      <c r="K180" s="100"/>
      <c r="L180" s="100"/>
      <c r="M180" s="100"/>
      <c r="N180" s="100"/>
    </row>
    <row r="181" spans="1:14" ht="13.5" thickBot="1" x14ac:dyDescent="0.25">
      <c r="A181" s="121"/>
      <c r="B181" s="460" t="s">
        <v>67</v>
      </c>
      <c r="C181" s="460"/>
      <c r="D181" s="460"/>
      <c r="E181" s="123"/>
      <c r="F181" s="123" t="s">
        <v>1182</v>
      </c>
      <c r="G181" s="123" t="s">
        <v>68</v>
      </c>
      <c r="H181" s="123" t="s">
        <v>702</v>
      </c>
      <c r="I181" s="123"/>
      <c r="J181" s="105">
        <f>24.5/ATHENS!O1*ATHENS!O2</f>
        <v>44.54545454545454</v>
      </c>
      <c r="K181" s="105"/>
      <c r="L181" s="105"/>
      <c r="M181" s="105"/>
      <c r="N181" s="105"/>
    </row>
    <row r="182" spans="1:14" ht="13.5" thickBot="1" x14ac:dyDescent="0.25">
      <c r="A182" s="108"/>
      <c r="B182" s="138"/>
      <c r="C182" s="138"/>
      <c r="D182" s="138"/>
      <c r="E182" s="139"/>
      <c r="F182" s="139"/>
      <c r="G182" s="139"/>
      <c r="H182" s="139"/>
      <c r="I182" s="139"/>
      <c r="J182" s="139"/>
      <c r="K182" s="139"/>
      <c r="L182" s="139"/>
      <c r="M182" s="139"/>
      <c r="N182" s="139"/>
    </row>
    <row r="183" spans="1:14" ht="13.5" thickBot="1" x14ac:dyDescent="0.25">
      <c r="A183" s="112"/>
      <c r="B183" s="113"/>
      <c r="C183" s="113"/>
      <c r="D183" s="113"/>
      <c r="E183" s="114"/>
      <c r="F183" s="114"/>
      <c r="G183" s="114"/>
      <c r="H183" s="114"/>
      <c r="I183" s="114"/>
      <c r="J183" s="114"/>
      <c r="K183" s="114"/>
      <c r="L183" s="114"/>
      <c r="M183" s="114"/>
      <c r="N183" s="115"/>
    </row>
    <row r="184" spans="1:14" ht="15.75" thickBot="1" x14ac:dyDescent="0.25">
      <c r="A184" s="116"/>
      <c r="B184" s="484" t="s">
        <v>642</v>
      </c>
      <c r="C184" s="485"/>
      <c r="D184" s="485"/>
      <c r="E184" s="485"/>
      <c r="F184" s="485"/>
      <c r="G184" s="485"/>
      <c r="H184" s="485"/>
      <c r="I184" s="485"/>
      <c r="J184" s="485"/>
      <c r="K184" s="485"/>
      <c r="L184" s="485"/>
      <c r="M184" s="486"/>
      <c r="N184" s="117" t="s">
        <v>664</v>
      </c>
    </row>
    <row r="185" spans="1:14" x14ac:dyDescent="0.2">
      <c r="A185" s="116"/>
      <c r="B185" s="118" t="s">
        <v>428</v>
      </c>
      <c r="C185" s="119" t="s">
        <v>1374</v>
      </c>
      <c r="D185" s="119"/>
      <c r="E185" s="120"/>
      <c r="F185" s="120"/>
      <c r="G185" s="120"/>
      <c r="H185" s="120"/>
      <c r="I185" s="120"/>
      <c r="J185" s="120"/>
      <c r="K185" s="120"/>
      <c r="L185" s="120"/>
      <c r="M185" s="120"/>
      <c r="N185" s="101"/>
    </row>
    <row r="186" spans="1:14" x14ac:dyDescent="0.2">
      <c r="A186" s="116"/>
      <c r="B186" s="118" t="s">
        <v>429</v>
      </c>
      <c r="C186" s="119" t="s">
        <v>721</v>
      </c>
      <c r="D186" s="119"/>
      <c r="E186" s="120"/>
      <c r="F186" s="120"/>
      <c r="G186" s="120"/>
      <c r="H186" s="120"/>
      <c r="I186" s="120"/>
      <c r="J186" s="120"/>
      <c r="K186" s="120"/>
      <c r="L186" s="120"/>
      <c r="M186" s="120"/>
      <c r="N186" s="101"/>
    </row>
    <row r="187" spans="1:14" x14ac:dyDescent="0.2">
      <c r="A187" s="116"/>
      <c r="B187" s="118" t="s">
        <v>427</v>
      </c>
      <c r="C187" s="465" t="s">
        <v>1375</v>
      </c>
      <c r="D187" s="465"/>
      <c r="E187" s="465"/>
      <c r="F187" s="465"/>
      <c r="G187" s="465"/>
      <c r="H187" s="465"/>
      <c r="I187" s="465"/>
      <c r="J187" s="465"/>
      <c r="K187" s="465"/>
      <c r="L187" s="465"/>
      <c r="M187" s="465"/>
      <c r="N187" s="466"/>
    </row>
    <row r="188" spans="1:14" x14ac:dyDescent="0.2">
      <c r="A188" s="116"/>
      <c r="B188" s="118"/>
      <c r="C188" s="465"/>
      <c r="D188" s="465"/>
      <c r="E188" s="465"/>
      <c r="F188" s="465"/>
      <c r="G188" s="465"/>
      <c r="H188" s="465"/>
      <c r="I188" s="465"/>
      <c r="J188" s="465"/>
      <c r="K188" s="465"/>
      <c r="L188" s="465"/>
      <c r="M188" s="465"/>
      <c r="N188" s="466"/>
    </row>
    <row r="189" spans="1:14" x14ac:dyDescent="0.2">
      <c r="A189" s="116"/>
      <c r="B189" s="109"/>
      <c r="C189" s="465"/>
      <c r="D189" s="465"/>
      <c r="E189" s="465"/>
      <c r="F189" s="465"/>
      <c r="G189" s="465"/>
      <c r="H189" s="465"/>
      <c r="I189" s="465"/>
      <c r="J189" s="465"/>
      <c r="K189" s="465"/>
      <c r="L189" s="465"/>
      <c r="M189" s="465"/>
      <c r="N189" s="466"/>
    </row>
    <row r="190" spans="1:14" x14ac:dyDescent="0.2">
      <c r="A190" s="116"/>
      <c r="B190" s="118" t="s">
        <v>426</v>
      </c>
      <c r="C190" s="119"/>
      <c r="D190" s="119"/>
      <c r="E190" s="120"/>
      <c r="F190" s="120"/>
      <c r="G190" s="120"/>
      <c r="H190" s="120"/>
      <c r="I190" s="120"/>
      <c r="J190" s="120"/>
      <c r="K190" s="120"/>
      <c r="L190" s="120"/>
      <c r="M190" s="120"/>
      <c r="N190" s="101"/>
    </row>
    <row r="191" spans="1:14" ht="13.5" thickBot="1" x14ac:dyDescent="0.25">
      <c r="A191" s="121"/>
      <c r="B191" s="118" t="s">
        <v>430</v>
      </c>
      <c r="C191" s="122"/>
      <c r="D191" s="122"/>
      <c r="E191" s="123"/>
      <c r="F191" s="123"/>
      <c r="G191" s="123"/>
      <c r="H191" s="123"/>
      <c r="I191" s="123"/>
      <c r="J191" s="123"/>
      <c r="K191" s="123"/>
      <c r="L191" s="123"/>
      <c r="M191" s="123"/>
      <c r="N191" s="104"/>
    </row>
    <row r="192" spans="1:14" ht="13.5" thickBot="1" x14ac:dyDescent="0.25">
      <c r="A192" s="121"/>
      <c r="B192" s="135" t="s">
        <v>263</v>
      </c>
      <c r="C192" s="122"/>
      <c r="D192" s="122"/>
      <c r="E192" s="123"/>
      <c r="F192" s="123"/>
      <c r="G192" s="123"/>
      <c r="H192" s="123"/>
      <c r="I192" s="123"/>
      <c r="J192" s="125" t="s">
        <v>858</v>
      </c>
      <c r="K192" s="105" t="s">
        <v>2179</v>
      </c>
      <c r="L192" s="105"/>
      <c r="M192" s="105"/>
      <c r="N192" s="105"/>
    </row>
    <row r="193" spans="1:14" x14ac:dyDescent="0.2">
      <c r="A193" s="112"/>
      <c r="B193" s="467" t="s">
        <v>67</v>
      </c>
      <c r="C193" s="467"/>
      <c r="D193" s="467"/>
      <c r="E193" s="114"/>
      <c r="F193" s="114" t="s">
        <v>1180</v>
      </c>
      <c r="G193" s="114" t="s">
        <v>68</v>
      </c>
      <c r="H193" s="114" t="s">
        <v>702</v>
      </c>
      <c r="I193" s="114"/>
      <c r="J193" s="100">
        <f>42/ATHENS!O1*ATHENS!O2</f>
        <v>76.36363636363636</v>
      </c>
      <c r="K193" s="100">
        <f>44/ATHENS!O1*ATHENS!O2</f>
        <v>80</v>
      </c>
      <c r="L193" s="100"/>
      <c r="M193" s="126"/>
      <c r="N193" s="126"/>
    </row>
    <row r="194" spans="1:14" x14ac:dyDescent="0.2">
      <c r="A194" s="116"/>
      <c r="B194" s="461" t="s">
        <v>67</v>
      </c>
      <c r="C194" s="461"/>
      <c r="D194" s="461"/>
      <c r="E194" s="120"/>
      <c r="F194" s="120" t="s">
        <v>1181</v>
      </c>
      <c r="G194" s="120" t="s">
        <v>68</v>
      </c>
      <c r="H194" s="120" t="s">
        <v>702</v>
      </c>
      <c r="I194" s="120"/>
      <c r="J194" s="100">
        <f>23.7/ATHENS!O1*ATHENS!O2</f>
        <v>43.090909090909086</v>
      </c>
      <c r="K194" s="100">
        <f>26.5/ATHENS!O1*ATHENS!O2</f>
        <v>48.18181818181818</v>
      </c>
      <c r="L194" s="100"/>
      <c r="M194" s="100"/>
      <c r="N194" s="100"/>
    </row>
    <row r="195" spans="1:14" ht="13.5" thickBot="1" x14ac:dyDescent="0.25">
      <c r="A195" s="121"/>
      <c r="B195" s="460" t="s">
        <v>67</v>
      </c>
      <c r="C195" s="460"/>
      <c r="D195" s="460"/>
      <c r="E195" s="123"/>
      <c r="F195" s="123" t="s">
        <v>1182</v>
      </c>
      <c r="G195" s="123" t="s">
        <v>68</v>
      </c>
      <c r="H195" s="123" t="s">
        <v>702</v>
      </c>
      <c r="I195" s="123"/>
      <c r="J195" s="105">
        <f>19.5/ATHENS!O1*ATHENS!O2</f>
        <v>35.454545454545453</v>
      </c>
      <c r="K195" s="105">
        <f>20.6/ATHENS!O1*ATHENS!O2</f>
        <v>37.454545454545453</v>
      </c>
      <c r="L195" s="105"/>
      <c r="M195" s="105"/>
      <c r="N195" s="105"/>
    </row>
    <row r="196" spans="1:14" ht="13.5" thickBot="1" x14ac:dyDescent="0.25">
      <c r="A196" s="108"/>
      <c r="B196" s="138"/>
      <c r="C196" s="138"/>
      <c r="D196" s="138"/>
      <c r="E196" s="139"/>
      <c r="F196" s="139"/>
      <c r="G196" s="139"/>
      <c r="H196" s="139"/>
      <c r="I196" s="139"/>
      <c r="J196" s="139"/>
      <c r="K196" s="139"/>
      <c r="L196" s="139"/>
      <c r="M196" s="139"/>
      <c r="N196" s="139"/>
    </row>
    <row r="197" spans="1:14" ht="13.5" thickBot="1" x14ac:dyDescent="0.25">
      <c r="A197" s="112"/>
      <c r="B197" s="113"/>
      <c r="C197" s="113"/>
      <c r="D197" s="113"/>
      <c r="E197" s="114"/>
      <c r="F197" s="114"/>
      <c r="G197" s="114"/>
      <c r="H197" s="114"/>
      <c r="I197" s="114"/>
      <c r="J197" s="114"/>
      <c r="K197" s="114"/>
      <c r="L197" s="114"/>
      <c r="M197" s="114"/>
      <c r="N197" s="115"/>
    </row>
    <row r="198" spans="1:14" ht="15.75" thickBot="1" x14ac:dyDescent="0.25">
      <c r="A198" s="116"/>
      <c r="B198" s="484" t="s">
        <v>643</v>
      </c>
      <c r="C198" s="485"/>
      <c r="D198" s="485"/>
      <c r="E198" s="485"/>
      <c r="F198" s="485"/>
      <c r="G198" s="485"/>
      <c r="H198" s="485"/>
      <c r="I198" s="485"/>
      <c r="J198" s="485"/>
      <c r="K198" s="485"/>
      <c r="L198" s="485"/>
      <c r="M198" s="486"/>
      <c r="N198" s="117" t="s">
        <v>664</v>
      </c>
    </row>
    <row r="199" spans="1:14" x14ac:dyDescent="0.2">
      <c r="A199" s="116"/>
      <c r="B199" s="118" t="s">
        <v>428</v>
      </c>
      <c r="C199" s="119" t="s">
        <v>1376</v>
      </c>
      <c r="D199" s="119"/>
      <c r="E199" s="120"/>
      <c r="F199" s="120"/>
      <c r="G199" s="120"/>
      <c r="H199" s="120"/>
      <c r="I199" s="120"/>
      <c r="J199" s="120"/>
      <c r="K199" s="120"/>
      <c r="L199" s="120"/>
      <c r="M199" s="120"/>
      <c r="N199" s="101"/>
    </row>
    <row r="200" spans="1:14" x14ac:dyDescent="0.2">
      <c r="A200" s="116"/>
      <c r="B200" s="118" t="s">
        <v>429</v>
      </c>
      <c r="C200" s="119" t="s">
        <v>722</v>
      </c>
      <c r="D200" s="119"/>
      <c r="E200" s="120"/>
      <c r="F200" s="120"/>
      <c r="G200" s="120"/>
      <c r="H200" s="120"/>
      <c r="I200" s="120"/>
      <c r="J200" s="120"/>
      <c r="K200" s="120"/>
      <c r="L200" s="120"/>
      <c r="M200" s="120"/>
      <c r="N200" s="101"/>
    </row>
    <row r="201" spans="1:14" x14ac:dyDescent="0.2">
      <c r="A201" s="116"/>
      <c r="B201" s="118" t="s">
        <v>427</v>
      </c>
      <c r="C201" s="465" t="s">
        <v>1377</v>
      </c>
      <c r="D201" s="465"/>
      <c r="E201" s="465"/>
      <c r="F201" s="465"/>
      <c r="G201" s="465"/>
      <c r="H201" s="465"/>
      <c r="I201" s="465"/>
      <c r="J201" s="465"/>
      <c r="K201" s="465"/>
      <c r="L201" s="465"/>
      <c r="M201" s="465"/>
      <c r="N201" s="466"/>
    </row>
    <row r="202" spans="1:14" x14ac:dyDescent="0.2">
      <c r="A202" s="116"/>
      <c r="B202" s="109"/>
      <c r="C202" s="465"/>
      <c r="D202" s="465"/>
      <c r="E202" s="465"/>
      <c r="F202" s="465"/>
      <c r="G202" s="465"/>
      <c r="H202" s="465"/>
      <c r="I202" s="465"/>
      <c r="J202" s="465"/>
      <c r="K202" s="465"/>
      <c r="L202" s="465"/>
      <c r="M202" s="465"/>
      <c r="N202" s="466"/>
    </row>
    <row r="203" spans="1:14" x14ac:dyDescent="0.2">
      <c r="A203" s="116"/>
      <c r="B203" s="118" t="s">
        <v>426</v>
      </c>
      <c r="C203" s="119"/>
      <c r="D203" s="119"/>
      <c r="E203" s="120"/>
      <c r="F203" s="120"/>
      <c r="G203" s="120"/>
      <c r="H203" s="120"/>
      <c r="I203" s="120"/>
      <c r="J203" s="120"/>
      <c r="K203" s="120"/>
      <c r="L203" s="120"/>
      <c r="M203" s="120"/>
      <c r="N203" s="101"/>
    </row>
    <row r="204" spans="1:14" ht="13.5" thickBot="1" x14ac:dyDescent="0.25">
      <c r="A204" s="121"/>
      <c r="B204" s="133" t="s">
        <v>430</v>
      </c>
      <c r="C204" s="122"/>
      <c r="D204" s="122"/>
      <c r="E204" s="123"/>
      <c r="F204" s="123"/>
      <c r="G204" s="123"/>
      <c r="H204" s="123"/>
      <c r="I204" s="123"/>
      <c r="J204" s="123"/>
      <c r="K204" s="123"/>
      <c r="L204" s="123"/>
      <c r="M204" s="123"/>
      <c r="N204" s="104"/>
    </row>
    <row r="205" spans="1:14" ht="13.5" thickBot="1" x14ac:dyDescent="0.25">
      <c r="A205" s="121"/>
      <c r="B205" s="118" t="s">
        <v>263</v>
      </c>
      <c r="C205" s="122"/>
      <c r="D205" s="122"/>
      <c r="E205" s="123"/>
      <c r="F205" s="123"/>
      <c r="G205" s="123"/>
      <c r="H205" s="123"/>
      <c r="I205" s="137"/>
      <c r="J205" s="137" t="s">
        <v>1997</v>
      </c>
      <c r="K205" s="157"/>
      <c r="L205" s="157"/>
      <c r="M205" s="123"/>
      <c r="N205" s="104"/>
    </row>
    <row r="206" spans="1:14" ht="13.5" thickBot="1" x14ac:dyDescent="0.25">
      <c r="A206" s="121"/>
      <c r="B206" s="135" t="s">
        <v>263</v>
      </c>
      <c r="C206" s="122"/>
      <c r="D206" s="122"/>
      <c r="E206" s="123"/>
      <c r="F206" s="123"/>
      <c r="G206" s="123"/>
      <c r="H206" s="123"/>
      <c r="I206" s="104"/>
      <c r="J206" s="104" t="s">
        <v>1998</v>
      </c>
      <c r="K206" s="105" t="s">
        <v>1999</v>
      </c>
      <c r="L206" s="105"/>
      <c r="M206" s="104"/>
      <c r="N206" s="105"/>
    </row>
    <row r="207" spans="1:14" x14ac:dyDescent="0.2">
      <c r="A207" s="112"/>
      <c r="B207" s="467" t="s">
        <v>67</v>
      </c>
      <c r="C207" s="467"/>
      <c r="D207" s="467"/>
      <c r="E207" s="114"/>
      <c r="F207" s="114" t="s">
        <v>1180</v>
      </c>
      <c r="G207" s="114" t="s">
        <v>68</v>
      </c>
      <c r="H207" s="114" t="s">
        <v>702</v>
      </c>
      <c r="I207" s="114"/>
      <c r="J207" s="100">
        <f>40/ATHENS!O1*ATHENS!O2</f>
        <v>72.72727272727272</v>
      </c>
      <c r="K207" s="100">
        <f>63/ATHENS!O1*ATHENS!O2</f>
        <v>114.54545454545453</v>
      </c>
      <c r="L207" s="101"/>
      <c r="M207" s="126"/>
      <c r="N207" s="126"/>
    </row>
    <row r="208" spans="1:14" x14ac:dyDescent="0.2">
      <c r="A208" s="116"/>
      <c r="B208" s="461" t="s">
        <v>67</v>
      </c>
      <c r="C208" s="461"/>
      <c r="D208" s="461"/>
      <c r="E208" s="120"/>
      <c r="F208" s="120" t="s">
        <v>1181</v>
      </c>
      <c r="G208" s="120" t="s">
        <v>68</v>
      </c>
      <c r="H208" s="120" t="s">
        <v>702</v>
      </c>
      <c r="I208" s="120"/>
      <c r="J208" s="100">
        <f>23.5/ATHENS!O1*ATHENS!O2</f>
        <v>42.727272727272727</v>
      </c>
      <c r="K208" s="100">
        <f>42/ATHENS!O1*ATHENS!O2</f>
        <v>76.36363636363636</v>
      </c>
      <c r="L208" s="100"/>
      <c r="M208" s="100"/>
      <c r="N208" s="100"/>
    </row>
    <row r="209" spans="1:14" ht="13.5" thickBot="1" x14ac:dyDescent="0.25">
      <c r="A209" s="121"/>
      <c r="B209" s="460" t="s">
        <v>67</v>
      </c>
      <c r="C209" s="460"/>
      <c r="D209" s="460"/>
      <c r="E209" s="123"/>
      <c r="F209" s="123" t="s">
        <v>1182</v>
      </c>
      <c r="G209" s="123" t="s">
        <v>68</v>
      </c>
      <c r="H209" s="123" t="s">
        <v>702</v>
      </c>
      <c r="I209" s="123"/>
      <c r="J209" s="105">
        <f>20/ATHENS!O1*ATHENS!O2</f>
        <v>36.36363636363636</v>
      </c>
      <c r="K209" s="105">
        <f>36.6/ATHENS!O1*ATHENS!O2</f>
        <v>66.545454545454547</v>
      </c>
      <c r="L209" s="105"/>
      <c r="M209" s="105"/>
      <c r="N209" s="105"/>
    </row>
    <row r="210" spans="1:14" x14ac:dyDescent="0.2">
      <c r="A210" s="108"/>
      <c r="B210" s="109"/>
      <c r="C210" s="109"/>
      <c r="D210" s="109"/>
      <c r="E210" s="110"/>
      <c r="F210" s="110"/>
      <c r="G210" s="110"/>
      <c r="H210" s="110"/>
      <c r="I210" s="110"/>
      <c r="J210" s="110"/>
      <c r="K210" s="110"/>
      <c r="L210" s="110"/>
      <c r="M210" s="110"/>
      <c r="N210" s="110"/>
    </row>
  </sheetData>
  <customSheetViews>
    <customSheetView guid="{3C76061C-A85D-4390-B9DB-73E13038638C}" showPageBreaks="1" showGridLines="0" view="pageLayout" topLeftCell="A37">
      <selection activeCell="M51" sqref="M51"/>
      <rowBreaks count="2" manualBreakCount="2">
        <brk id="129" max="16383" man="1"/>
        <brk id="168" max="16383" man="1"/>
      </rowBreaks>
      <pageMargins left="0.28125" right="0.25" top="0.6692913385826772" bottom="0.70866141732283472" header="0.23622047244094491" footer="0.47244094488188981"/>
      <printOptions horizontalCentered="1"/>
      <pageSetup paperSize="9" firstPageNumber="111"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74">
    <mergeCell ref="B10:D10"/>
    <mergeCell ref="B11:D11"/>
    <mergeCell ref="B14:M14"/>
    <mergeCell ref="C17:N19"/>
    <mergeCell ref="B3:M3"/>
    <mergeCell ref="C6:N7"/>
    <mergeCell ref="B9:D9"/>
    <mergeCell ref="B71:D71"/>
    <mergeCell ref="B37:M37"/>
    <mergeCell ref="C40:N43"/>
    <mergeCell ref="B49:D49"/>
    <mergeCell ref="B50:D50"/>
    <mergeCell ref="B62:M62"/>
    <mergeCell ref="C65:N67"/>
    <mergeCell ref="B70:D70"/>
    <mergeCell ref="B69:D69"/>
    <mergeCell ref="B22:D22"/>
    <mergeCell ref="B23:D23"/>
    <mergeCell ref="B24:D24"/>
    <mergeCell ref="B27:M27"/>
    <mergeCell ref="B51:D51"/>
    <mergeCell ref="C30:N31"/>
    <mergeCell ref="B33:D33"/>
    <mergeCell ref="B34:D34"/>
    <mergeCell ref="B85:D85"/>
    <mergeCell ref="C91:N93"/>
    <mergeCell ref="B75:M75"/>
    <mergeCell ref="C78:N81"/>
    <mergeCell ref="B83:D83"/>
    <mergeCell ref="B84:D84"/>
    <mergeCell ref="B88:M88"/>
    <mergeCell ref="B98:D98"/>
    <mergeCell ref="B99:D99"/>
    <mergeCell ref="B97:D97"/>
    <mergeCell ref="B110:D110"/>
    <mergeCell ref="B102:M102"/>
    <mergeCell ref="B117:M117"/>
    <mergeCell ref="C120:N122"/>
    <mergeCell ref="B126:D126"/>
    <mergeCell ref="C105:N106"/>
    <mergeCell ref="B108:D108"/>
    <mergeCell ref="B109:D109"/>
    <mergeCell ref="B140:D140"/>
    <mergeCell ref="B141:D141"/>
    <mergeCell ref="B142:D142"/>
    <mergeCell ref="B145:M145"/>
    <mergeCell ref="B127:D127"/>
    <mergeCell ref="B128:D128"/>
    <mergeCell ref="B131:M131"/>
    <mergeCell ref="C134:N135"/>
    <mergeCell ref="C148:N150"/>
    <mergeCell ref="B153:D153"/>
    <mergeCell ref="B154:D154"/>
    <mergeCell ref="B155:D155"/>
    <mergeCell ref="B179:D179"/>
    <mergeCell ref="B167:D167"/>
    <mergeCell ref="B158:M158"/>
    <mergeCell ref="C161:N163"/>
    <mergeCell ref="B165:D165"/>
    <mergeCell ref="B166:D166"/>
    <mergeCell ref="B180:D180"/>
    <mergeCell ref="B181:D181"/>
    <mergeCell ref="B184:M184"/>
    <mergeCell ref="B170:M170"/>
    <mergeCell ref="C173:N175"/>
    <mergeCell ref="C187:N189"/>
    <mergeCell ref="B193:D193"/>
    <mergeCell ref="B194:D194"/>
    <mergeCell ref="B195:D195"/>
    <mergeCell ref="B209:D209"/>
    <mergeCell ref="B198:M198"/>
    <mergeCell ref="C201:N202"/>
    <mergeCell ref="B207:D207"/>
    <mergeCell ref="B208:D208"/>
  </mergeCells>
  <phoneticPr fontId="17" type="noConversion"/>
  <hyperlinks>
    <hyperlink ref="B3:M3" r:id="rId2" display="Daios" xr:uid="{00000000-0004-0000-2700-000000000000}"/>
    <hyperlink ref="B27:M27" r:id="rId3" display="Grand Palace" xr:uid="{00000000-0004-0000-2700-000001000000}"/>
    <hyperlink ref="B37:M37" r:id="rId4" display="Holiday Inn" xr:uid="{00000000-0004-0000-2700-000002000000}"/>
    <hyperlink ref="B62:M62" r:id="rId5" display="Les Lazaristes" xr:uid="{00000000-0004-0000-2700-000003000000}"/>
    <hyperlink ref="B75:M75" r:id="rId6" display="Mediterranean Palace" xr:uid="{00000000-0004-0000-2700-000004000000}"/>
    <hyperlink ref="B88:M88" r:id="rId7" display="Anatolia" xr:uid="{00000000-0004-0000-2700-000005000000}"/>
    <hyperlink ref="B102:M102" r:id="rId8" display="Capsis" xr:uid="{00000000-0004-0000-2700-000006000000}"/>
    <hyperlink ref="B117:M117" r:id="rId9" display="City &amp; Central Spa" xr:uid="{00000000-0004-0000-2700-000007000000}"/>
    <hyperlink ref="B131:M131" r:id="rId10" display="Davitel Tobacco" xr:uid="{00000000-0004-0000-2700-000008000000}"/>
    <hyperlink ref="B145:M145" r:id="rId11" display="Sun Beach" xr:uid="{00000000-0004-0000-2700-000009000000}"/>
    <hyperlink ref="B158:M158" r:id="rId12" display="El Greco" xr:uid="{00000000-0004-0000-2700-00000A000000}"/>
    <hyperlink ref="B170:M170" r:id="rId13" display="Mandrino" xr:uid="{00000000-0004-0000-2700-00000B000000}"/>
    <hyperlink ref="B184:M184" r:id="rId14" display="Metropolitan" xr:uid="{00000000-0004-0000-2700-00000C000000}"/>
    <hyperlink ref="B198:M198" r:id="rId15" display="Telioni" xr:uid="{00000000-0004-0000-2700-00000D000000}"/>
    <hyperlink ref="B14:M14" r:id="rId16" display="Electra Palace" xr:uid="{00000000-0004-0000-2700-00000E000000}"/>
  </hyperlinks>
  <printOptions horizontalCentered="1"/>
  <pageMargins left="0.28125" right="0.25" top="0.6692913385826772" bottom="0.70866141732283472" header="0.23622047244094491" footer="0.47244094488188981"/>
  <pageSetup paperSize="9" firstPageNumber="111" orientation="portrait" useFirstPageNumber="1" horizontalDpi="300" verticalDpi="300" r:id="rId17"/>
  <headerFooter scaleWithDoc="0" alignWithMargins="0">
    <oddHeader xml:space="preserve">&amp;C TARIFF 2021
 (EURO)
</oddHeader>
    <oddFooter>&amp;LAll rates are in EURO&amp;C
TARIFF 2021
&amp;RPage &amp;P</oddFooter>
  </headerFooter>
  <rowBreaks count="2" manualBreakCount="2">
    <brk id="129" max="16383" man="1"/>
    <brk id="16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2:N73"/>
  <sheetViews>
    <sheetView showGridLines="0" view="pageLayout" topLeftCell="A43" zoomScaleNormal="100" workbookViewId="0">
      <selection activeCell="M53" sqref="M53"/>
    </sheetView>
  </sheetViews>
  <sheetFormatPr defaultRowHeight="12.75" x14ac:dyDescent="0.2"/>
  <cols>
    <col min="1" max="1" width="1.85546875" style="141" customWidth="1"/>
    <col min="2" max="3" width="10.7109375" style="141" customWidth="1"/>
    <col min="4" max="9" width="3.7109375" style="141" customWidth="1"/>
    <col min="10" max="14" width="10.7109375" style="141" customWidth="1"/>
    <col min="15" max="16384" width="9.140625" style="141"/>
  </cols>
  <sheetData>
    <row r="2" spans="1:14" ht="13.5" thickBot="1" x14ac:dyDescent="0.25"/>
    <row r="3" spans="1:14" x14ac:dyDescent="0.2">
      <c r="A3" s="20"/>
      <c r="B3" s="21"/>
      <c r="C3" s="21"/>
      <c r="D3" s="21"/>
      <c r="E3" s="22"/>
      <c r="F3" s="22"/>
      <c r="G3" s="22"/>
      <c r="H3" s="22"/>
      <c r="I3" s="22"/>
      <c r="J3" s="22"/>
      <c r="K3" s="22"/>
      <c r="L3" s="22"/>
      <c r="M3" s="22"/>
      <c r="N3" s="23"/>
    </row>
    <row r="4" spans="1:14" ht="15" x14ac:dyDescent="0.2">
      <c r="A4" s="24"/>
      <c r="B4" s="440" t="s">
        <v>851</v>
      </c>
      <c r="C4" s="441"/>
      <c r="D4" s="441"/>
      <c r="E4" s="441"/>
      <c r="F4" s="441"/>
      <c r="G4" s="441"/>
      <c r="H4" s="441"/>
      <c r="I4" s="441"/>
      <c r="J4" s="441"/>
      <c r="K4" s="441"/>
      <c r="L4" s="441"/>
      <c r="M4" s="442"/>
      <c r="N4" s="25" t="s">
        <v>91</v>
      </c>
    </row>
    <row r="5" spans="1:14" x14ac:dyDescent="0.2">
      <c r="A5" s="24"/>
      <c r="B5" s="26" t="s">
        <v>428</v>
      </c>
      <c r="C5" s="68" t="s">
        <v>1672</v>
      </c>
      <c r="D5" s="27"/>
      <c r="E5" s="28"/>
      <c r="F5" s="28"/>
      <c r="G5" s="28"/>
      <c r="H5" s="28"/>
      <c r="I5" s="28"/>
      <c r="J5" s="28"/>
      <c r="K5" s="28"/>
      <c r="L5" s="28"/>
      <c r="M5" s="28"/>
      <c r="N5" s="29"/>
    </row>
    <row r="6" spans="1:14" x14ac:dyDescent="0.2">
      <c r="A6" s="24"/>
      <c r="B6" s="26" t="s">
        <v>429</v>
      </c>
      <c r="C6" s="27" t="s">
        <v>1655</v>
      </c>
      <c r="D6" s="27"/>
      <c r="E6" s="28"/>
      <c r="F6" s="28"/>
      <c r="G6" s="28"/>
      <c r="H6" s="28"/>
      <c r="I6" s="28"/>
      <c r="J6" s="28"/>
      <c r="K6" s="28"/>
      <c r="L6" s="28"/>
      <c r="M6" s="28"/>
      <c r="N6" s="29"/>
    </row>
    <row r="7" spans="1:14" x14ac:dyDescent="0.2">
      <c r="A7" s="24"/>
      <c r="B7" s="26" t="s">
        <v>427</v>
      </c>
      <c r="C7" s="436" t="s">
        <v>1726</v>
      </c>
      <c r="D7" s="436"/>
      <c r="E7" s="436"/>
      <c r="F7" s="436"/>
      <c r="G7" s="436"/>
      <c r="H7" s="436"/>
      <c r="I7" s="436"/>
      <c r="J7" s="436"/>
      <c r="K7" s="436"/>
      <c r="L7" s="436"/>
      <c r="M7" s="436"/>
      <c r="N7" s="437"/>
    </row>
    <row r="8" spans="1:14" x14ac:dyDescent="0.2">
      <c r="A8" s="24"/>
      <c r="B8" s="27"/>
      <c r="C8" s="436"/>
      <c r="D8" s="436"/>
      <c r="E8" s="436"/>
      <c r="F8" s="436"/>
      <c r="G8" s="436"/>
      <c r="H8" s="436"/>
      <c r="I8" s="436"/>
      <c r="J8" s="436"/>
      <c r="K8" s="436"/>
      <c r="L8" s="436"/>
      <c r="M8" s="436"/>
      <c r="N8" s="437"/>
    </row>
    <row r="9" spans="1:14" x14ac:dyDescent="0.2">
      <c r="A9" s="24"/>
      <c r="B9" s="26" t="s">
        <v>426</v>
      </c>
      <c r="C9" s="27"/>
      <c r="D9" s="27"/>
      <c r="E9" s="28"/>
      <c r="F9" s="28"/>
      <c r="G9" s="28"/>
      <c r="H9" s="28"/>
      <c r="I9" s="28"/>
      <c r="J9" s="28"/>
      <c r="K9" s="28"/>
      <c r="L9" s="28"/>
      <c r="M9" s="28"/>
      <c r="N9" s="29"/>
    </row>
    <row r="10" spans="1:14" ht="13.5" thickBot="1" x14ac:dyDescent="0.25">
      <c r="A10" s="30"/>
      <c r="B10" s="26" t="s">
        <v>430</v>
      </c>
      <c r="C10" s="31"/>
      <c r="D10" s="31"/>
      <c r="E10" s="32"/>
      <c r="F10" s="32"/>
      <c r="G10" s="32"/>
      <c r="H10" s="32"/>
      <c r="I10" s="32"/>
      <c r="J10" s="32"/>
      <c r="K10" s="32"/>
      <c r="L10" s="32"/>
      <c r="M10" s="32"/>
      <c r="N10" s="33"/>
    </row>
    <row r="11" spans="1:14" x14ac:dyDescent="0.2">
      <c r="A11" s="24"/>
      <c r="B11" s="21" t="s">
        <v>263</v>
      </c>
      <c r="C11" s="27"/>
      <c r="D11" s="27"/>
      <c r="E11" s="28"/>
      <c r="F11" s="28"/>
      <c r="G11" s="28"/>
      <c r="H11" s="28"/>
      <c r="I11" s="28"/>
      <c r="J11" s="67" t="s">
        <v>397</v>
      </c>
      <c r="K11" s="63" t="s">
        <v>1965</v>
      </c>
      <c r="L11" s="63" t="s">
        <v>279</v>
      </c>
      <c r="M11" s="63" t="s">
        <v>1341</v>
      </c>
      <c r="N11" s="63"/>
    </row>
    <row r="12" spans="1:14" ht="13.5" thickBot="1" x14ac:dyDescent="0.25">
      <c r="A12" s="30"/>
      <c r="B12" s="31"/>
      <c r="C12" s="31"/>
      <c r="D12" s="31"/>
      <c r="E12" s="32"/>
      <c r="F12" s="32"/>
      <c r="G12" s="32"/>
      <c r="H12" s="32"/>
      <c r="I12" s="32"/>
      <c r="J12" s="49" t="s">
        <v>756</v>
      </c>
      <c r="K12" s="40" t="s">
        <v>282</v>
      </c>
      <c r="L12" s="40" t="s">
        <v>1223</v>
      </c>
      <c r="M12" s="40" t="s">
        <v>1588</v>
      </c>
      <c r="N12" s="40" t="s">
        <v>757</v>
      </c>
    </row>
    <row r="13" spans="1:14" x14ac:dyDescent="0.2">
      <c r="A13" s="20"/>
      <c r="B13" s="434" t="s">
        <v>67</v>
      </c>
      <c r="C13" s="434"/>
      <c r="D13" s="434"/>
      <c r="E13" s="22"/>
      <c r="F13" s="22" t="s">
        <v>1180</v>
      </c>
      <c r="G13" s="22" t="s">
        <v>1964</v>
      </c>
      <c r="H13" s="22" t="s">
        <v>702</v>
      </c>
      <c r="I13" s="28"/>
      <c r="J13" s="75">
        <f>120/ATHENS!O1*ATHENS!O2</f>
        <v>218.18181818181816</v>
      </c>
      <c r="K13" s="75">
        <f>150/ATHENS!O1*ATHENS!O2</f>
        <v>272.72727272727269</v>
      </c>
      <c r="L13" s="44">
        <f>200/ATHENS!O1*ATHENS!O2</f>
        <v>363.63636363636363</v>
      </c>
      <c r="M13" s="42">
        <f>220/ATHENS!O1*ATHENS!O2</f>
        <v>399.99999999999994</v>
      </c>
      <c r="N13" s="42">
        <f>240/ATHENS!O1*ATHENS!O2</f>
        <v>436.36363636363632</v>
      </c>
    </row>
    <row r="14" spans="1:14" x14ac:dyDescent="0.2">
      <c r="A14" s="24"/>
      <c r="B14" s="435" t="s">
        <v>67</v>
      </c>
      <c r="C14" s="435"/>
      <c r="D14" s="435"/>
      <c r="E14" s="28"/>
      <c r="F14" s="28" t="s">
        <v>1181</v>
      </c>
      <c r="G14" s="28" t="s">
        <v>1964</v>
      </c>
      <c r="H14" s="28" t="s">
        <v>702</v>
      </c>
      <c r="I14" s="28"/>
      <c r="J14" s="75">
        <f>60/ATHENS!O1*ATHENS!O2</f>
        <v>109.09090909090908</v>
      </c>
      <c r="K14" s="75">
        <f>75/ATHENS!O1*ATHENS!O2</f>
        <v>136.36363636363635</v>
      </c>
      <c r="L14" s="44">
        <f>100/ATHENS!O1*ATHENS!O2</f>
        <v>181.81818181818181</v>
      </c>
      <c r="M14" s="44">
        <f>110/ATHENS!O1*ATHENS!O2</f>
        <v>199.99999999999997</v>
      </c>
      <c r="N14" s="44">
        <f>120/ATHENS!O1*ATHENS!O2</f>
        <v>218.18181818181816</v>
      </c>
    </row>
    <row r="15" spans="1:14" ht="13.5" thickBot="1" x14ac:dyDescent="0.25">
      <c r="A15" s="30"/>
      <c r="B15" s="443" t="s">
        <v>67</v>
      </c>
      <c r="C15" s="443"/>
      <c r="D15" s="443"/>
      <c r="E15" s="32"/>
      <c r="F15" s="89" t="s">
        <v>1182</v>
      </c>
      <c r="G15" s="89" t="s">
        <v>1964</v>
      </c>
      <c r="H15" s="32" t="s">
        <v>702</v>
      </c>
      <c r="I15" s="32"/>
      <c r="J15" s="76">
        <f>55/ATHENS!O1*ATHENS!O2</f>
        <v>99.999999999999986</v>
      </c>
      <c r="K15" s="76">
        <f>68.7/ATHENS!O1*ATHENS!O2</f>
        <v>124.90909090909091</v>
      </c>
      <c r="L15" s="46">
        <f>92/ATHENS!O1*ATHENS!O2</f>
        <v>167.27272727272725</v>
      </c>
      <c r="M15" s="46">
        <f>101/ATHENS!O1*ATHENS!O2</f>
        <v>183.63636363636363</v>
      </c>
      <c r="N15" s="46">
        <f>110/ATHENS!O1*ATHENS!O2</f>
        <v>199.99999999999997</v>
      </c>
    </row>
    <row r="17" spans="1:14" ht="13.5" thickBot="1" x14ac:dyDescent="0.25">
      <c r="A17" s="108"/>
      <c r="B17" s="138"/>
      <c r="C17" s="138"/>
      <c r="D17" s="138"/>
      <c r="E17" s="139"/>
      <c r="F17" s="139"/>
      <c r="G17" s="139"/>
      <c r="H17" s="139"/>
      <c r="I17" s="139"/>
      <c r="J17" s="139"/>
      <c r="K17" s="139"/>
      <c r="L17" s="139"/>
      <c r="M17" s="139"/>
      <c r="N17" s="139"/>
    </row>
    <row r="18" spans="1:14" ht="13.5" thickBot="1" x14ac:dyDescent="0.25">
      <c r="A18" s="112"/>
      <c r="B18" s="113"/>
      <c r="C18" s="113"/>
      <c r="D18" s="113"/>
      <c r="E18" s="114"/>
      <c r="F18" s="114"/>
      <c r="G18" s="114"/>
      <c r="H18" s="114"/>
      <c r="I18" s="114"/>
      <c r="J18" s="114"/>
      <c r="K18" s="114"/>
      <c r="L18" s="114"/>
      <c r="M18" s="114"/>
      <c r="N18" s="115"/>
    </row>
    <row r="19" spans="1:14" ht="15.75" thickBot="1" x14ac:dyDescent="0.25">
      <c r="A19" s="116"/>
      <c r="B19" s="484" t="s">
        <v>580</v>
      </c>
      <c r="C19" s="485"/>
      <c r="D19" s="485"/>
      <c r="E19" s="485"/>
      <c r="F19" s="485"/>
      <c r="G19" s="485"/>
      <c r="H19" s="485"/>
      <c r="I19" s="485"/>
      <c r="J19" s="485"/>
      <c r="K19" s="485"/>
      <c r="L19" s="485"/>
      <c r="M19" s="486"/>
      <c r="N19" s="117" t="s">
        <v>91</v>
      </c>
    </row>
    <row r="20" spans="1:14" x14ac:dyDescent="0.2">
      <c r="A20" s="116"/>
      <c r="B20" s="118" t="s">
        <v>428</v>
      </c>
      <c r="C20" s="119" t="s">
        <v>581</v>
      </c>
      <c r="D20" s="119"/>
      <c r="E20" s="120"/>
      <c r="F20" s="120"/>
      <c r="G20" s="120"/>
      <c r="H20" s="120"/>
      <c r="I20" s="120"/>
      <c r="J20" s="120"/>
      <c r="K20" s="120"/>
      <c r="L20" s="120"/>
      <c r="M20" s="120"/>
      <c r="N20" s="101"/>
    </row>
    <row r="21" spans="1:14" x14ac:dyDescent="0.2">
      <c r="A21" s="116"/>
      <c r="B21" s="118" t="s">
        <v>429</v>
      </c>
      <c r="C21" s="119" t="s">
        <v>723</v>
      </c>
      <c r="D21" s="119"/>
      <c r="E21" s="120"/>
      <c r="F21" s="120"/>
      <c r="G21" s="120"/>
      <c r="H21" s="120"/>
      <c r="I21" s="120"/>
      <c r="J21" s="120"/>
      <c r="K21" s="120"/>
      <c r="L21" s="120"/>
      <c r="M21" s="120"/>
      <c r="N21" s="101"/>
    </row>
    <row r="22" spans="1:14" x14ac:dyDescent="0.2">
      <c r="A22" s="116"/>
      <c r="B22" s="118" t="s">
        <v>427</v>
      </c>
      <c r="C22" s="465" t="s">
        <v>332</v>
      </c>
      <c r="D22" s="465"/>
      <c r="E22" s="465"/>
      <c r="F22" s="465"/>
      <c r="G22" s="465"/>
      <c r="H22" s="465"/>
      <c r="I22" s="465"/>
      <c r="J22" s="465"/>
      <c r="K22" s="465"/>
      <c r="L22" s="465"/>
      <c r="M22" s="465"/>
      <c r="N22" s="466"/>
    </row>
    <row r="23" spans="1:14" x14ac:dyDescent="0.2">
      <c r="A23" s="116"/>
      <c r="B23" s="118"/>
      <c r="C23" s="465"/>
      <c r="D23" s="465"/>
      <c r="E23" s="465"/>
      <c r="F23" s="465"/>
      <c r="G23" s="465"/>
      <c r="H23" s="465"/>
      <c r="I23" s="465"/>
      <c r="J23" s="465"/>
      <c r="K23" s="465"/>
      <c r="L23" s="465"/>
      <c r="M23" s="465"/>
      <c r="N23" s="466"/>
    </row>
    <row r="24" spans="1:14" x14ac:dyDescent="0.2">
      <c r="A24" s="116"/>
      <c r="B24" s="118"/>
      <c r="C24" s="465"/>
      <c r="D24" s="465"/>
      <c r="E24" s="465"/>
      <c r="F24" s="465"/>
      <c r="G24" s="465"/>
      <c r="H24" s="465"/>
      <c r="I24" s="465"/>
      <c r="J24" s="465"/>
      <c r="K24" s="465"/>
      <c r="L24" s="465"/>
      <c r="M24" s="465"/>
      <c r="N24" s="466"/>
    </row>
    <row r="25" spans="1:14" ht="13.5" thickBot="1" x14ac:dyDescent="0.25">
      <c r="A25" s="116"/>
      <c r="B25" s="109"/>
      <c r="C25" s="465"/>
      <c r="D25" s="465"/>
      <c r="E25" s="465"/>
      <c r="F25" s="465"/>
      <c r="G25" s="465"/>
      <c r="H25" s="465"/>
      <c r="I25" s="465"/>
      <c r="J25" s="465"/>
      <c r="K25" s="465"/>
      <c r="L25" s="465"/>
      <c r="M25" s="465"/>
      <c r="N25" s="466"/>
    </row>
    <row r="26" spans="1:14" x14ac:dyDescent="0.2">
      <c r="A26" s="112"/>
      <c r="B26" s="113" t="s">
        <v>263</v>
      </c>
      <c r="C26" s="113"/>
      <c r="D26" s="113"/>
      <c r="E26" s="114"/>
      <c r="F26" s="114"/>
      <c r="G26" s="114"/>
      <c r="H26" s="114"/>
      <c r="I26" s="114"/>
      <c r="J26" s="127" t="s">
        <v>65</v>
      </c>
      <c r="K26" s="126" t="s">
        <v>175</v>
      </c>
      <c r="L26" s="126"/>
      <c r="M26" s="126"/>
      <c r="N26" s="126"/>
    </row>
    <row r="27" spans="1:14" ht="13.5" thickBot="1" x14ac:dyDescent="0.25">
      <c r="A27" s="121"/>
      <c r="B27" s="122"/>
      <c r="C27" s="122"/>
      <c r="D27" s="122"/>
      <c r="E27" s="123"/>
      <c r="F27" s="123"/>
      <c r="G27" s="123"/>
      <c r="H27" s="123"/>
      <c r="I27" s="123"/>
      <c r="J27" s="125" t="s">
        <v>2093</v>
      </c>
      <c r="K27" s="105" t="s">
        <v>1429</v>
      </c>
      <c r="L27" s="105" t="s">
        <v>2094</v>
      </c>
      <c r="M27" s="105"/>
      <c r="N27" s="105"/>
    </row>
    <row r="28" spans="1:14" x14ac:dyDescent="0.2">
      <c r="A28" s="112"/>
      <c r="B28" s="467" t="s">
        <v>67</v>
      </c>
      <c r="C28" s="467"/>
      <c r="D28" s="467"/>
      <c r="E28" s="114"/>
      <c r="F28" s="114" t="s">
        <v>1180</v>
      </c>
      <c r="G28" s="114" t="s">
        <v>1484</v>
      </c>
      <c r="H28" s="114" t="s">
        <v>702</v>
      </c>
      <c r="I28" s="114"/>
      <c r="J28" s="100">
        <f>72.7/ATHENS!O1*ATHENS!O2</f>
        <v>132.18181818181819</v>
      </c>
      <c r="K28" s="100">
        <f>104.5/ATHENS!O1*ATHENS!O2</f>
        <v>189.99999999999997</v>
      </c>
      <c r="L28" s="100">
        <f>138.5/ATHENS!O1*ATHENS!O2</f>
        <v>251.81818181818178</v>
      </c>
      <c r="M28" s="126"/>
      <c r="N28" s="126"/>
    </row>
    <row r="29" spans="1:14" x14ac:dyDescent="0.2">
      <c r="A29" s="116"/>
      <c r="B29" s="461" t="s">
        <v>67</v>
      </c>
      <c r="C29" s="461"/>
      <c r="D29" s="461"/>
      <c r="E29" s="120"/>
      <c r="F29" s="120" t="s">
        <v>1181</v>
      </c>
      <c r="G29" s="120" t="s">
        <v>1484</v>
      </c>
      <c r="H29" s="120" t="s">
        <v>702</v>
      </c>
      <c r="I29" s="120"/>
      <c r="J29" s="100">
        <f>43.7/ATHENS!O1*ATHENS!O2</f>
        <v>79.454545454545453</v>
      </c>
      <c r="K29" s="100">
        <f>61.5/ATHENS!O1*ATHENS!O2</f>
        <v>111.81818181818181</v>
      </c>
      <c r="L29" s="100">
        <f>83.6/ATHENS!O1*ATHENS!O2</f>
        <v>151.99999999999997</v>
      </c>
      <c r="M29" s="100"/>
      <c r="N29" s="100"/>
    </row>
    <row r="30" spans="1:14" ht="13.5" thickBot="1" x14ac:dyDescent="0.25">
      <c r="A30" s="121"/>
      <c r="B30" s="460" t="s">
        <v>67</v>
      </c>
      <c r="C30" s="460"/>
      <c r="D30" s="460"/>
      <c r="E30" s="123"/>
      <c r="F30" s="123" t="s">
        <v>1182</v>
      </c>
      <c r="G30" s="123" t="s">
        <v>1484</v>
      </c>
      <c r="H30" s="123" t="s">
        <v>702</v>
      </c>
      <c r="I30" s="123"/>
      <c r="J30" s="105">
        <f>39.5/ATHENS!O1*ATHENS!O2</f>
        <v>71.818181818181813</v>
      </c>
      <c r="K30" s="105">
        <f>55.5/ATHENS!O1*ATHENS!O2</f>
        <v>100.90909090909091</v>
      </c>
      <c r="L30" s="105">
        <f>75.5/ATHENS!O1*ATHENS!O2</f>
        <v>137.27272727272725</v>
      </c>
      <c r="M30" s="105"/>
      <c r="N30" s="105"/>
    </row>
    <row r="31" spans="1:14" ht="9" customHeight="1" x14ac:dyDescent="0.2">
      <c r="A31" s="108"/>
      <c r="B31" s="138"/>
      <c r="C31" s="138"/>
      <c r="D31" s="138"/>
      <c r="E31" s="139"/>
      <c r="F31" s="139"/>
      <c r="G31" s="139"/>
      <c r="H31" s="139"/>
      <c r="I31" s="139"/>
      <c r="J31" s="139"/>
      <c r="K31" s="139"/>
      <c r="L31" s="139"/>
      <c r="M31" s="139"/>
      <c r="N31" s="139"/>
    </row>
    <row r="32" spans="1:14" ht="11.25" customHeight="1" thickBot="1" x14ac:dyDescent="0.25">
      <c r="A32" s="108"/>
      <c r="B32" s="138"/>
      <c r="C32" s="138"/>
      <c r="D32" s="138"/>
      <c r="E32" s="139"/>
      <c r="F32" s="139"/>
      <c r="G32" s="139"/>
      <c r="H32" s="139"/>
      <c r="I32" s="139"/>
      <c r="J32" s="139"/>
      <c r="K32" s="139"/>
      <c r="L32" s="139"/>
      <c r="M32" s="139"/>
      <c r="N32" s="139"/>
    </row>
    <row r="33" spans="1:14" ht="13.5" thickBot="1" x14ac:dyDescent="0.25">
      <c r="A33" s="112"/>
      <c r="B33" s="113"/>
      <c r="C33" s="113"/>
      <c r="D33" s="113"/>
      <c r="E33" s="114"/>
      <c r="F33" s="114"/>
      <c r="G33" s="114"/>
      <c r="H33" s="114"/>
      <c r="I33" s="114"/>
      <c r="J33" s="114"/>
      <c r="K33" s="114"/>
      <c r="L33" s="114"/>
      <c r="M33" s="114"/>
      <c r="N33" s="115"/>
    </row>
    <row r="34" spans="1:14" ht="15.75" thickBot="1" x14ac:dyDescent="0.25">
      <c r="A34" s="116"/>
      <c r="B34" s="484" t="s">
        <v>333</v>
      </c>
      <c r="C34" s="485"/>
      <c r="D34" s="485"/>
      <c r="E34" s="485"/>
      <c r="F34" s="485"/>
      <c r="G34" s="485"/>
      <c r="H34" s="485"/>
      <c r="I34" s="485"/>
      <c r="J34" s="485"/>
      <c r="K34" s="485"/>
      <c r="L34" s="485"/>
      <c r="M34" s="486"/>
      <c r="N34" s="117" t="s">
        <v>96</v>
      </c>
    </row>
    <row r="35" spans="1:14" x14ac:dyDescent="0.2">
      <c r="A35" s="116"/>
      <c r="B35" s="118" t="s">
        <v>428</v>
      </c>
      <c r="C35" s="119" t="s">
        <v>334</v>
      </c>
      <c r="D35" s="119"/>
      <c r="E35" s="120"/>
      <c r="F35" s="120"/>
      <c r="G35" s="120"/>
      <c r="H35" s="120"/>
      <c r="I35" s="120"/>
      <c r="J35" s="120"/>
      <c r="K35" s="120"/>
      <c r="L35" s="120"/>
      <c r="M35" s="120"/>
      <c r="N35" s="101"/>
    </row>
    <row r="36" spans="1:14" x14ac:dyDescent="0.2">
      <c r="A36" s="116"/>
      <c r="B36" s="118" t="s">
        <v>429</v>
      </c>
      <c r="C36" s="119" t="s">
        <v>724</v>
      </c>
      <c r="D36" s="119"/>
      <c r="E36" s="120"/>
      <c r="F36" s="120"/>
      <c r="G36" s="120"/>
      <c r="H36" s="120"/>
      <c r="I36" s="120"/>
      <c r="J36" s="120"/>
      <c r="K36" s="120"/>
      <c r="L36" s="120"/>
      <c r="M36" s="120"/>
      <c r="N36" s="101"/>
    </row>
    <row r="37" spans="1:14" x14ac:dyDescent="0.2">
      <c r="A37" s="116"/>
      <c r="B37" s="118" t="s">
        <v>427</v>
      </c>
      <c r="C37" s="465" t="s">
        <v>335</v>
      </c>
      <c r="D37" s="465"/>
      <c r="E37" s="465"/>
      <c r="F37" s="465"/>
      <c r="G37" s="465"/>
      <c r="H37" s="465"/>
      <c r="I37" s="465"/>
      <c r="J37" s="465"/>
      <c r="K37" s="465"/>
      <c r="L37" s="465"/>
      <c r="M37" s="465"/>
      <c r="N37" s="466"/>
    </row>
    <row r="38" spans="1:14" x14ac:dyDescent="0.2">
      <c r="A38" s="116"/>
      <c r="B38" s="118"/>
      <c r="C38" s="465"/>
      <c r="D38" s="465"/>
      <c r="E38" s="465"/>
      <c r="F38" s="465"/>
      <c r="G38" s="465"/>
      <c r="H38" s="465"/>
      <c r="I38" s="465"/>
      <c r="J38" s="465"/>
      <c r="K38" s="465"/>
      <c r="L38" s="465"/>
      <c r="M38" s="465"/>
      <c r="N38" s="466"/>
    </row>
    <row r="39" spans="1:14" ht="13.5" thickBot="1" x14ac:dyDescent="0.25">
      <c r="A39" s="116"/>
      <c r="B39" s="109"/>
      <c r="C39" s="465"/>
      <c r="D39" s="465"/>
      <c r="E39" s="465"/>
      <c r="F39" s="465"/>
      <c r="G39" s="465"/>
      <c r="H39" s="465"/>
      <c r="I39" s="465"/>
      <c r="J39" s="465"/>
      <c r="K39" s="465"/>
      <c r="L39" s="465"/>
      <c r="M39" s="465"/>
      <c r="N39" s="466"/>
    </row>
    <row r="40" spans="1:14" ht="13.5" thickBot="1" x14ac:dyDescent="0.25">
      <c r="A40" s="112"/>
      <c r="B40" s="113" t="s">
        <v>263</v>
      </c>
      <c r="C40" s="113"/>
      <c r="D40" s="113"/>
      <c r="E40" s="114"/>
      <c r="F40" s="114"/>
      <c r="G40" s="114"/>
      <c r="H40" s="114"/>
      <c r="I40" s="114"/>
      <c r="J40" s="127" t="s">
        <v>758</v>
      </c>
      <c r="K40" s="105" t="s">
        <v>279</v>
      </c>
      <c r="L40" s="126"/>
      <c r="M40" s="126"/>
      <c r="N40" s="126"/>
    </row>
    <row r="41" spans="1:14" ht="13.5" thickBot="1" x14ac:dyDescent="0.25">
      <c r="A41" s="121"/>
      <c r="B41" s="122"/>
      <c r="C41" s="122"/>
      <c r="D41" s="122"/>
      <c r="E41" s="123"/>
      <c r="F41" s="123"/>
      <c r="G41" s="123"/>
      <c r="H41" s="123"/>
      <c r="I41" s="123"/>
      <c r="J41" s="125" t="s">
        <v>481</v>
      </c>
      <c r="K41" s="141" t="s">
        <v>832</v>
      </c>
      <c r="L41" s="105" t="s">
        <v>1341</v>
      </c>
      <c r="M41" s="105" t="s">
        <v>123</v>
      </c>
      <c r="N41" s="105"/>
    </row>
    <row r="42" spans="1:14" x14ac:dyDescent="0.2">
      <c r="A42" s="112"/>
      <c r="B42" s="467" t="s">
        <v>67</v>
      </c>
      <c r="C42" s="467"/>
      <c r="D42" s="467"/>
      <c r="E42" s="114"/>
      <c r="F42" s="114" t="s">
        <v>1181</v>
      </c>
      <c r="G42" s="114" t="s">
        <v>1487</v>
      </c>
      <c r="H42" s="114" t="s">
        <v>702</v>
      </c>
      <c r="I42" s="114"/>
      <c r="J42" s="100">
        <f>34.7/ATHENS!O1*ATHENS!O2</f>
        <v>63.090909090909093</v>
      </c>
      <c r="K42" s="100">
        <f>56.7/ATHENS!O1*ATHENS!O2</f>
        <v>103.09090909090909</v>
      </c>
      <c r="L42" s="100">
        <f>67.5/ATHENS!O1*ATHENS!O2</f>
        <v>122.72727272727272</v>
      </c>
      <c r="M42" s="100">
        <f>79.9/ATHENS!O1*ATHENS!O2</f>
        <v>145.27272727272728</v>
      </c>
      <c r="N42" s="126"/>
    </row>
    <row r="43" spans="1:14" ht="13.5" thickBot="1" x14ac:dyDescent="0.25">
      <c r="A43" s="121"/>
      <c r="B43" s="460" t="s">
        <v>67</v>
      </c>
      <c r="C43" s="460"/>
      <c r="D43" s="460"/>
      <c r="E43" s="123"/>
      <c r="F43" s="123" t="s">
        <v>1182</v>
      </c>
      <c r="G43" s="123" t="s">
        <v>1487</v>
      </c>
      <c r="H43" s="123" t="s">
        <v>702</v>
      </c>
      <c r="I43" s="123"/>
      <c r="J43" s="105">
        <f>31.5/ATHENS!O1*ATHENS!O2</f>
        <v>57.272727272727266</v>
      </c>
      <c r="K43" s="105">
        <f>51.5/ATHENS!O1*ATHENS!O2</f>
        <v>93.636363636363626</v>
      </c>
      <c r="L43" s="105">
        <f>60.8/ATHENS!O1*ATHENS!O2</f>
        <v>110.54545454545453</v>
      </c>
      <c r="M43" s="105">
        <f>71.9/ATHENS!O1*ATHENS!O2</f>
        <v>130.72727272727272</v>
      </c>
      <c r="N43" s="105"/>
    </row>
    <row r="44" spans="1:14" ht="14.25" customHeight="1" x14ac:dyDescent="0.2">
      <c r="A44" s="239"/>
      <c r="B44" s="119"/>
      <c r="C44" s="119"/>
      <c r="D44" s="119"/>
      <c r="E44" s="120"/>
      <c r="F44" s="120"/>
      <c r="G44" s="120"/>
      <c r="H44" s="120"/>
      <c r="I44" s="120"/>
      <c r="J44" s="120"/>
      <c r="K44" s="120"/>
      <c r="L44" s="120"/>
      <c r="M44" s="120"/>
      <c r="N44" s="120"/>
    </row>
    <row r="45" spans="1:14" ht="14.25" customHeight="1" x14ac:dyDescent="0.2">
      <c r="A45" s="239"/>
      <c r="B45" s="119"/>
      <c r="C45" s="119"/>
      <c r="D45" s="119"/>
      <c r="E45" s="120"/>
      <c r="F45" s="120"/>
      <c r="G45" s="120"/>
      <c r="H45" s="120"/>
      <c r="I45" s="120"/>
      <c r="J45" s="120"/>
      <c r="K45" s="120"/>
      <c r="L45" s="120"/>
      <c r="M45" s="120"/>
      <c r="N45" s="120"/>
    </row>
    <row r="46" spans="1:14" ht="14.25" customHeight="1" x14ac:dyDescent="0.2">
      <c r="A46" s="239"/>
      <c r="B46" s="119"/>
      <c r="C46" s="119"/>
      <c r="D46" s="119"/>
      <c r="E46" s="120"/>
      <c r="F46" s="120"/>
      <c r="G46" s="120"/>
      <c r="H46" s="120"/>
      <c r="I46" s="120"/>
      <c r="J46" s="120"/>
      <c r="K46" s="120"/>
      <c r="L46" s="120"/>
      <c r="M46" s="120"/>
      <c r="N46" s="120"/>
    </row>
    <row r="47" spans="1:14" ht="14.25" customHeight="1" x14ac:dyDescent="0.2">
      <c r="A47" s="239"/>
      <c r="B47" s="119"/>
      <c r="C47" s="119"/>
      <c r="D47" s="119"/>
      <c r="E47" s="120"/>
      <c r="F47" s="120"/>
      <c r="G47" s="120"/>
      <c r="H47" s="120"/>
      <c r="I47" s="120"/>
      <c r="J47" s="120"/>
      <c r="K47" s="120"/>
      <c r="L47" s="120"/>
      <c r="M47" s="120"/>
      <c r="N47" s="120"/>
    </row>
    <row r="48" spans="1:14" ht="14.25" customHeight="1" x14ac:dyDescent="0.2">
      <c r="A48" s="239"/>
      <c r="B48" s="119"/>
      <c r="C48" s="119"/>
      <c r="D48" s="119"/>
      <c r="E48" s="120"/>
      <c r="F48" s="120"/>
      <c r="G48" s="120"/>
      <c r="H48" s="120"/>
      <c r="I48" s="120"/>
      <c r="J48" s="120"/>
      <c r="K48" s="120"/>
      <c r="L48" s="120"/>
      <c r="M48" s="120"/>
      <c r="N48" s="120"/>
    </row>
    <row r="49" spans="1:14" ht="14.25" customHeight="1" x14ac:dyDescent="0.2">
      <c r="A49" s="239"/>
      <c r="B49" s="119"/>
      <c r="C49" s="119"/>
      <c r="D49" s="119"/>
      <c r="E49" s="120"/>
      <c r="F49" s="120"/>
      <c r="G49" s="120"/>
      <c r="H49" s="120"/>
      <c r="I49" s="120"/>
      <c r="J49" s="120"/>
      <c r="K49" s="120"/>
      <c r="L49" s="120"/>
      <c r="M49" s="120"/>
      <c r="N49" s="120"/>
    </row>
    <row r="50" spans="1:14" ht="14.25" customHeight="1" x14ac:dyDescent="0.2">
      <c r="A50" s="239"/>
      <c r="B50" s="119"/>
      <c r="C50" s="119"/>
      <c r="D50" s="119"/>
      <c r="E50" s="120"/>
      <c r="F50" s="120"/>
      <c r="G50" s="120"/>
      <c r="H50" s="120"/>
      <c r="I50" s="120"/>
      <c r="J50" s="120"/>
      <c r="K50" s="120"/>
      <c r="L50" s="120"/>
      <c r="M50" s="120"/>
      <c r="N50" s="120"/>
    </row>
    <row r="51" spans="1:14" ht="14.25" customHeight="1" x14ac:dyDescent="0.2">
      <c r="A51" s="239"/>
      <c r="B51" s="119"/>
      <c r="C51" s="119"/>
      <c r="D51" s="119"/>
      <c r="E51" s="120"/>
      <c r="F51" s="120"/>
      <c r="G51" s="120"/>
      <c r="H51" s="120"/>
      <c r="I51" s="120"/>
      <c r="J51" s="120"/>
      <c r="K51" s="120"/>
      <c r="L51" s="120"/>
      <c r="M51" s="120"/>
      <c r="N51" s="120"/>
    </row>
    <row r="52" spans="1:14" ht="14.25" customHeight="1" x14ac:dyDescent="0.2">
      <c r="A52" s="239"/>
      <c r="B52" s="119"/>
      <c r="C52" s="119"/>
      <c r="D52" s="119"/>
      <c r="E52" s="120"/>
      <c r="F52" s="120"/>
      <c r="G52" s="120"/>
      <c r="H52" s="120"/>
      <c r="I52" s="120"/>
      <c r="J52" s="120"/>
      <c r="K52" s="120"/>
      <c r="L52" s="120"/>
      <c r="M52" s="120"/>
      <c r="N52" s="120"/>
    </row>
    <row r="53" spans="1:14" ht="14.25" customHeight="1" x14ac:dyDescent="0.2">
      <c r="A53" s="239"/>
      <c r="B53" s="119"/>
      <c r="C53" s="119"/>
      <c r="D53" s="119"/>
      <c r="E53" s="120"/>
      <c r="F53" s="120"/>
      <c r="G53" s="120"/>
      <c r="H53" s="120"/>
      <c r="I53" s="120"/>
      <c r="J53" s="120"/>
      <c r="K53" s="120"/>
      <c r="L53" s="120"/>
      <c r="M53" s="120"/>
      <c r="N53" s="120"/>
    </row>
    <row r="54" spans="1:14" ht="14.25" customHeight="1" x14ac:dyDescent="0.2">
      <c r="A54" s="239"/>
      <c r="B54" s="119"/>
      <c r="C54" s="119"/>
      <c r="D54" s="119"/>
      <c r="E54" s="120"/>
      <c r="F54" s="120"/>
      <c r="G54" s="120"/>
      <c r="H54" s="120"/>
      <c r="I54" s="120"/>
      <c r="J54" s="120"/>
      <c r="K54" s="120"/>
      <c r="L54" s="120"/>
      <c r="M54" s="120"/>
      <c r="N54" s="120"/>
    </row>
    <row r="55" spans="1:14" ht="14.25" customHeight="1" x14ac:dyDescent="0.2">
      <c r="A55" s="239"/>
      <c r="B55" s="119"/>
      <c r="C55" s="119"/>
      <c r="D55" s="119"/>
      <c r="E55" s="120"/>
      <c r="F55" s="120"/>
      <c r="G55" s="120"/>
      <c r="H55" s="120"/>
      <c r="I55" s="120"/>
      <c r="J55" s="120"/>
      <c r="K55" s="120"/>
      <c r="L55" s="120"/>
      <c r="M55" s="120"/>
      <c r="N55" s="120"/>
    </row>
    <row r="56" spans="1:14" ht="14.25" customHeight="1" x14ac:dyDescent="0.2">
      <c r="A56" s="239"/>
      <c r="B56" s="119"/>
      <c r="C56" s="119"/>
      <c r="D56" s="119"/>
      <c r="E56" s="120"/>
      <c r="F56" s="120"/>
      <c r="G56" s="120"/>
      <c r="H56" s="120"/>
      <c r="I56" s="120"/>
      <c r="J56" s="120"/>
      <c r="K56" s="120"/>
      <c r="L56" s="120"/>
      <c r="M56" s="120"/>
      <c r="N56" s="120"/>
    </row>
    <row r="57" spans="1:14" ht="14.25" customHeight="1" x14ac:dyDescent="0.2">
      <c r="A57" s="239"/>
      <c r="B57" s="119"/>
      <c r="C57" s="119"/>
      <c r="D57" s="119"/>
      <c r="E57" s="120"/>
      <c r="F57" s="120"/>
      <c r="G57" s="120"/>
      <c r="H57" s="120"/>
      <c r="I57" s="120"/>
      <c r="J57" s="120"/>
      <c r="K57" s="120"/>
      <c r="L57" s="120"/>
      <c r="M57" s="120"/>
      <c r="N57" s="120"/>
    </row>
    <row r="58" spans="1:14" x14ac:dyDescent="0.2">
      <c r="A58" s="239"/>
      <c r="B58" s="119"/>
      <c r="C58" s="119"/>
      <c r="D58" s="119"/>
      <c r="E58" s="120"/>
      <c r="F58" s="120"/>
      <c r="G58" s="120"/>
      <c r="H58" s="120"/>
      <c r="I58" s="120"/>
      <c r="J58" s="120"/>
      <c r="K58" s="120"/>
      <c r="L58" s="120"/>
      <c r="M58" s="120"/>
      <c r="N58" s="120"/>
    </row>
    <row r="59" spans="1:14" ht="13.5" thickBot="1" x14ac:dyDescent="0.25">
      <c r="A59" s="239"/>
      <c r="B59" s="119"/>
      <c r="C59" s="119"/>
      <c r="D59" s="119"/>
      <c r="E59" s="120"/>
      <c r="F59" s="120"/>
      <c r="G59" s="120"/>
      <c r="H59" s="120"/>
      <c r="I59" s="120"/>
      <c r="J59" s="120"/>
      <c r="K59" s="120"/>
      <c r="L59" s="120"/>
      <c r="M59" s="120"/>
      <c r="N59" s="120"/>
    </row>
    <row r="60" spans="1:14" x14ac:dyDescent="0.2">
      <c r="A60" s="20"/>
      <c r="B60" s="21"/>
      <c r="C60" s="21"/>
      <c r="D60" s="21"/>
      <c r="E60" s="22"/>
      <c r="F60" s="22"/>
      <c r="G60" s="22"/>
      <c r="H60" s="22"/>
      <c r="I60" s="22"/>
      <c r="J60" s="22"/>
      <c r="K60" s="22"/>
      <c r="L60" s="22"/>
      <c r="M60" s="22"/>
      <c r="N60" s="23"/>
    </row>
    <row r="61" spans="1:14" ht="15" x14ac:dyDescent="0.2">
      <c r="A61" s="24"/>
      <c r="B61" s="440" t="s">
        <v>1741</v>
      </c>
      <c r="C61" s="441"/>
      <c r="D61" s="441"/>
      <c r="E61" s="441"/>
      <c r="F61" s="441"/>
      <c r="G61" s="441"/>
      <c r="H61" s="441"/>
      <c r="I61" s="441"/>
      <c r="J61" s="441"/>
      <c r="K61" s="441"/>
      <c r="L61" s="441"/>
      <c r="M61" s="442"/>
      <c r="N61" s="25" t="s">
        <v>96</v>
      </c>
    </row>
    <row r="62" spans="1:14" x14ac:dyDescent="0.2">
      <c r="A62" s="24"/>
      <c r="B62" s="26" t="s">
        <v>428</v>
      </c>
      <c r="C62" s="27" t="s">
        <v>1744</v>
      </c>
      <c r="D62" s="27"/>
      <c r="E62" s="28"/>
      <c r="F62" s="28"/>
      <c r="G62" s="28"/>
      <c r="H62" s="28"/>
      <c r="I62" s="28"/>
      <c r="J62" s="28"/>
      <c r="K62" s="28"/>
      <c r="L62" s="28"/>
      <c r="M62" s="28"/>
      <c r="N62" s="29"/>
    </row>
    <row r="63" spans="1:14" x14ac:dyDescent="0.2">
      <c r="A63" s="24"/>
      <c r="B63" s="26" t="s">
        <v>429</v>
      </c>
      <c r="C63" s="27" t="s">
        <v>1742</v>
      </c>
      <c r="D63" s="27"/>
      <c r="E63" s="28"/>
      <c r="F63" s="28"/>
      <c r="G63" s="28"/>
      <c r="H63" s="28"/>
      <c r="I63" s="28"/>
      <c r="J63" s="28"/>
      <c r="K63" s="28"/>
      <c r="L63" s="28"/>
      <c r="M63" s="28"/>
      <c r="N63" s="29"/>
    </row>
    <row r="64" spans="1:14" x14ac:dyDescent="0.2">
      <c r="A64" s="24"/>
      <c r="B64" s="26" t="s">
        <v>427</v>
      </c>
      <c r="C64" s="436" t="s">
        <v>1743</v>
      </c>
      <c r="D64" s="436"/>
      <c r="E64" s="436"/>
      <c r="F64" s="436"/>
      <c r="G64" s="436"/>
      <c r="H64" s="436"/>
      <c r="I64" s="436"/>
      <c r="J64" s="436"/>
      <c r="K64" s="436"/>
      <c r="L64" s="436"/>
      <c r="M64" s="436"/>
      <c r="N64" s="437"/>
    </row>
    <row r="65" spans="1:14" x14ac:dyDescent="0.2">
      <c r="A65" s="24"/>
      <c r="B65" s="27"/>
      <c r="C65" s="436"/>
      <c r="D65" s="436"/>
      <c r="E65" s="436"/>
      <c r="F65" s="436"/>
      <c r="G65" s="436"/>
      <c r="H65" s="436"/>
      <c r="I65" s="436"/>
      <c r="J65" s="436"/>
      <c r="K65" s="436"/>
      <c r="L65" s="436"/>
      <c r="M65" s="436"/>
      <c r="N65" s="437"/>
    </row>
    <row r="66" spans="1:14" x14ac:dyDescent="0.2">
      <c r="A66" s="24"/>
      <c r="B66" s="26" t="s">
        <v>426</v>
      </c>
      <c r="C66" s="27"/>
      <c r="D66" s="27"/>
      <c r="E66" s="28"/>
      <c r="F66" s="28"/>
      <c r="G66" s="28"/>
      <c r="H66" s="28"/>
      <c r="I66" s="28"/>
      <c r="J66" s="28"/>
      <c r="K66" s="28"/>
      <c r="L66" s="28"/>
      <c r="M66" s="28"/>
      <c r="N66" s="29"/>
    </row>
    <row r="67" spans="1:14" ht="13.5" thickBot="1" x14ac:dyDescent="0.25">
      <c r="A67" s="30"/>
      <c r="B67" s="26" t="s">
        <v>430</v>
      </c>
      <c r="C67" s="31"/>
      <c r="D67" s="31"/>
      <c r="E67" s="32"/>
      <c r="F67" s="32"/>
      <c r="G67" s="32"/>
      <c r="H67" s="32"/>
      <c r="I67" s="32"/>
      <c r="J67" s="32"/>
      <c r="K67" s="32"/>
      <c r="L67" s="32"/>
      <c r="M67" s="32"/>
      <c r="N67" s="33"/>
    </row>
    <row r="68" spans="1:14" x14ac:dyDescent="0.2">
      <c r="A68" s="24"/>
      <c r="B68" s="21" t="s">
        <v>263</v>
      </c>
      <c r="C68" s="27"/>
      <c r="D68" s="27"/>
      <c r="E68" s="28"/>
      <c r="F68" s="28"/>
      <c r="G68" s="28"/>
      <c r="H68" s="28"/>
      <c r="I68" s="28"/>
      <c r="J68" s="67" t="s">
        <v>397</v>
      </c>
      <c r="K68" s="63" t="s">
        <v>1965</v>
      </c>
      <c r="L68" s="63" t="s">
        <v>279</v>
      </c>
      <c r="M68" s="63" t="s">
        <v>1341</v>
      </c>
      <c r="N68" s="63"/>
    </row>
    <row r="69" spans="1:14" ht="13.5" thickBot="1" x14ac:dyDescent="0.25">
      <c r="A69" s="30"/>
      <c r="B69" s="31"/>
      <c r="C69" s="31"/>
      <c r="D69" s="31"/>
      <c r="E69" s="32"/>
      <c r="F69" s="32"/>
      <c r="G69" s="32"/>
      <c r="H69" s="32"/>
      <c r="I69" s="32"/>
      <c r="J69" s="49" t="s">
        <v>756</v>
      </c>
      <c r="K69" s="40" t="s">
        <v>282</v>
      </c>
      <c r="L69" s="40" t="s">
        <v>1223</v>
      </c>
      <c r="M69" s="40" t="s">
        <v>1588</v>
      </c>
      <c r="N69" s="40" t="s">
        <v>757</v>
      </c>
    </row>
    <row r="70" spans="1:14" x14ac:dyDescent="0.2">
      <c r="A70" s="20"/>
      <c r="B70" s="434" t="s">
        <v>67</v>
      </c>
      <c r="C70" s="434"/>
      <c r="D70" s="434"/>
      <c r="E70" s="22"/>
      <c r="F70" s="22" t="s">
        <v>1180</v>
      </c>
      <c r="G70" s="22" t="s">
        <v>1964</v>
      </c>
      <c r="H70" s="22" t="s">
        <v>702</v>
      </c>
      <c r="I70" s="28"/>
      <c r="J70" s="75">
        <f>120/ATHENS!O1*ATHENS!O2</f>
        <v>218.18181818181816</v>
      </c>
      <c r="K70" s="75">
        <f>150/ATHENS!O1*ATHENS!O2</f>
        <v>272.72727272727269</v>
      </c>
      <c r="L70" s="44">
        <f>200/ATHENS!O1*ATHENS!O2</f>
        <v>363.63636363636363</v>
      </c>
      <c r="M70" s="42">
        <f>220/ATHENS!O1*ATHENS!O2</f>
        <v>399.99999999999994</v>
      </c>
      <c r="N70" s="42">
        <f>240/ATHENS!O1*ATHENS!O2</f>
        <v>436.36363636363632</v>
      </c>
    </row>
    <row r="71" spans="1:14" x14ac:dyDescent="0.2">
      <c r="A71" s="24"/>
      <c r="B71" s="435" t="s">
        <v>67</v>
      </c>
      <c r="C71" s="435"/>
      <c r="D71" s="435"/>
      <c r="E71" s="28"/>
      <c r="F71" s="28" t="s">
        <v>1181</v>
      </c>
      <c r="G71" s="28" t="s">
        <v>1964</v>
      </c>
      <c r="H71" s="28" t="s">
        <v>702</v>
      </c>
      <c r="I71" s="28"/>
      <c r="J71" s="75">
        <f>60/ATHENS!O1*ATHENS!O2</f>
        <v>109.09090909090908</v>
      </c>
      <c r="K71" s="75">
        <f>75/ATHENS!O1*ATHENS!O2</f>
        <v>136.36363636363635</v>
      </c>
      <c r="L71" s="44">
        <f>100/ATHENS!O1*ATHENS!O2</f>
        <v>181.81818181818181</v>
      </c>
      <c r="M71" s="44">
        <f>110/ATHENS!O1*ATHENS!O2</f>
        <v>199.99999999999997</v>
      </c>
      <c r="N71" s="44">
        <f>120/ATHENS!O1*ATHENS!O2</f>
        <v>218.18181818181816</v>
      </c>
    </row>
    <row r="72" spans="1:14" ht="13.5" thickBot="1" x14ac:dyDescent="0.25">
      <c r="A72" s="30"/>
      <c r="B72" s="443" t="s">
        <v>67</v>
      </c>
      <c r="C72" s="443"/>
      <c r="D72" s="443"/>
      <c r="E72" s="32"/>
      <c r="F72" s="89" t="s">
        <v>1182</v>
      </c>
      <c r="G72" s="89" t="s">
        <v>1964</v>
      </c>
      <c r="H72" s="32" t="s">
        <v>702</v>
      </c>
      <c r="I72" s="32"/>
      <c r="J72" s="76">
        <f>55/ATHENS!O1*ATHENS!O2</f>
        <v>99.999999999999986</v>
      </c>
      <c r="K72" s="76">
        <f>69/ATHENS!O1*ATHENS!O2</f>
        <v>125.45454545454544</v>
      </c>
      <c r="L72" s="46">
        <f>92/ATHENS!O1*ATHENS!O2</f>
        <v>167.27272727272725</v>
      </c>
      <c r="M72" s="46">
        <f>101/ATHENS!O1*ATHENS!O2</f>
        <v>183.63636363636363</v>
      </c>
      <c r="N72" s="46">
        <f>110/ATHENS!O1*ATHENS!O2</f>
        <v>199.99999999999997</v>
      </c>
    </row>
    <row r="73" spans="1:14" x14ac:dyDescent="0.2">
      <c r="A73" s="239"/>
      <c r="B73" s="119"/>
      <c r="C73" s="119"/>
      <c r="D73" s="119"/>
      <c r="E73" s="120"/>
      <c r="F73" s="120"/>
      <c r="G73" s="120"/>
      <c r="H73" s="120"/>
      <c r="I73" s="120"/>
      <c r="J73" s="120"/>
      <c r="K73" s="120"/>
      <c r="L73" s="120"/>
      <c r="M73" s="120"/>
      <c r="N73" s="120"/>
    </row>
  </sheetData>
  <customSheetViews>
    <customSheetView guid="{3C76061C-A85D-4390-B9DB-73E13038638C}" showPageBreaks="1" showGridLines="0" view="pageLayout">
      <selection activeCell="M51" sqref="M51"/>
      <pageMargins left="0.28125" right="0.25" top="0.6692913385826772" bottom="0.70866141732283472" header="0.23622047244094491" footer="0.47244094488188981"/>
      <printOptions horizontalCentered="1"/>
      <pageSetup paperSize="9" firstPageNumber="116"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19">
    <mergeCell ref="B70:D70"/>
    <mergeCell ref="B71:D71"/>
    <mergeCell ref="B72:D72"/>
    <mergeCell ref="B4:M4"/>
    <mergeCell ref="C7:N8"/>
    <mergeCell ref="B13:D13"/>
    <mergeCell ref="B29:D29"/>
    <mergeCell ref="B19:M19"/>
    <mergeCell ref="C22:N25"/>
    <mergeCell ref="B28:D28"/>
    <mergeCell ref="B30:D30"/>
    <mergeCell ref="B14:D14"/>
    <mergeCell ref="B15:D15"/>
    <mergeCell ref="B61:M61"/>
    <mergeCell ref="C64:N65"/>
    <mergeCell ref="C37:N39"/>
    <mergeCell ref="B42:D42"/>
    <mergeCell ref="B43:D43"/>
    <mergeCell ref="B34:M34"/>
  </mergeCells>
  <phoneticPr fontId="17" type="noConversion"/>
  <hyperlinks>
    <hyperlink ref="B19:M19" r:id="rId2" display="Mediterranean Beach Resort" xr:uid="{00000000-0004-0000-2800-000000000000}"/>
    <hyperlink ref="B34:M34" r:id="rId3" display="Diana Palace" xr:uid="{00000000-0004-0000-2800-000001000000}"/>
    <hyperlink ref="B4:M4" r:id="rId4" display="Galaxy" xr:uid="{00000000-0004-0000-2800-000002000000}"/>
    <hyperlink ref="B61:M61" r:id="rId5" display="Miro Zante Royal Resort " xr:uid="{00000000-0004-0000-2800-000003000000}"/>
  </hyperlinks>
  <printOptions horizontalCentered="1"/>
  <pageMargins left="0.28125" right="0.25" top="0.6692913385826772" bottom="0.70866141732283472" header="0.23622047244094491" footer="0.47244094488188981"/>
  <pageSetup paperSize="9" firstPageNumber="116" orientation="portrait" useFirstPageNumber="1" horizontalDpi="300" verticalDpi="300" r:id="rId6"/>
  <headerFooter scaleWithDoc="0" alignWithMargins="0">
    <oddHeader xml:space="preserve">&amp;C TARIFF 2021
 (EURO)
</oddHeader>
    <oddFooter>&amp;LAll rates are in EURO&amp;C
TARIFF 2021
&amp;RPage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Φύλλο4"/>
  <dimension ref="C2:J54"/>
  <sheetViews>
    <sheetView showGridLines="0" view="pageLayout" workbookViewId="0">
      <selection activeCell="M53" sqref="M53"/>
    </sheetView>
  </sheetViews>
  <sheetFormatPr defaultRowHeight="12.75" x14ac:dyDescent="0.2"/>
  <cols>
    <col min="1" max="1" width="5" customWidth="1"/>
    <col min="2" max="2" width="4.5703125" customWidth="1"/>
    <col min="4" max="5" width="5.85546875" customWidth="1"/>
  </cols>
  <sheetData>
    <row r="2" spans="3:8" x14ac:dyDescent="0.2">
      <c r="C2" s="387" t="s">
        <v>688</v>
      </c>
      <c r="D2" s="387"/>
      <c r="E2" s="387"/>
      <c r="F2" s="387"/>
      <c r="G2" s="387"/>
      <c r="H2" s="387"/>
    </row>
    <row r="3" spans="3:8" x14ac:dyDescent="0.2">
      <c r="C3" s="387"/>
      <c r="D3" s="387"/>
      <c r="E3" s="387"/>
      <c r="F3" s="387"/>
      <c r="G3" s="387"/>
      <c r="H3" s="387"/>
    </row>
    <row r="6" spans="3:8" ht="15" x14ac:dyDescent="0.2">
      <c r="E6" s="7" t="s">
        <v>689</v>
      </c>
    </row>
    <row r="8" spans="3:8" x14ac:dyDescent="0.2">
      <c r="E8" s="1" t="s">
        <v>692</v>
      </c>
      <c r="F8" s="8" t="s">
        <v>697</v>
      </c>
    </row>
    <row r="9" spans="3:8" x14ac:dyDescent="0.2">
      <c r="E9" s="1" t="s">
        <v>693</v>
      </c>
      <c r="F9" s="8" t="s">
        <v>698</v>
      </c>
    </row>
    <row r="10" spans="3:8" x14ac:dyDescent="0.2">
      <c r="E10" s="1" t="s">
        <v>694</v>
      </c>
      <c r="F10" s="8" t="s">
        <v>699</v>
      </c>
    </row>
    <row r="11" spans="3:8" x14ac:dyDescent="0.2">
      <c r="E11" s="1" t="s">
        <v>695</v>
      </c>
      <c r="F11" s="8" t="s">
        <v>700</v>
      </c>
    </row>
    <row r="12" spans="3:8" ht="13.5" customHeight="1" x14ac:dyDescent="0.2">
      <c r="E12" s="1" t="s">
        <v>696</v>
      </c>
      <c r="F12" s="8" t="s">
        <v>701</v>
      </c>
    </row>
    <row r="13" spans="3:8" ht="13.5" customHeight="1" x14ac:dyDescent="0.2"/>
    <row r="14" spans="3:8" s="5" customFormat="1" ht="15" x14ac:dyDescent="0.2">
      <c r="E14" s="7" t="s">
        <v>690</v>
      </c>
    </row>
    <row r="15" spans="3:8" s="5" customFormat="1" x14ac:dyDescent="0.2">
      <c r="E15" s="6"/>
    </row>
    <row r="16" spans="3:8" x14ac:dyDescent="0.2">
      <c r="E16" s="1" t="s">
        <v>702</v>
      </c>
      <c r="F16" s="8" t="s">
        <v>1185</v>
      </c>
    </row>
    <row r="17" spans="5:8" x14ac:dyDescent="0.2">
      <c r="E17" s="1" t="s">
        <v>1184</v>
      </c>
      <c r="F17" s="8" t="s">
        <v>1186</v>
      </c>
    </row>
    <row r="19" spans="5:8" ht="15" x14ac:dyDescent="0.2">
      <c r="E19" s="7" t="s">
        <v>691</v>
      </c>
    </row>
    <row r="20" spans="5:8" x14ac:dyDescent="0.2">
      <c r="E20" s="6"/>
    </row>
    <row r="21" spans="5:8" x14ac:dyDescent="0.2">
      <c r="E21" s="1" t="s">
        <v>1180</v>
      </c>
      <c r="F21" s="8" t="s">
        <v>1187</v>
      </c>
    </row>
    <row r="22" spans="5:8" x14ac:dyDescent="0.2">
      <c r="E22" s="1" t="s">
        <v>1181</v>
      </c>
      <c r="F22" s="8" t="s">
        <v>1188</v>
      </c>
    </row>
    <row r="23" spans="5:8" x14ac:dyDescent="0.2">
      <c r="E23" s="1" t="s">
        <v>1182</v>
      </c>
      <c r="F23" s="8" t="s">
        <v>1189</v>
      </c>
    </row>
    <row r="24" spans="5:8" x14ac:dyDescent="0.2">
      <c r="E24" s="1" t="s">
        <v>1183</v>
      </c>
      <c r="F24" s="8" t="s">
        <v>1190</v>
      </c>
      <c r="H24" s="8"/>
    </row>
    <row r="26" spans="5:8" x14ac:dyDescent="0.2">
      <c r="E26" s="1" t="s">
        <v>703</v>
      </c>
      <c r="F26" s="8" t="s">
        <v>1191</v>
      </c>
    </row>
    <row r="27" spans="5:8" x14ac:dyDescent="0.2">
      <c r="E27" s="1" t="s">
        <v>704</v>
      </c>
      <c r="F27" s="8" t="s">
        <v>1192</v>
      </c>
    </row>
    <row r="28" spans="5:8" x14ac:dyDescent="0.2">
      <c r="E28" s="1" t="s">
        <v>705</v>
      </c>
      <c r="F28" s="8" t="s">
        <v>1193</v>
      </c>
    </row>
    <row r="29" spans="5:8" x14ac:dyDescent="0.2">
      <c r="E29" s="1" t="s">
        <v>706</v>
      </c>
      <c r="F29" s="8" t="s">
        <v>1194</v>
      </c>
      <c r="H29" s="8"/>
    </row>
    <row r="30" spans="5:8" x14ac:dyDescent="0.2">
      <c r="E30" s="1" t="s">
        <v>707</v>
      </c>
      <c r="F30" s="8" t="s">
        <v>1195</v>
      </c>
    </row>
    <row r="32" spans="5:8" x14ac:dyDescent="0.2">
      <c r="E32" s="1" t="s">
        <v>1196</v>
      </c>
      <c r="F32" s="8" t="s">
        <v>103</v>
      </c>
    </row>
    <row r="33" spans="5:6" x14ac:dyDescent="0.2">
      <c r="E33" s="1" t="s">
        <v>1197</v>
      </c>
      <c r="F33" s="8" t="s">
        <v>104</v>
      </c>
    </row>
    <row r="34" spans="5:6" x14ac:dyDescent="0.2">
      <c r="E34" s="1" t="s">
        <v>1198</v>
      </c>
      <c r="F34" s="8" t="s">
        <v>105</v>
      </c>
    </row>
    <row r="35" spans="5:6" x14ac:dyDescent="0.2">
      <c r="E35" s="1" t="s">
        <v>97</v>
      </c>
      <c r="F35" s="8" t="s">
        <v>106</v>
      </c>
    </row>
    <row r="37" spans="5:6" x14ac:dyDescent="0.2">
      <c r="E37" s="1" t="s">
        <v>98</v>
      </c>
      <c r="F37" s="8" t="s">
        <v>107</v>
      </c>
    </row>
    <row r="38" spans="5:6" x14ac:dyDescent="0.2">
      <c r="E38" s="1" t="s">
        <v>99</v>
      </c>
      <c r="F38" s="8" t="s">
        <v>108</v>
      </c>
    </row>
    <row r="39" spans="5:6" x14ac:dyDescent="0.2">
      <c r="E39" s="1" t="s">
        <v>100</v>
      </c>
      <c r="F39" s="8" t="s">
        <v>109</v>
      </c>
    </row>
    <row r="40" spans="5:6" x14ac:dyDescent="0.2">
      <c r="E40" s="1" t="s">
        <v>101</v>
      </c>
      <c r="F40" s="8" t="s">
        <v>110</v>
      </c>
    </row>
    <row r="54" spans="10:10" x14ac:dyDescent="0.2">
      <c r="J54" t="s">
        <v>676</v>
      </c>
    </row>
  </sheetData>
  <sheetProtection algorithmName="SHA-512" hashValue="4RFWhpdw8kNb0KA0Cthpov3+kFMGno7KzvpMEIQEdRVoPPtjICelnuPhb8TOedIO2/xjdDP89SIcivJitz6v8Q==" saltValue="0X08vzGlrtFkuZni0ZpwjQ==" spinCount="100000" sheet="1" objects="1" scenarios="1"/>
  <customSheetViews>
    <customSheetView guid="{3C76061C-A85D-4390-B9DB-73E13038638C}" showPageBreaks="1" showGridLines="0" view="pageLayout" topLeftCell="A37">
      <selection activeCell="H45" sqref="H45"/>
      <pageMargins left="0.28125" right="0.25" top="0.6692913385826772" bottom="0.70866141732283472" header="0.23622047244094491" footer="0.47244094488188981"/>
      <pageSetup paperSize="9" orientation="portrait" horizontalDpi="300" verticalDpi="300" r:id="rId1"/>
      <headerFooter scaleWithDoc="0" alignWithMargins="0">
        <oddHeader>&amp;C TARIFF 2019
 (EURO)
Accommodation in &amp;A</oddHeader>
        <oddFooter>&amp;LAll rates are in EURO&amp;C
TARIFF 2019
&amp;RPage &amp;P</oddFooter>
      </headerFooter>
    </customSheetView>
    <customSheetView guid="{777CFE61-6F99-11D9-974B-0050BFD074B6}" showRuler="0" topLeftCell="A4">
      <selection activeCell="L11" sqref="L11"/>
      <pageMargins left="0.75" right="0.75" top="1" bottom="1" header="0.5" footer="0.5"/>
      <pageSetup paperSize="9" orientation="portrait" horizontalDpi="4294967293" verticalDpi="300" r:id="rId2"/>
      <headerFooter alignWithMargins="0"/>
    </customSheetView>
    <customSheetView guid="{95D45CB7-1E39-11D6-AFD7-008048E20DDD}" showRuler="0">
      <pageMargins left="0.75" right="0.75" top="1" bottom="1" header="0.5" footer="0.5"/>
      <pageSetup paperSize="9" orientation="portrait" horizontalDpi="4294967293" verticalDpi="0" r:id="rId3"/>
      <headerFooter alignWithMargins="0"/>
    </customSheetView>
  </customSheetViews>
  <mergeCells count="1">
    <mergeCell ref="C2:H3"/>
  </mergeCells>
  <phoneticPr fontId="0" type="noConversion"/>
  <pageMargins left="0.28125" right="0.25" top="0.6692913385826772" bottom="0.70866141732283472" header="0.23622047244094491" footer="0.47244094488188981"/>
  <pageSetup paperSize="9" orientation="portrait" horizontalDpi="300" verticalDpi="300" r:id="rId4"/>
  <headerFooter scaleWithDoc="0" alignWithMargins="0">
    <oddHeader xml:space="preserve">&amp;C TARIFF 2021
 (EURO)
</oddHeader>
    <oddFooter>&amp;LAll rates are in EURO&amp;C
TARIFF 2021
&amp;RPage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201"/>
  <sheetViews>
    <sheetView showGridLines="0" view="pageLayout" zoomScaleSheetLayoutView="100" workbookViewId="0">
      <selection activeCell="E8" sqref="E8"/>
    </sheetView>
  </sheetViews>
  <sheetFormatPr defaultRowHeight="15.75" x14ac:dyDescent="0.25"/>
  <cols>
    <col min="1" max="1" width="18.7109375" style="268" customWidth="1"/>
    <col min="2" max="2" width="63.85546875" style="268" customWidth="1"/>
    <col min="3" max="3" width="8" style="268" customWidth="1"/>
    <col min="4" max="4" width="5.42578125" style="268" hidden="1" customWidth="1"/>
    <col min="5" max="5" width="6.42578125" style="268" customWidth="1"/>
    <col min="6" max="6" width="9.140625" style="268"/>
    <col min="7" max="7" width="8.7109375" style="268" customWidth="1"/>
    <col min="8" max="9" width="9.140625" style="268"/>
    <col min="10" max="10" width="7.28515625" style="268" customWidth="1"/>
    <col min="11" max="11" width="9.5703125" style="268" customWidth="1"/>
    <col min="12" max="16384" width="9.140625" style="268"/>
  </cols>
  <sheetData>
    <row r="1" spans="1:9" x14ac:dyDescent="0.25">
      <c r="A1" s="407" t="s">
        <v>1120</v>
      </c>
      <c r="B1" s="408"/>
      <c r="C1" s="408"/>
    </row>
    <row r="2" spans="1:9" ht="15.75" customHeight="1" thickBot="1" x14ac:dyDescent="0.3">
      <c r="A2" s="408"/>
      <c r="B2" s="408"/>
      <c r="C2" s="408"/>
      <c r="D2" s="158"/>
      <c r="E2" s="158"/>
      <c r="F2" s="158"/>
      <c r="G2" s="158"/>
      <c r="I2" s="159"/>
    </row>
    <row r="3" spans="1:9" ht="16.5" thickBot="1" x14ac:dyDescent="0.3">
      <c r="A3" s="396" t="s">
        <v>2238</v>
      </c>
      <c r="B3" s="397"/>
      <c r="C3" s="398"/>
      <c r="D3" s="313"/>
      <c r="E3" s="313"/>
      <c r="F3" s="313"/>
      <c r="G3" s="313"/>
      <c r="H3" s="313"/>
      <c r="I3" s="313"/>
    </row>
    <row r="4" spans="1:9" ht="16.5" thickBot="1" x14ac:dyDescent="0.3">
      <c r="A4" s="160" t="s">
        <v>23</v>
      </c>
      <c r="B4" s="161" t="s">
        <v>24</v>
      </c>
      <c r="C4" s="161" t="s">
        <v>1024</v>
      </c>
      <c r="D4" s="222">
        <v>0.68</v>
      </c>
    </row>
    <row r="5" spans="1:9" x14ac:dyDescent="0.25">
      <c r="A5" s="416" t="s">
        <v>25</v>
      </c>
      <c r="B5" s="162" t="s">
        <v>26</v>
      </c>
      <c r="C5" s="163">
        <f>9.5/D4*[1]ATHENS!O2</f>
        <v>19.419117647058819</v>
      </c>
    </row>
    <row r="6" spans="1:9" ht="16.5" thickBot="1" x14ac:dyDescent="0.3">
      <c r="A6" s="417"/>
      <c r="B6" s="164" t="s">
        <v>27</v>
      </c>
      <c r="C6" s="165">
        <f>20.5/D4*[1]ATHENS!O2</f>
        <v>41.904411764705877</v>
      </c>
    </row>
    <row r="7" spans="1:9" ht="16.5" thickBot="1" x14ac:dyDescent="0.3">
      <c r="A7" s="418" t="s">
        <v>1055</v>
      </c>
      <c r="B7" s="419"/>
      <c r="C7" s="420"/>
    </row>
    <row r="8" spans="1:9" ht="16.5" thickBot="1" x14ac:dyDescent="0.3">
      <c r="A8" s="166"/>
    </row>
    <row r="9" spans="1:9" ht="16.5" thickBot="1" x14ac:dyDescent="0.3">
      <c r="A9" s="421" t="s">
        <v>2239</v>
      </c>
      <c r="B9" s="422"/>
      <c r="C9" s="423"/>
    </row>
    <row r="10" spans="1:9" ht="16.5" thickBot="1" x14ac:dyDescent="0.3">
      <c r="A10" s="312" t="s">
        <v>23</v>
      </c>
      <c r="B10" s="311" t="s">
        <v>24</v>
      </c>
      <c r="C10" s="305" t="s">
        <v>1024</v>
      </c>
    </row>
    <row r="11" spans="1:9" x14ac:dyDescent="0.25">
      <c r="A11" s="388" t="s">
        <v>28</v>
      </c>
      <c r="B11" s="274" t="s">
        <v>29</v>
      </c>
      <c r="C11" s="273">
        <f>55/D4*[1]ATHENS!O2</f>
        <v>112.42647058823528</v>
      </c>
    </row>
    <row r="12" spans="1:9" x14ac:dyDescent="0.25">
      <c r="A12" s="406"/>
      <c r="B12" s="272" t="s">
        <v>30</v>
      </c>
      <c r="C12" s="271">
        <f>65/D4*[1]ATHENS!O2</f>
        <v>132.86764705882351</v>
      </c>
    </row>
    <row r="13" spans="1:9" x14ac:dyDescent="0.25">
      <c r="A13" s="426"/>
      <c r="B13" s="272" t="s">
        <v>31</v>
      </c>
      <c r="C13" s="271">
        <f>60/D4*[1]ATHENS!O2</f>
        <v>122.64705882352941</v>
      </c>
    </row>
    <row r="14" spans="1:9" x14ac:dyDescent="0.25">
      <c r="A14" s="310" t="s">
        <v>32</v>
      </c>
      <c r="B14" s="272" t="s">
        <v>29</v>
      </c>
      <c r="C14" s="271">
        <f>33/D4*[1]ATHENS!O2</f>
        <v>67.45588235294116</v>
      </c>
    </row>
    <row r="15" spans="1:9" ht="16.5" thickBot="1" x14ac:dyDescent="0.3">
      <c r="A15" s="309" t="s">
        <v>33</v>
      </c>
      <c r="B15" s="302" t="s">
        <v>29</v>
      </c>
      <c r="C15" s="301">
        <f>48/D4*[1]ATHENS!O2</f>
        <v>98.117647058823508</v>
      </c>
    </row>
    <row r="16" spans="1:9" x14ac:dyDescent="0.25">
      <c r="A16" s="388" t="s">
        <v>34</v>
      </c>
      <c r="B16" s="274" t="s">
        <v>35</v>
      </c>
      <c r="C16" s="273">
        <f>33/D4*[1]ATHENS!O2</f>
        <v>67.45588235294116</v>
      </c>
    </row>
    <row r="17" spans="1:3" x14ac:dyDescent="0.25">
      <c r="A17" s="406"/>
      <c r="B17" s="272" t="s">
        <v>36</v>
      </c>
      <c r="C17" s="271">
        <f>38/D4*[1]ATHENS!O2</f>
        <v>77.676470588235276</v>
      </c>
    </row>
    <row r="18" spans="1:3" x14ac:dyDescent="0.25">
      <c r="A18" s="406"/>
      <c r="B18" s="272" t="s">
        <v>37</v>
      </c>
      <c r="C18" s="271">
        <f>58/D4*[1]ATHENS!O2</f>
        <v>118.55882352941174</v>
      </c>
    </row>
    <row r="19" spans="1:3" x14ac:dyDescent="0.25">
      <c r="A19" s="406"/>
      <c r="B19" s="272" t="s">
        <v>38</v>
      </c>
      <c r="C19" s="271">
        <f>95/D4*[1]ATHENS!O2</f>
        <v>194.1911764705882</v>
      </c>
    </row>
    <row r="20" spans="1:3" ht="16.5" thickBot="1" x14ac:dyDescent="0.3">
      <c r="A20" s="389"/>
      <c r="B20" s="279" t="s">
        <v>39</v>
      </c>
      <c r="C20" s="278">
        <f>70/D4*[1]ATHENS!O2</f>
        <v>143.08823529411762</v>
      </c>
    </row>
    <row r="21" spans="1:3" s="308" customFormat="1" ht="15.75" customHeight="1" x14ac:dyDescent="0.25">
      <c r="A21" s="253" t="s">
        <v>320</v>
      </c>
      <c r="B21" s="252"/>
      <c r="C21" s="252"/>
    </row>
    <row r="22" spans="1:3" s="308" customFormat="1" ht="15.75" customHeight="1" x14ac:dyDescent="0.25">
      <c r="A22" s="251" t="s">
        <v>319</v>
      </c>
      <c r="B22" s="266"/>
      <c r="C22" s="266"/>
    </row>
    <row r="23" spans="1:3" ht="16.5" thickBot="1" x14ac:dyDescent="0.3"/>
    <row r="24" spans="1:3" ht="16.5" thickBot="1" x14ac:dyDescent="0.3">
      <c r="A24" s="396" t="s">
        <v>2240</v>
      </c>
      <c r="B24" s="397"/>
      <c r="C24" s="398"/>
    </row>
    <row r="25" spans="1:3" ht="16.5" thickBot="1" x14ac:dyDescent="0.3">
      <c r="A25" s="307" t="s">
        <v>23</v>
      </c>
      <c r="B25" s="306" t="s">
        <v>24</v>
      </c>
      <c r="C25" s="305" t="s">
        <v>1024</v>
      </c>
    </row>
    <row r="26" spans="1:3" x14ac:dyDescent="0.25">
      <c r="A26" s="388" t="s">
        <v>28</v>
      </c>
      <c r="B26" s="304" t="s">
        <v>35</v>
      </c>
      <c r="C26" s="303">
        <f>61/D4*[1]ATHENS!O2</f>
        <v>124.69117647058822</v>
      </c>
    </row>
    <row r="27" spans="1:3" x14ac:dyDescent="0.25">
      <c r="A27" s="406"/>
      <c r="B27" s="272" t="s">
        <v>36</v>
      </c>
      <c r="C27" s="271">
        <f>68/D4*[1]ATHENS!O2</f>
        <v>138.99999999999997</v>
      </c>
    </row>
    <row r="28" spans="1:3" x14ac:dyDescent="0.25">
      <c r="A28" s="406"/>
      <c r="B28" s="272" t="s">
        <v>37</v>
      </c>
      <c r="C28" s="271">
        <f>73/D4*[1]ATHENS!O2</f>
        <v>149.22058823529409</v>
      </c>
    </row>
    <row r="29" spans="1:3" ht="16.5" thickBot="1" x14ac:dyDescent="0.3">
      <c r="A29" s="406"/>
      <c r="B29" s="302" t="s">
        <v>39</v>
      </c>
      <c r="C29" s="301">
        <f>78/D4*[1]ATHENS!O2</f>
        <v>159.44117647058823</v>
      </c>
    </row>
    <row r="30" spans="1:3" x14ac:dyDescent="0.25">
      <c r="A30" s="388" t="s">
        <v>40</v>
      </c>
      <c r="B30" s="274" t="s">
        <v>35</v>
      </c>
      <c r="C30" s="273">
        <f>35/D4*[1]ATHENS!O2</f>
        <v>71.544117647058812</v>
      </c>
    </row>
    <row r="31" spans="1:3" x14ac:dyDescent="0.25">
      <c r="A31" s="406"/>
      <c r="B31" s="272" t="s">
        <v>36</v>
      </c>
      <c r="C31" s="271">
        <f>38/D4*[1]ATHENS!O2</f>
        <v>77.676470588235276</v>
      </c>
    </row>
    <row r="32" spans="1:3" x14ac:dyDescent="0.25">
      <c r="A32" s="406"/>
      <c r="B32" s="272" t="s">
        <v>37</v>
      </c>
      <c r="C32" s="271">
        <f>68/D4*[1]ATHENS!O2</f>
        <v>138.99999999999997</v>
      </c>
    </row>
    <row r="33" spans="1:4" ht="16.5" thickBot="1" x14ac:dyDescent="0.3">
      <c r="A33" s="389"/>
      <c r="B33" s="279" t="s">
        <v>39</v>
      </c>
      <c r="C33" s="278">
        <f>78/D4*[1]ATHENS!O2</f>
        <v>159.44117647058823</v>
      </c>
    </row>
    <row r="34" spans="1:4" x14ac:dyDescent="0.25">
      <c r="A34" s="395" t="s">
        <v>323</v>
      </c>
      <c r="B34" s="395"/>
      <c r="C34" s="395"/>
    </row>
    <row r="35" spans="1:4" x14ac:dyDescent="0.25">
      <c r="A35" s="251" t="s">
        <v>324</v>
      </c>
      <c r="B35" s="266"/>
      <c r="C35" s="266"/>
    </row>
    <row r="36" spans="1:4" ht="16.5" thickBot="1" x14ac:dyDescent="0.3"/>
    <row r="37" spans="1:4" ht="16.5" thickBot="1" x14ac:dyDescent="0.3">
      <c r="A37" s="396" t="s">
        <v>2241</v>
      </c>
      <c r="B37" s="397"/>
      <c r="C37" s="398"/>
    </row>
    <row r="38" spans="1:4" ht="16.5" thickBot="1" x14ac:dyDescent="0.3">
      <c r="A38" s="167" t="s">
        <v>23</v>
      </c>
      <c r="B38" s="168" t="s">
        <v>24</v>
      </c>
      <c r="C38" s="169" t="s">
        <v>1024</v>
      </c>
    </row>
    <row r="39" spans="1:4" x14ac:dyDescent="0.25">
      <c r="A39" s="390" t="s">
        <v>41</v>
      </c>
      <c r="B39" s="170" t="s">
        <v>42</v>
      </c>
      <c r="C39" s="171">
        <f>28/D4*[1]ATHENS!O2</f>
        <v>57.235294117647051</v>
      </c>
    </row>
    <row r="40" spans="1:4" x14ac:dyDescent="0.25">
      <c r="A40" s="424"/>
      <c r="B40" s="172" t="s">
        <v>43</v>
      </c>
      <c r="C40" s="173">
        <f>30/D4*[1]ATHENS!O2</f>
        <v>61.323529411764703</v>
      </c>
    </row>
    <row r="41" spans="1:4" x14ac:dyDescent="0.25">
      <c r="A41" s="424"/>
      <c r="B41" s="172" t="s">
        <v>58</v>
      </c>
      <c r="C41" s="173">
        <f>61.5/D4*[1]ATHENS!O2</f>
        <v>125.71323529411764</v>
      </c>
    </row>
    <row r="42" spans="1:4" ht="16.5" thickBot="1" x14ac:dyDescent="0.3">
      <c r="A42" s="425"/>
      <c r="B42" s="174" t="s">
        <v>44</v>
      </c>
      <c r="C42" s="175">
        <f>76/D4*[1]ATHENS!O2</f>
        <v>155.35294117647055</v>
      </c>
    </row>
    <row r="43" spans="1:4" x14ac:dyDescent="0.25">
      <c r="A43" s="390" t="s">
        <v>45</v>
      </c>
      <c r="B43" s="170" t="s">
        <v>46</v>
      </c>
      <c r="C43" s="171">
        <f>28/D4*[1]ATHENS!O2</f>
        <v>57.235294117647051</v>
      </c>
    </row>
    <row r="44" spans="1:4" ht="24" x14ac:dyDescent="0.25">
      <c r="A44" s="415"/>
      <c r="B44" s="176" t="s">
        <v>59</v>
      </c>
      <c r="C44" s="173">
        <f>55/D4*[1]ATHENS!O2</f>
        <v>112.42647058823528</v>
      </c>
    </row>
    <row r="45" spans="1:4" ht="16.5" thickBot="1" x14ac:dyDescent="0.3">
      <c r="A45" s="391"/>
      <c r="B45" s="174" t="s">
        <v>47</v>
      </c>
      <c r="C45" s="175">
        <f>75/D4*[1]ATHENS!O2</f>
        <v>153.30882352941174</v>
      </c>
      <c r="D45" s="300"/>
    </row>
    <row r="46" spans="1:4" ht="15.75" customHeight="1" x14ac:dyDescent="0.25">
      <c r="A46" s="251" t="s">
        <v>320</v>
      </c>
      <c r="B46" s="266"/>
      <c r="C46" s="266"/>
    </row>
    <row r="47" spans="1:4" ht="15.75" customHeight="1" x14ac:dyDescent="0.25">
      <c r="A47" s="251" t="s">
        <v>319</v>
      </c>
      <c r="B47" s="266"/>
    </row>
    <row r="48" spans="1:4" ht="16.5" thickBot="1" x14ac:dyDescent="0.3">
      <c r="A48" s="412" t="s">
        <v>2241</v>
      </c>
      <c r="B48" s="413"/>
      <c r="C48" s="414"/>
    </row>
    <row r="49" spans="1:3" ht="16.5" thickBot="1" x14ac:dyDescent="0.3">
      <c r="A49" s="167" t="s">
        <v>23</v>
      </c>
      <c r="B49" s="168" t="s">
        <v>24</v>
      </c>
      <c r="C49" s="169" t="s">
        <v>1024</v>
      </c>
    </row>
    <row r="50" spans="1:3" x14ac:dyDescent="0.25">
      <c r="A50" s="390" t="s">
        <v>48</v>
      </c>
      <c r="B50" s="170" t="s">
        <v>49</v>
      </c>
      <c r="C50" s="171">
        <f>32/D4*[1]ATHENS!O2</f>
        <v>65.411764705882348</v>
      </c>
    </row>
    <row r="51" spans="1:3" x14ac:dyDescent="0.25">
      <c r="A51" s="415"/>
      <c r="B51" s="172" t="s">
        <v>50</v>
      </c>
      <c r="C51" s="173">
        <f>60/D4*[1]ATHENS!O2</f>
        <v>122.64705882352941</v>
      </c>
    </row>
    <row r="52" spans="1:3" ht="16.5" thickBot="1" x14ac:dyDescent="0.3">
      <c r="A52" s="391"/>
      <c r="B52" s="174" t="s">
        <v>51</v>
      </c>
      <c r="C52" s="175">
        <f>70/D4*[1]ATHENS!O2</f>
        <v>143.08823529411762</v>
      </c>
    </row>
    <row r="53" spans="1:3" x14ac:dyDescent="0.25">
      <c r="A53" s="390" t="s">
        <v>52</v>
      </c>
      <c r="B53" s="177" t="s">
        <v>53</v>
      </c>
      <c r="C53" s="171">
        <f>65/D4*[1]ATHENS!O2</f>
        <v>132.86764705882351</v>
      </c>
    </row>
    <row r="54" spans="1:3" ht="16.5" thickBot="1" x14ac:dyDescent="0.3">
      <c r="A54" s="391"/>
      <c r="B54" s="178" t="s">
        <v>54</v>
      </c>
      <c r="C54" s="175">
        <f>62/D4*[1]ATHENS!O2</f>
        <v>126.73529411764704</v>
      </c>
    </row>
    <row r="55" spans="1:3" x14ac:dyDescent="0.25">
      <c r="A55" s="390" t="s">
        <v>55</v>
      </c>
      <c r="B55" s="170" t="s">
        <v>56</v>
      </c>
      <c r="C55" s="171">
        <f>28/D4*[1]ATHENS!O2</f>
        <v>57.235294117647051</v>
      </c>
    </row>
    <row r="56" spans="1:3" ht="24" x14ac:dyDescent="0.25">
      <c r="A56" s="415"/>
      <c r="B56" s="176" t="s">
        <v>60</v>
      </c>
      <c r="C56" s="173">
        <f>76/D4*[1]ATHENS!O2</f>
        <v>155.35294117647055</v>
      </c>
    </row>
    <row r="57" spans="1:3" ht="11.25" customHeight="1" thickBot="1" x14ac:dyDescent="0.3">
      <c r="A57" s="391"/>
      <c r="B57" s="174" t="s">
        <v>57</v>
      </c>
      <c r="C57" s="175">
        <f>80/D4*[1]ATHENS!O2</f>
        <v>163.52941176470586</v>
      </c>
    </row>
    <row r="58" spans="1:3" ht="16.5" customHeight="1" x14ac:dyDescent="0.25">
      <c r="A58" s="395" t="s">
        <v>320</v>
      </c>
      <c r="B58" s="395"/>
      <c r="C58" s="395"/>
    </row>
    <row r="59" spans="1:3" ht="16.5" customHeight="1" thickBot="1" x14ac:dyDescent="0.3">
      <c r="A59" s="263" t="s">
        <v>319</v>
      </c>
      <c r="B59" s="264"/>
      <c r="C59" s="265" t="s">
        <v>322</v>
      </c>
    </row>
    <row r="60" spans="1:3" ht="16.5" thickBot="1" x14ac:dyDescent="0.3">
      <c r="A60" s="412" t="s">
        <v>2242</v>
      </c>
      <c r="B60" s="413"/>
      <c r="C60" s="414"/>
    </row>
    <row r="61" spans="1:3" ht="16.5" thickBot="1" x14ac:dyDescent="0.3">
      <c r="A61" s="167" t="s">
        <v>23</v>
      </c>
      <c r="B61" s="168" t="s">
        <v>24</v>
      </c>
      <c r="C61" s="169" t="s">
        <v>1024</v>
      </c>
    </row>
    <row r="62" spans="1:3" x14ac:dyDescent="0.25">
      <c r="A62" s="390" t="s">
        <v>61</v>
      </c>
      <c r="B62" s="170" t="s">
        <v>954</v>
      </c>
      <c r="C62" s="171">
        <f>26/D4*[1]ATHENS!O2</f>
        <v>53.147058823529406</v>
      </c>
    </row>
    <row r="63" spans="1:3" ht="12" customHeight="1" x14ac:dyDescent="0.25">
      <c r="A63" s="415"/>
      <c r="B63" s="172" t="s">
        <v>955</v>
      </c>
      <c r="C63" s="173">
        <f>29/D4*[1]ATHENS!O2</f>
        <v>59.27941176470587</v>
      </c>
    </row>
    <row r="64" spans="1:3" ht="16.5" thickBot="1" x14ac:dyDescent="0.3">
      <c r="A64" s="391"/>
      <c r="B64" s="174" t="s">
        <v>956</v>
      </c>
      <c r="C64" s="175">
        <f>61/D4*[1]ATHENS!O2</f>
        <v>124.69117647058822</v>
      </c>
    </row>
    <row r="65" spans="1:9" x14ac:dyDescent="0.25">
      <c r="A65" s="395" t="s">
        <v>320</v>
      </c>
      <c r="B65" s="395"/>
      <c r="C65" s="395"/>
    </row>
    <row r="66" spans="1:9" ht="16.5" thickBot="1" x14ac:dyDescent="0.3">
      <c r="A66" s="251" t="s">
        <v>319</v>
      </c>
      <c r="B66" s="266"/>
      <c r="C66" s="266"/>
    </row>
    <row r="67" spans="1:9" ht="16.5" thickBot="1" x14ac:dyDescent="0.3">
      <c r="A67" s="396" t="s">
        <v>2243</v>
      </c>
      <c r="B67" s="397"/>
      <c r="C67" s="398"/>
    </row>
    <row r="68" spans="1:9" ht="16.5" thickBot="1" x14ac:dyDescent="0.3">
      <c r="A68" s="180" t="s">
        <v>23</v>
      </c>
      <c r="B68" s="181" t="s">
        <v>24</v>
      </c>
      <c r="C68" s="182" t="s">
        <v>1024</v>
      </c>
    </row>
    <row r="69" spans="1:9" x14ac:dyDescent="0.25">
      <c r="A69" s="390" t="s">
        <v>957</v>
      </c>
      <c r="B69" s="183" t="s">
        <v>958</v>
      </c>
      <c r="C69" s="184">
        <f>26/D4*[1]ATHENS!O2</f>
        <v>53.147058823529406</v>
      </c>
    </row>
    <row r="70" spans="1:9" ht="12.75" customHeight="1" x14ac:dyDescent="0.25">
      <c r="A70" s="415"/>
      <c r="B70" s="172" t="s">
        <v>959</v>
      </c>
      <c r="C70" s="173">
        <f>38/D4*[1]ATHENS!O2</f>
        <v>77.676470588235276</v>
      </c>
    </row>
    <row r="71" spans="1:9" x14ac:dyDescent="0.25">
      <c r="A71" s="415"/>
      <c r="B71" s="172" t="s">
        <v>960</v>
      </c>
      <c r="C71" s="173">
        <f>40/D4*[1]ATHENS!O2</f>
        <v>81.764705882352928</v>
      </c>
    </row>
    <row r="72" spans="1:9" x14ac:dyDescent="0.25">
      <c r="A72" s="415"/>
      <c r="B72" s="172" t="s">
        <v>961</v>
      </c>
      <c r="C72" s="173">
        <f>53/D4*[1]ATHENS!O2</f>
        <v>108.33823529411764</v>
      </c>
    </row>
    <row r="73" spans="1:9" ht="16.5" customHeight="1" x14ac:dyDescent="0.25">
      <c r="A73" s="415"/>
      <c r="B73" s="172" t="s">
        <v>962</v>
      </c>
      <c r="C73" s="173">
        <f>55/D4*[1]ATHENS!O2</f>
        <v>112.42647058823528</v>
      </c>
    </row>
    <row r="74" spans="1:9" ht="16.5" thickBot="1" x14ac:dyDescent="0.3">
      <c r="A74" s="391"/>
      <c r="B74" s="174" t="s">
        <v>963</v>
      </c>
      <c r="C74" s="175">
        <f>81/D4*[1]ATHENS!O2</f>
        <v>165.5735294117647</v>
      </c>
      <c r="D74" s="294"/>
      <c r="E74" s="294"/>
      <c r="F74" s="294"/>
      <c r="G74" s="294"/>
      <c r="H74" s="294"/>
      <c r="I74" s="294"/>
    </row>
    <row r="75" spans="1:9" x14ac:dyDescent="0.25">
      <c r="A75" s="395" t="s">
        <v>320</v>
      </c>
      <c r="B75" s="395"/>
      <c r="C75" s="395"/>
      <c r="D75" s="294"/>
      <c r="E75" s="294"/>
      <c r="F75" s="294"/>
      <c r="G75" s="294"/>
      <c r="H75" s="294"/>
      <c r="I75" s="294"/>
    </row>
    <row r="76" spans="1:9" ht="16.5" thickBot="1" x14ac:dyDescent="0.3">
      <c r="A76" s="251" t="s">
        <v>319</v>
      </c>
      <c r="B76" s="266"/>
      <c r="C76" s="266"/>
      <c r="G76" s="294"/>
      <c r="H76" s="294"/>
      <c r="I76" s="294"/>
    </row>
    <row r="77" spans="1:9" ht="16.5" thickBot="1" x14ac:dyDescent="0.3">
      <c r="A77" s="421" t="s">
        <v>2244</v>
      </c>
      <c r="B77" s="422"/>
      <c r="C77" s="423"/>
    </row>
    <row r="78" spans="1:9" ht="16.5" thickBot="1" x14ac:dyDescent="0.3">
      <c r="A78" s="299" t="s">
        <v>23</v>
      </c>
      <c r="B78" s="298" t="s">
        <v>24</v>
      </c>
      <c r="C78" s="297" t="s">
        <v>1024</v>
      </c>
      <c r="D78" s="294"/>
      <c r="E78" s="294"/>
      <c r="F78" s="294"/>
      <c r="G78" s="294"/>
      <c r="H78" s="294"/>
      <c r="I78" s="294"/>
    </row>
    <row r="79" spans="1:9" x14ac:dyDescent="0.25">
      <c r="A79" s="409" t="s">
        <v>964</v>
      </c>
      <c r="B79" s="296" t="s">
        <v>965</v>
      </c>
      <c r="C79" s="295">
        <f>24/D4*[1]ATHENS!O2</f>
        <v>49.058823529411754</v>
      </c>
      <c r="D79" s="294"/>
      <c r="E79" s="294"/>
      <c r="F79" s="294"/>
      <c r="G79" s="294"/>
      <c r="H79" s="294"/>
      <c r="I79" s="294"/>
    </row>
    <row r="80" spans="1:9" x14ac:dyDescent="0.25">
      <c r="A80" s="410"/>
      <c r="B80" s="290" t="s">
        <v>966</v>
      </c>
      <c r="C80" s="284">
        <f>31/D4*[1]ATHENS!O2</f>
        <v>63.367647058823522</v>
      </c>
      <c r="D80" s="294"/>
      <c r="E80" s="294"/>
      <c r="F80" s="294"/>
      <c r="G80" s="294"/>
      <c r="H80" s="294"/>
      <c r="I80" s="294"/>
    </row>
    <row r="81" spans="1:9" x14ac:dyDescent="0.25">
      <c r="A81" s="410"/>
      <c r="B81" s="290" t="s">
        <v>967</v>
      </c>
      <c r="C81" s="284">
        <f>47/D4*[1]ATHENS!O2</f>
        <v>96.073529411764682</v>
      </c>
      <c r="G81" s="294"/>
      <c r="H81" s="294"/>
      <c r="I81" s="294"/>
    </row>
    <row r="82" spans="1:9" x14ac:dyDescent="0.25">
      <c r="A82" s="410"/>
      <c r="B82" s="290" t="s">
        <v>968</v>
      </c>
      <c r="C82" s="284">
        <f>52/D4*[1]ATHENS!O2</f>
        <v>106.29411764705881</v>
      </c>
    </row>
    <row r="83" spans="1:9" x14ac:dyDescent="0.25">
      <c r="A83" s="410"/>
      <c r="B83" s="290" t="s">
        <v>969</v>
      </c>
      <c r="C83" s="284">
        <f>74/D4*[1]ATHENS!O2</f>
        <v>151.26470588235293</v>
      </c>
    </row>
    <row r="84" spans="1:9" x14ac:dyDescent="0.25">
      <c r="A84" s="410"/>
      <c r="B84" s="290" t="s">
        <v>970</v>
      </c>
      <c r="C84" s="284">
        <f>87/D4*[1]ATHENS!O2</f>
        <v>177.83823529411762</v>
      </c>
    </row>
    <row r="85" spans="1:9" x14ac:dyDescent="0.25">
      <c r="A85" s="410"/>
      <c r="B85" s="290" t="s">
        <v>971</v>
      </c>
      <c r="C85" s="284">
        <f>93/D4*[1]ATHENS!O2</f>
        <v>190.10294117647055</v>
      </c>
    </row>
    <row r="86" spans="1:9" x14ac:dyDescent="0.25">
      <c r="A86" s="410"/>
      <c r="B86" s="290" t="s">
        <v>972</v>
      </c>
      <c r="C86" s="284">
        <f>105/D4*[1]ATHENS!O2</f>
        <v>214.63235294117644</v>
      </c>
    </row>
    <row r="87" spans="1:9" x14ac:dyDescent="0.25">
      <c r="A87" s="410"/>
      <c r="B87" s="290" t="s">
        <v>973</v>
      </c>
      <c r="C87" s="284">
        <f>125/D4*[1]ATHENS!O2</f>
        <v>255.5147058823529</v>
      </c>
    </row>
    <row r="88" spans="1:9" x14ac:dyDescent="0.25">
      <c r="A88" s="410"/>
      <c r="B88" s="290" t="s">
        <v>974</v>
      </c>
      <c r="C88" s="284">
        <f>145/D4*[1]ATHENS!O2</f>
        <v>296.39705882352939</v>
      </c>
    </row>
    <row r="89" spans="1:9" x14ac:dyDescent="0.25">
      <c r="A89" s="410"/>
      <c r="B89" s="290" t="s">
        <v>975</v>
      </c>
      <c r="C89" s="284">
        <f>170/D4*[1]ATHENS!O2</f>
        <v>347.49999999999994</v>
      </c>
    </row>
    <row r="90" spans="1:9" ht="16.5" thickBot="1" x14ac:dyDescent="0.3">
      <c r="A90" s="411"/>
      <c r="B90" s="293" t="s">
        <v>976</v>
      </c>
      <c r="C90" s="282">
        <f>161/D4*[1]ATHENS!O2</f>
        <v>329.10294117647055</v>
      </c>
    </row>
    <row r="91" spans="1:9" x14ac:dyDescent="0.25">
      <c r="A91" s="409" t="s">
        <v>977</v>
      </c>
      <c r="B91" s="292" t="s">
        <v>978</v>
      </c>
      <c r="C91" s="291">
        <f>39/D4*[1]ATHENS!O2</f>
        <v>79.720588235294116</v>
      </c>
    </row>
    <row r="92" spans="1:9" x14ac:dyDescent="0.25">
      <c r="A92" s="410"/>
      <c r="B92" s="290" t="s">
        <v>979</v>
      </c>
      <c r="C92" s="284">
        <f>55/D4*[1]ATHENS!O2</f>
        <v>112.42647058823528</v>
      </c>
    </row>
    <row r="93" spans="1:9" x14ac:dyDescent="0.25">
      <c r="A93" s="410"/>
      <c r="B93" s="285" t="s">
        <v>980</v>
      </c>
      <c r="C93" s="284">
        <f>75/D4*[1]ATHENS!O2</f>
        <v>153.30882352941174</v>
      </c>
    </row>
    <row r="94" spans="1:9" ht="16.5" customHeight="1" x14ac:dyDescent="0.25">
      <c r="A94" s="410"/>
      <c r="B94" s="289" t="s">
        <v>981</v>
      </c>
      <c r="C94" s="288">
        <f>91/D4*[1]ATHENS!O2</f>
        <v>186.01470588235293</v>
      </c>
    </row>
    <row r="95" spans="1:9" x14ac:dyDescent="0.25">
      <c r="A95" s="410"/>
      <c r="B95" s="287" t="s">
        <v>982</v>
      </c>
      <c r="C95" s="286">
        <f>96/D4*[1]ATHENS!O2</f>
        <v>196.23529411764702</v>
      </c>
    </row>
    <row r="96" spans="1:9" x14ac:dyDescent="0.25">
      <c r="A96" s="410"/>
      <c r="B96" s="285" t="s">
        <v>983</v>
      </c>
      <c r="C96" s="284">
        <f>145/D4*[1]ATHENS!O2</f>
        <v>296.39705882352939</v>
      </c>
    </row>
    <row r="97" spans="1:3" ht="16.5" thickBot="1" x14ac:dyDescent="0.3">
      <c r="A97" s="411"/>
      <c r="B97" s="283" t="s">
        <v>984</v>
      </c>
      <c r="C97" s="282">
        <f>161/D4*[1]ATHENS!O2</f>
        <v>329.10294117647055</v>
      </c>
    </row>
    <row r="98" spans="1:3" x14ac:dyDescent="0.25">
      <c r="A98" s="395" t="s">
        <v>320</v>
      </c>
      <c r="B98" s="395"/>
      <c r="C98" s="395"/>
    </row>
    <row r="99" spans="1:3" ht="16.5" thickBot="1" x14ac:dyDescent="0.3">
      <c r="A99" s="251" t="s">
        <v>319</v>
      </c>
      <c r="B99" s="266"/>
    </row>
    <row r="100" spans="1:3" ht="16.5" thickBot="1" x14ac:dyDescent="0.3">
      <c r="A100" s="396" t="s">
        <v>2245</v>
      </c>
      <c r="B100" s="397"/>
      <c r="C100" s="427"/>
    </row>
    <row r="101" spans="1:3" ht="16.5" thickBot="1" x14ac:dyDescent="0.3">
      <c r="A101" s="180" t="s">
        <v>23</v>
      </c>
      <c r="B101" s="181" t="s">
        <v>24</v>
      </c>
      <c r="C101" s="182" t="s">
        <v>1024</v>
      </c>
    </row>
    <row r="102" spans="1:3" ht="15" customHeight="1" x14ac:dyDescent="0.25">
      <c r="A102" s="390" t="s">
        <v>985</v>
      </c>
      <c r="B102" s="185" t="s">
        <v>986</v>
      </c>
      <c r="C102" s="186">
        <f>12.5/D4*[1]ATHENS!O2</f>
        <v>25.551470588235293</v>
      </c>
    </row>
    <row r="103" spans="1:3" ht="16.5" thickBot="1" x14ac:dyDescent="0.3">
      <c r="A103" s="391"/>
      <c r="B103" s="164" t="s">
        <v>987</v>
      </c>
      <c r="C103" s="165">
        <f>16.3/D4*[1]ATHENS!O2</f>
        <v>33.319117647058818</v>
      </c>
    </row>
    <row r="104" spans="1:3" ht="16.5" thickBot="1" x14ac:dyDescent="0.3">
      <c r="A104" s="428" t="s">
        <v>991</v>
      </c>
      <c r="B104" s="429"/>
      <c r="C104" s="430"/>
    </row>
    <row r="105" spans="1:3" ht="16.5" customHeight="1" thickBot="1" x14ac:dyDescent="0.3"/>
    <row r="106" spans="1:3" ht="16.5" thickBot="1" x14ac:dyDescent="0.3">
      <c r="A106" s="396" t="s">
        <v>2246</v>
      </c>
      <c r="B106" s="397"/>
      <c r="C106" s="398"/>
    </row>
    <row r="107" spans="1:3" ht="16.5" thickBot="1" x14ac:dyDescent="0.3">
      <c r="A107" s="180" t="s">
        <v>23</v>
      </c>
      <c r="B107" s="181" t="s">
        <v>24</v>
      </c>
      <c r="C107" s="182" t="s">
        <v>1024</v>
      </c>
    </row>
    <row r="108" spans="1:3" x14ac:dyDescent="0.25">
      <c r="A108" s="267" t="s">
        <v>41</v>
      </c>
      <c r="B108" s="170" t="s">
        <v>988</v>
      </c>
      <c r="C108" s="171">
        <f>62/D4*[1]ATHENS!O2</f>
        <v>126.73529411764704</v>
      </c>
    </row>
    <row r="109" spans="1:3" ht="13.5" customHeight="1" x14ac:dyDescent="0.25">
      <c r="A109" s="431" t="s">
        <v>25</v>
      </c>
      <c r="B109" s="172" t="s">
        <v>989</v>
      </c>
      <c r="C109" s="173">
        <f>62/D4*[1]ATHENS!O2</f>
        <v>126.73529411764704</v>
      </c>
    </row>
    <row r="110" spans="1:3" ht="16.5" thickBot="1" x14ac:dyDescent="0.3">
      <c r="A110" s="391"/>
      <c r="B110" s="174" t="s">
        <v>990</v>
      </c>
      <c r="C110" s="175">
        <f>36/D4*[1]ATHENS!O2</f>
        <v>73.588235294117638</v>
      </c>
    </row>
    <row r="111" spans="1:3" x14ac:dyDescent="0.25">
      <c r="A111" s="395" t="s">
        <v>320</v>
      </c>
      <c r="B111" s="395"/>
      <c r="C111" s="395"/>
    </row>
    <row r="112" spans="1:3" x14ac:dyDescent="0.25">
      <c r="A112" s="251" t="s">
        <v>319</v>
      </c>
      <c r="B112" s="266"/>
    </row>
    <row r="113" spans="1:3" ht="16.5" thickBot="1" x14ac:dyDescent="0.3"/>
    <row r="114" spans="1:3" ht="16.5" thickBot="1" x14ac:dyDescent="0.3">
      <c r="A114" s="421" t="s">
        <v>2247</v>
      </c>
      <c r="B114" s="422"/>
      <c r="C114" s="423"/>
    </row>
    <row r="115" spans="1:3" ht="16.5" thickBot="1" x14ac:dyDescent="0.3">
      <c r="A115" s="277" t="s">
        <v>23</v>
      </c>
      <c r="B115" s="276" t="s">
        <v>24</v>
      </c>
      <c r="C115" s="275" t="s">
        <v>1024</v>
      </c>
    </row>
    <row r="116" spans="1:3" x14ac:dyDescent="0.25">
      <c r="A116" s="388" t="s">
        <v>957</v>
      </c>
      <c r="B116" s="274" t="s">
        <v>992</v>
      </c>
      <c r="C116" s="273">
        <f>11.5/D4*[1]ATHENS!O2</f>
        <v>23.507352941176467</v>
      </c>
    </row>
    <row r="117" spans="1:3" ht="16.5" thickBot="1" x14ac:dyDescent="0.3">
      <c r="A117" s="389"/>
      <c r="B117" s="279" t="s">
        <v>993</v>
      </c>
      <c r="C117" s="278">
        <f>16.5/D4*[1]ATHENS!O2</f>
        <v>33.72794117647058</v>
      </c>
    </row>
    <row r="118" spans="1:3" ht="16.5" customHeight="1" x14ac:dyDescent="0.25">
      <c r="A118" s="255" t="s">
        <v>994</v>
      </c>
      <c r="B118" s="256"/>
      <c r="C118" s="254" t="s">
        <v>321</v>
      </c>
    </row>
    <row r="119" spans="1:3" ht="16.5" thickBot="1" x14ac:dyDescent="0.3">
      <c r="A119" s="158"/>
      <c r="B119" s="281"/>
      <c r="C119" s="280"/>
    </row>
    <row r="120" spans="1:3" ht="16.5" thickBot="1" x14ac:dyDescent="0.3">
      <c r="A120" s="396" t="s">
        <v>2248</v>
      </c>
      <c r="B120" s="397"/>
      <c r="C120" s="398"/>
    </row>
    <row r="121" spans="1:3" ht="16.5" thickBot="1" x14ac:dyDescent="0.3">
      <c r="A121" s="180" t="s">
        <v>23</v>
      </c>
      <c r="B121" s="181" t="s">
        <v>24</v>
      </c>
      <c r="C121" s="182" t="s">
        <v>1024</v>
      </c>
    </row>
    <row r="122" spans="1:3" x14ac:dyDescent="0.25">
      <c r="A122" s="390" t="s">
        <v>957</v>
      </c>
      <c r="B122" s="187" t="s">
        <v>995</v>
      </c>
      <c r="C122" s="188">
        <f>11/D4*[1]ATHENS!O2</f>
        <v>22.485294117647058</v>
      </c>
    </row>
    <row r="123" spans="1:3" x14ac:dyDescent="0.25">
      <c r="A123" s="415"/>
      <c r="B123" s="189" t="s">
        <v>996</v>
      </c>
      <c r="C123" s="190">
        <f>14/D4*[1]ATHENS!O2</f>
        <v>28.617647058823525</v>
      </c>
    </row>
    <row r="124" spans="1:3" ht="16.5" thickBot="1" x14ac:dyDescent="0.3">
      <c r="A124" s="391"/>
      <c r="B124" s="164" t="s">
        <v>997</v>
      </c>
      <c r="C124" s="165">
        <f>19/D4*[1]ATHENS!O2</f>
        <v>38.838235294117638</v>
      </c>
    </row>
    <row r="125" spans="1:3" ht="13.5" customHeight="1" thickBot="1" x14ac:dyDescent="0.3">
      <c r="A125" s="428" t="s">
        <v>998</v>
      </c>
      <c r="B125" s="429"/>
      <c r="C125" s="430"/>
    </row>
    <row r="126" spans="1:3" ht="16.5" thickBot="1" x14ac:dyDescent="0.3">
      <c r="A126" s="158"/>
      <c r="B126" s="158"/>
      <c r="C126" s="179"/>
    </row>
    <row r="127" spans="1:3" ht="16.5" thickBot="1" x14ac:dyDescent="0.3">
      <c r="A127" s="421" t="s">
        <v>2249</v>
      </c>
      <c r="B127" s="422"/>
      <c r="C127" s="423"/>
    </row>
    <row r="128" spans="1:3" ht="16.5" thickBot="1" x14ac:dyDescent="0.3">
      <c r="A128" s="277" t="s">
        <v>23</v>
      </c>
      <c r="B128" s="276" t="s">
        <v>24</v>
      </c>
      <c r="C128" s="275" t="s">
        <v>1024</v>
      </c>
    </row>
    <row r="129" spans="1:3" x14ac:dyDescent="0.25">
      <c r="A129" s="388" t="s">
        <v>999</v>
      </c>
      <c r="B129" s="274" t="s">
        <v>1000</v>
      </c>
      <c r="C129" s="273">
        <f>13.7/D4*[1]ATHENS!O2</f>
        <v>28.004411764705878</v>
      </c>
    </row>
    <row r="130" spans="1:3" x14ac:dyDescent="0.25">
      <c r="A130" s="426"/>
      <c r="B130" s="272" t="s">
        <v>1001</v>
      </c>
      <c r="C130" s="271">
        <f>19.9/D4*[1]ATHENS!O2</f>
        <v>40.677941176470583</v>
      </c>
    </row>
    <row r="131" spans="1:3" x14ac:dyDescent="0.25">
      <c r="A131" s="405" t="s">
        <v>985</v>
      </c>
      <c r="B131" s="272" t="s">
        <v>1002</v>
      </c>
      <c r="C131" s="271">
        <f>10/D4*[1]ATHENS!O2</f>
        <v>20.441176470588232</v>
      </c>
    </row>
    <row r="132" spans="1:3" x14ac:dyDescent="0.25">
      <c r="A132" s="406"/>
      <c r="B132" s="272" t="s">
        <v>1018</v>
      </c>
      <c r="C132" s="271">
        <f>12.5/D4*[1]ATHENS!O2</f>
        <v>25.551470588235293</v>
      </c>
    </row>
    <row r="133" spans="1:3" x14ac:dyDescent="0.25">
      <c r="A133" s="406"/>
      <c r="B133" s="272" t="s">
        <v>1019</v>
      </c>
      <c r="C133" s="271">
        <f>16.3/D4*[1]ATHENS!O2</f>
        <v>33.319117647058818</v>
      </c>
    </row>
    <row r="134" spans="1:3" ht="16.5" thickBot="1" x14ac:dyDescent="0.3">
      <c r="A134" s="389"/>
      <c r="B134" s="279" t="s">
        <v>1020</v>
      </c>
      <c r="C134" s="278">
        <f>14.9/D4*[1]ATHENS!O2</f>
        <v>30.457352941176467</v>
      </c>
    </row>
    <row r="135" spans="1:3" ht="16.5" thickBot="1" x14ac:dyDescent="0.3">
      <c r="A135" s="428" t="s">
        <v>998</v>
      </c>
      <c r="B135" s="429"/>
      <c r="C135" s="430"/>
    </row>
    <row r="136" spans="1:3" ht="16.5" thickBot="1" x14ac:dyDescent="0.3"/>
    <row r="137" spans="1:3" ht="16.5" thickBot="1" x14ac:dyDescent="0.3">
      <c r="A137" s="396" t="s">
        <v>2250</v>
      </c>
      <c r="B137" s="397"/>
      <c r="C137" s="398"/>
    </row>
    <row r="138" spans="1:3" ht="16.5" thickBot="1" x14ac:dyDescent="0.3">
      <c r="A138" s="180" t="s">
        <v>23</v>
      </c>
      <c r="B138" s="181" t="s">
        <v>24</v>
      </c>
      <c r="C138" s="182" t="s">
        <v>1024</v>
      </c>
    </row>
    <row r="139" spans="1:3" x14ac:dyDescent="0.25">
      <c r="A139" s="390" t="s">
        <v>1021</v>
      </c>
      <c r="B139" s="187" t="s">
        <v>1022</v>
      </c>
      <c r="C139" s="188">
        <f>12.5/D4*[1]ATHENS!O2</f>
        <v>25.551470588235293</v>
      </c>
    </row>
    <row r="140" spans="1:3" ht="16.5" thickBot="1" x14ac:dyDescent="0.3">
      <c r="A140" s="391"/>
      <c r="B140" s="174" t="s">
        <v>1023</v>
      </c>
      <c r="C140" s="175">
        <f>15.5/D4*[1]ATHENS!O2</f>
        <v>31.683823529411761</v>
      </c>
    </row>
    <row r="141" spans="1:3" ht="16.5" thickBot="1" x14ac:dyDescent="0.3">
      <c r="A141" s="428" t="s">
        <v>998</v>
      </c>
      <c r="B141" s="429"/>
      <c r="C141" s="430"/>
    </row>
    <row r="142" spans="1:3" ht="9" customHeight="1" thickBot="1" x14ac:dyDescent="0.3"/>
    <row r="143" spans="1:3" ht="15.75" customHeight="1" thickBot="1" x14ac:dyDescent="0.3">
      <c r="A143" s="396" t="s">
        <v>2251</v>
      </c>
      <c r="B143" s="397"/>
      <c r="C143" s="398"/>
    </row>
    <row r="144" spans="1:3" ht="16.5" thickBot="1" x14ac:dyDescent="0.3">
      <c r="A144" s="180" t="s">
        <v>23</v>
      </c>
      <c r="B144" s="182" t="s">
        <v>24</v>
      </c>
      <c r="C144" s="258" t="s">
        <v>1024</v>
      </c>
    </row>
    <row r="145" spans="1:3" ht="16.5" thickBot="1" x14ac:dyDescent="0.3">
      <c r="A145" s="191" t="s">
        <v>985</v>
      </c>
      <c r="B145" s="259" t="s">
        <v>680</v>
      </c>
      <c r="C145" s="260">
        <f>6/D4*[1]ATHENS!O2</f>
        <v>12.264705882352938</v>
      </c>
    </row>
    <row r="146" spans="1:3" ht="16.5" customHeight="1" x14ac:dyDescent="0.25">
      <c r="A146" s="255" t="s">
        <v>998</v>
      </c>
      <c r="B146" s="256"/>
    </row>
    <row r="147" spans="1:3" ht="16.5" thickBot="1" x14ac:dyDescent="0.3"/>
    <row r="148" spans="1:3" ht="16.5" thickBot="1" x14ac:dyDescent="0.3">
      <c r="A148" s="399" t="s">
        <v>2252</v>
      </c>
      <c r="B148" s="400"/>
      <c r="C148" s="401"/>
    </row>
    <row r="149" spans="1:3" x14ac:dyDescent="0.25">
      <c r="A149" s="192" t="s">
        <v>23</v>
      </c>
      <c r="B149" s="193" t="s">
        <v>24</v>
      </c>
      <c r="C149" s="194" t="s">
        <v>1024</v>
      </c>
    </row>
    <row r="150" spans="1:3" x14ac:dyDescent="0.25">
      <c r="A150" s="402" t="s">
        <v>957</v>
      </c>
      <c r="B150" s="195" t="s">
        <v>1025</v>
      </c>
      <c r="C150" s="196">
        <f>35/D4*[1]ATHENS!O2</f>
        <v>71.544117647058812</v>
      </c>
    </row>
    <row r="151" spans="1:3" x14ac:dyDescent="0.25">
      <c r="A151" s="403"/>
      <c r="B151" s="195" t="s">
        <v>1026</v>
      </c>
      <c r="C151" s="196">
        <f>42/D4*[1]ATHENS!O2</f>
        <v>85.85294117647058</v>
      </c>
    </row>
    <row r="152" spans="1:3" x14ac:dyDescent="0.25">
      <c r="A152" s="403"/>
      <c r="B152" s="195" t="s">
        <v>1027</v>
      </c>
      <c r="C152" s="196">
        <f>50/D4*[1]ATHENS!O2</f>
        <v>102.20588235294117</v>
      </c>
    </row>
    <row r="153" spans="1:3" ht="16.5" thickBot="1" x14ac:dyDescent="0.3">
      <c r="A153" s="404"/>
      <c r="B153" s="197" t="s">
        <v>1028</v>
      </c>
      <c r="C153" s="198">
        <f>74/D4*[1]ATHENS!O2</f>
        <v>151.26470588235293</v>
      </c>
    </row>
    <row r="154" spans="1:3" x14ac:dyDescent="0.25">
      <c r="A154" s="395" t="s">
        <v>320</v>
      </c>
      <c r="B154" s="395"/>
      <c r="C154" s="395"/>
    </row>
    <row r="155" spans="1:3" ht="16.5" thickBot="1" x14ac:dyDescent="0.3">
      <c r="A155" s="251" t="s">
        <v>319</v>
      </c>
      <c r="B155" s="266"/>
    </row>
    <row r="156" spans="1:3" ht="16.5" thickBot="1" x14ac:dyDescent="0.3">
      <c r="A156" s="396" t="s">
        <v>2253</v>
      </c>
      <c r="B156" s="397"/>
      <c r="C156" s="398"/>
    </row>
    <row r="157" spans="1:3" x14ac:dyDescent="0.25">
      <c r="A157" s="199" t="s">
        <v>23</v>
      </c>
      <c r="B157" s="199" t="s">
        <v>24</v>
      </c>
      <c r="C157" s="199" t="s">
        <v>1024</v>
      </c>
    </row>
    <row r="158" spans="1:3" ht="16.5" customHeight="1" x14ac:dyDescent="0.25">
      <c r="A158" s="392" t="s">
        <v>41</v>
      </c>
      <c r="B158" s="172" t="s">
        <v>1029</v>
      </c>
      <c r="C158" s="200">
        <f>34/D4*[1]ATHENS!O2</f>
        <v>69.499999999999986</v>
      </c>
    </row>
    <row r="159" spans="1:3" x14ac:dyDescent="0.25">
      <c r="A159" s="393"/>
      <c r="B159" s="172" t="s">
        <v>1030</v>
      </c>
      <c r="C159" s="200">
        <f>51/D4*[1]ATHENS!O2</f>
        <v>104.24999999999999</v>
      </c>
    </row>
    <row r="160" spans="1:3" x14ac:dyDescent="0.25">
      <c r="A160" s="394"/>
      <c r="B160" s="172" t="s">
        <v>1031</v>
      </c>
      <c r="C160" s="200">
        <f>65/D4*[1]ATHENS!O2</f>
        <v>132.86764705882351</v>
      </c>
    </row>
    <row r="161" spans="1:3" x14ac:dyDescent="0.25">
      <c r="A161" s="392" t="s">
        <v>1032</v>
      </c>
      <c r="B161" s="172" t="s">
        <v>1033</v>
      </c>
      <c r="C161" s="200">
        <f>34/D4*[1]ATHENS!O2</f>
        <v>69.499999999999986</v>
      </c>
    </row>
    <row r="162" spans="1:3" ht="16.5" customHeight="1" x14ac:dyDescent="0.25">
      <c r="A162" s="393"/>
      <c r="B162" s="172" t="s">
        <v>1034</v>
      </c>
      <c r="C162" s="200">
        <f>54/D4*[1]ATHENS!O2</f>
        <v>110.38235294117645</v>
      </c>
    </row>
    <row r="163" spans="1:3" ht="14.25" customHeight="1" x14ac:dyDescent="0.25">
      <c r="A163" s="394"/>
      <c r="B163" s="172" t="s">
        <v>1035</v>
      </c>
      <c r="C163" s="200">
        <f>70/D4*[1]ATHENS!O2</f>
        <v>143.08823529411762</v>
      </c>
    </row>
    <row r="164" spans="1:3" x14ac:dyDescent="0.25">
      <c r="A164" s="392" t="s">
        <v>1036</v>
      </c>
      <c r="B164" s="172" t="s">
        <v>1037</v>
      </c>
      <c r="C164" s="200">
        <f>34/D4*[1]ATHENS!O2</f>
        <v>69.499999999999986</v>
      </c>
    </row>
    <row r="165" spans="1:3" x14ac:dyDescent="0.25">
      <c r="A165" s="394"/>
      <c r="B165" s="172" t="s">
        <v>1038</v>
      </c>
      <c r="C165" s="200">
        <f>51/D4*[1]ATHENS!O2</f>
        <v>104.24999999999999</v>
      </c>
    </row>
    <row r="166" spans="1:3" x14ac:dyDescent="0.25">
      <c r="A166" s="392" t="s">
        <v>1039</v>
      </c>
      <c r="B166" s="172" t="s">
        <v>1040</v>
      </c>
      <c r="C166" s="200">
        <f>34/D4*[1]ATHENS!O2</f>
        <v>69.499999999999986</v>
      </c>
    </row>
    <row r="167" spans="1:3" ht="16.5" thickBot="1" x14ac:dyDescent="0.3">
      <c r="A167" s="432"/>
      <c r="B167" s="174" t="s">
        <v>1041</v>
      </c>
      <c r="C167" s="201">
        <f>51/D4*[1]ATHENS!O2</f>
        <v>104.24999999999999</v>
      </c>
    </row>
    <row r="168" spans="1:3" x14ac:dyDescent="0.25">
      <c r="A168" s="395" t="s">
        <v>320</v>
      </c>
      <c r="B168" s="395"/>
      <c r="C168" s="395"/>
    </row>
    <row r="169" spans="1:3" ht="12.75" customHeight="1" thickBot="1" x14ac:dyDescent="0.3">
      <c r="A169" s="251" t="s">
        <v>319</v>
      </c>
      <c r="B169" s="266"/>
      <c r="C169" s="266"/>
    </row>
    <row r="170" spans="1:3" ht="16.5" thickBot="1" x14ac:dyDescent="0.3">
      <c r="A170" s="421" t="s">
        <v>2254</v>
      </c>
      <c r="B170" s="422"/>
      <c r="C170" s="423"/>
    </row>
    <row r="171" spans="1:3" ht="16.5" thickBot="1" x14ac:dyDescent="0.3">
      <c r="A171" s="277" t="s">
        <v>23</v>
      </c>
      <c r="B171" s="276" t="s">
        <v>24</v>
      </c>
      <c r="C171" s="275" t="s">
        <v>1024</v>
      </c>
    </row>
    <row r="172" spans="1:3" x14ac:dyDescent="0.25">
      <c r="A172" s="388" t="s">
        <v>1042</v>
      </c>
      <c r="B172" s="274" t="s">
        <v>1043</v>
      </c>
      <c r="C172" s="273">
        <f>12.5/D4*[1]ATHENS!O2</f>
        <v>25.551470588235293</v>
      </c>
    </row>
    <row r="173" spans="1:3" x14ac:dyDescent="0.25">
      <c r="A173" s="406"/>
      <c r="B173" s="272" t="s">
        <v>1044</v>
      </c>
      <c r="C173" s="271">
        <f>20/D4*[1]ATHENS!O2</f>
        <v>40.882352941176464</v>
      </c>
    </row>
    <row r="174" spans="1:3" ht="16.5" customHeight="1" thickBot="1" x14ac:dyDescent="0.3">
      <c r="A174" s="389"/>
      <c r="B174" s="270" t="s">
        <v>1045</v>
      </c>
      <c r="C174" s="269">
        <f>16.5/D4*[1]ATHENS!O2</f>
        <v>33.72794117647058</v>
      </c>
    </row>
    <row r="175" spans="1:3" ht="16.5" customHeight="1" x14ac:dyDescent="0.25">
      <c r="A175" s="255" t="s">
        <v>998</v>
      </c>
      <c r="B175" s="256"/>
      <c r="C175" s="257" t="s">
        <v>325</v>
      </c>
    </row>
    <row r="176" spans="1:3" ht="16.5" thickBot="1" x14ac:dyDescent="0.3"/>
    <row r="177" spans="1:3" ht="16.5" thickBot="1" x14ac:dyDescent="0.3">
      <c r="A177" s="399" t="s">
        <v>2255</v>
      </c>
      <c r="B177" s="400"/>
      <c r="C177" s="401"/>
    </row>
    <row r="178" spans="1:3" ht="15.75" customHeight="1" thickBot="1" x14ac:dyDescent="0.3">
      <c r="A178" s="202" t="s">
        <v>23</v>
      </c>
      <c r="B178" s="203" t="s">
        <v>24</v>
      </c>
      <c r="C178" s="204" t="s">
        <v>1024</v>
      </c>
    </row>
    <row r="179" spans="1:3" x14ac:dyDescent="0.25">
      <c r="A179" s="433" t="s">
        <v>957</v>
      </c>
      <c r="B179" s="205" t="s">
        <v>1046</v>
      </c>
      <c r="C179" s="206">
        <f>14.2/D4*[1]ATHENS!O2</f>
        <v>29.026470588235288</v>
      </c>
    </row>
    <row r="180" spans="1:3" ht="16.5" thickBot="1" x14ac:dyDescent="0.3">
      <c r="A180" s="404"/>
      <c r="B180" s="197" t="s">
        <v>1047</v>
      </c>
      <c r="C180" s="207">
        <f>19.5/D4*[1]ATHENS!O2</f>
        <v>39.860294117647058</v>
      </c>
    </row>
    <row r="181" spans="1:3" ht="16.5" customHeight="1" thickBot="1" x14ac:dyDescent="0.3">
      <c r="A181" s="428" t="s">
        <v>998</v>
      </c>
      <c r="B181" s="429"/>
      <c r="C181" s="430"/>
    </row>
    <row r="182" spans="1:3" ht="16.5" thickBot="1" x14ac:dyDescent="0.3"/>
    <row r="183" spans="1:3" ht="16.5" thickBot="1" x14ac:dyDescent="0.3">
      <c r="A183" s="396" t="s">
        <v>2256</v>
      </c>
      <c r="B183" s="397"/>
      <c r="C183" s="398"/>
    </row>
    <row r="184" spans="1:3" ht="16.5" thickBot="1" x14ac:dyDescent="0.3">
      <c r="A184" s="208" t="s">
        <v>23</v>
      </c>
      <c r="B184" s="209" t="s">
        <v>24</v>
      </c>
      <c r="C184" s="210" t="s">
        <v>1024</v>
      </c>
    </row>
    <row r="185" spans="1:3" x14ac:dyDescent="0.25">
      <c r="A185" s="390" t="s">
        <v>1021</v>
      </c>
      <c r="B185" s="187" t="s">
        <v>1048</v>
      </c>
      <c r="C185" s="188">
        <f>13.5/D4*[1]ATHENS!O2</f>
        <v>27.595588235294112</v>
      </c>
    </row>
    <row r="186" spans="1:3" x14ac:dyDescent="0.25">
      <c r="A186" s="415"/>
      <c r="B186" s="189" t="s">
        <v>1049</v>
      </c>
      <c r="C186" s="190">
        <f>16.5/D4*[1]ATHENS!O2</f>
        <v>33.72794117647058</v>
      </c>
    </row>
    <row r="187" spans="1:3" ht="16.5" thickBot="1" x14ac:dyDescent="0.3">
      <c r="A187" s="391"/>
      <c r="B187" s="164" t="s">
        <v>1050</v>
      </c>
      <c r="C187" s="165">
        <f>19/D4*[1]ATHENS!O2</f>
        <v>38.838235294117638</v>
      </c>
    </row>
    <row r="188" spans="1:3" ht="16.5" customHeight="1" thickBot="1" x14ac:dyDescent="0.3">
      <c r="A188" s="428" t="s">
        <v>998</v>
      </c>
      <c r="B188" s="429"/>
      <c r="C188" s="430"/>
    </row>
    <row r="189" spans="1:3" ht="16.5" thickBot="1" x14ac:dyDescent="0.3"/>
    <row r="190" spans="1:3" ht="16.5" thickBot="1" x14ac:dyDescent="0.3">
      <c r="A190" s="396" t="s">
        <v>2257</v>
      </c>
      <c r="B190" s="397"/>
      <c r="C190" s="398"/>
    </row>
    <row r="191" spans="1:3" x14ac:dyDescent="0.25">
      <c r="A191" s="211" t="s">
        <v>23</v>
      </c>
      <c r="B191" s="212" t="s">
        <v>24</v>
      </c>
      <c r="C191" s="213" t="s">
        <v>1024</v>
      </c>
    </row>
    <row r="192" spans="1:3" ht="16.5" thickBot="1" x14ac:dyDescent="0.3">
      <c r="A192" s="214" t="s">
        <v>41</v>
      </c>
      <c r="B192" s="174" t="s">
        <v>1051</v>
      </c>
      <c r="C192" s="175">
        <f>45.5/D4*[1]ATHENS!O2</f>
        <v>93.007352941176464</v>
      </c>
    </row>
    <row r="193" spans="1:3" x14ac:dyDescent="0.25">
      <c r="A193" s="395" t="s">
        <v>320</v>
      </c>
      <c r="B193" s="395"/>
      <c r="C193" s="395"/>
    </row>
    <row r="194" spans="1:3" ht="16.5" thickBot="1" x14ac:dyDescent="0.3">
      <c r="A194" s="251" t="s">
        <v>319</v>
      </c>
      <c r="B194" s="266"/>
      <c r="C194" s="266"/>
    </row>
    <row r="195" spans="1:3" ht="16.5" thickBot="1" x14ac:dyDescent="0.3">
      <c r="A195" s="396" t="s">
        <v>2258</v>
      </c>
      <c r="B195" s="397"/>
      <c r="C195" s="398"/>
    </row>
    <row r="196" spans="1:3" ht="16.5" thickBot="1" x14ac:dyDescent="0.3">
      <c r="A196" s="180" t="s">
        <v>23</v>
      </c>
      <c r="B196" s="181" t="s">
        <v>24</v>
      </c>
      <c r="C196" s="182" t="s">
        <v>1024</v>
      </c>
    </row>
    <row r="197" spans="1:3" x14ac:dyDescent="0.25">
      <c r="A197" s="390" t="s">
        <v>957</v>
      </c>
      <c r="B197" s="170" t="s">
        <v>1052</v>
      </c>
      <c r="C197" s="171">
        <f>30/D4*[1]ATHENS!O2</f>
        <v>61.323529411764703</v>
      </c>
    </row>
    <row r="198" spans="1:3" x14ac:dyDescent="0.25">
      <c r="A198" s="415"/>
      <c r="B198" s="172" t="s">
        <v>1053</v>
      </c>
      <c r="C198" s="173">
        <f>39/D4*[1]ATHENS!O2</f>
        <v>79.720588235294116</v>
      </c>
    </row>
    <row r="199" spans="1:3" ht="16.5" thickBot="1" x14ac:dyDescent="0.3">
      <c r="A199" s="391"/>
      <c r="B199" s="174" t="s">
        <v>1054</v>
      </c>
      <c r="C199" s="175">
        <f>63/D4*[1]ATHENS!O2</f>
        <v>128.77941176470586</v>
      </c>
    </row>
    <row r="200" spans="1:3" x14ac:dyDescent="0.25">
      <c r="A200" s="395" t="s">
        <v>320</v>
      </c>
      <c r="B200" s="395"/>
      <c r="C200" s="395"/>
    </row>
    <row r="201" spans="1:3" x14ac:dyDescent="0.25">
      <c r="A201" s="251" t="s">
        <v>319</v>
      </c>
      <c r="B201" s="266"/>
      <c r="C201" s="254" t="s">
        <v>326</v>
      </c>
    </row>
  </sheetData>
  <sheetProtection formatCells="0" formatColumns="0" formatRows="0" insertColumns="0" insertRows="0" insertHyperlinks="0" deleteColumns="0" deleteRows="0"/>
  <customSheetViews>
    <customSheetView guid="{3C76061C-A85D-4390-B9DB-73E13038638C}" showPageBreaks="1" showGridLines="0" hiddenColumns="1" view="pageLayout">
      <selection activeCell="A7" sqref="A7:C7"/>
      <rowBreaks count="3" manualBreakCount="3">
        <brk id="59" max="16383" man="1"/>
        <brk id="118" max="16383" man="1"/>
        <brk id="175" max="16383" man="1"/>
      </rowBreaks>
      <pageMargins left="0.28125" right="0.25" top="0.6692913385826772" bottom="0.70866141732283472" header="0.23622047244094491" footer="0.47244094488188981"/>
      <printOptions horizontalCentered="1"/>
      <pageSetup paperSize="9" orientation="portrait" useFirstPageNumber="1" horizontalDpi="300" verticalDpi="300" r:id="rId1"/>
      <headerFooter scaleWithDoc="0" alignWithMargins="0">
        <oddHeader xml:space="preserve">&amp;C TARIFF 2019
 (EURO)
TRANSFERS 
</oddHeader>
        <oddFooter>&amp;LAll rates are in EURO&amp;C
TARIFF 2019
&amp;RPage &amp;P</oddFooter>
      </headerFooter>
    </customSheetView>
  </customSheetViews>
  <mergeCells count="70">
    <mergeCell ref="A195:C195"/>
    <mergeCell ref="A114:C114"/>
    <mergeCell ref="A200:C200"/>
    <mergeCell ref="A177:C177"/>
    <mergeCell ref="A166:A167"/>
    <mergeCell ref="A197:A199"/>
    <mergeCell ref="A172:A174"/>
    <mergeCell ref="A179:A180"/>
    <mergeCell ref="A185:A187"/>
    <mergeCell ref="A190:C190"/>
    <mergeCell ref="A183:C183"/>
    <mergeCell ref="A156:C156"/>
    <mergeCell ref="A158:A160"/>
    <mergeCell ref="A141:C141"/>
    <mergeCell ref="A135:C135"/>
    <mergeCell ref="A139:A140"/>
    <mergeCell ref="A24:C24"/>
    <mergeCell ref="A170:C170"/>
    <mergeCell ref="A188:C188"/>
    <mergeCell ref="A193:C193"/>
    <mergeCell ref="A181:C181"/>
    <mergeCell ref="A168:C168"/>
    <mergeCell ref="A69:A74"/>
    <mergeCell ref="A109:A110"/>
    <mergeCell ref="A104:C104"/>
    <mergeCell ref="A34:C34"/>
    <mergeCell ref="A122:A124"/>
    <mergeCell ref="A125:C125"/>
    <mergeCell ref="A129:A130"/>
    <mergeCell ref="A127:C127"/>
    <mergeCell ref="A164:A165"/>
    <mergeCell ref="A137:C137"/>
    <mergeCell ref="A26:A29"/>
    <mergeCell ref="A100:C100"/>
    <mergeCell ref="A77:C77"/>
    <mergeCell ref="A65:C65"/>
    <mergeCell ref="A62:A64"/>
    <mergeCell ref="A75:C75"/>
    <mergeCell ref="A67:C67"/>
    <mergeCell ref="A50:A52"/>
    <mergeCell ref="A37:C37"/>
    <mergeCell ref="A98:C98"/>
    <mergeCell ref="A53:A54"/>
    <mergeCell ref="A1:C2"/>
    <mergeCell ref="A79:A90"/>
    <mergeCell ref="A91:A97"/>
    <mergeCell ref="A48:C48"/>
    <mergeCell ref="A55:A57"/>
    <mergeCell ref="A30:A33"/>
    <mergeCell ref="A60:C60"/>
    <mergeCell ref="A58:C58"/>
    <mergeCell ref="A3:C3"/>
    <mergeCell ref="A43:A45"/>
    <mergeCell ref="A5:A6"/>
    <mergeCell ref="A7:C7"/>
    <mergeCell ref="A9:C9"/>
    <mergeCell ref="A39:A42"/>
    <mergeCell ref="A11:A13"/>
    <mergeCell ref="A16:A20"/>
    <mergeCell ref="A116:A117"/>
    <mergeCell ref="A102:A103"/>
    <mergeCell ref="A161:A163"/>
    <mergeCell ref="A154:C154"/>
    <mergeCell ref="A143:C143"/>
    <mergeCell ref="A148:C148"/>
    <mergeCell ref="A150:A153"/>
    <mergeCell ref="A120:C120"/>
    <mergeCell ref="A131:A134"/>
    <mergeCell ref="A111:C111"/>
    <mergeCell ref="A106:C106"/>
  </mergeCells>
  <printOptions horizontalCentered="1"/>
  <pageMargins left="0.28125" right="0.25" top="0.6692913385826772" bottom="0.70866141732283472" header="0.23622047244094491" footer="0.47244094488188981"/>
  <pageSetup paperSize="9" orientation="portrait" useFirstPageNumber="1" horizontalDpi="300" verticalDpi="300" r:id="rId2"/>
  <headerFooter scaleWithDoc="0" alignWithMargins="0">
    <oddHeader xml:space="preserve">&amp;C TARIFF 2021
 (EURO)
</oddHeader>
    <oddFooter>&amp;LAll rates are in EURO&amp;C
TARIFF 2021
&amp;RPage &amp;P</oddFooter>
  </headerFooter>
  <rowBreaks count="3" manualBreakCount="3">
    <brk id="59" max="16383" man="1"/>
    <brk id="118" max="16383" man="1"/>
    <brk id="17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Φύλλο9"/>
  <dimension ref="A1:AI982"/>
  <sheetViews>
    <sheetView showGridLines="0" view="pageLayout" zoomScaleNormal="100" zoomScaleSheetLayoutView="100" workbookViewId="0">
      <selection activeCell="M53" sqref="M53"/>
    </sheetView>
  </sheetViews>
  <sheetFormatPr defaultRowHeight="12.75" x14ac:dyDescent="0.2"/>
  <cols>
    <col min="1" max="1" width="1.85546875" style="14" customWidth="1"/>
    <col min="2" max="3" width="10.7109375" style="15" customWidth="1"/>
    <col min="4" max="4" width="3.7109375" style="15" customWidth="1"/>
    <col min="5" max="9" width="3.7109375" style="16" customWidth="1"/>
    <col min="10" max="13" width="10.7109375" style="16" bestFit="1" customWidth="1"/>
    <col min="14" max="14" width="8.5703125" style="16" customWidth="1"/>
    <col min="15" max="15" width="0.42578125" style="17" customWidth="1"/>
    <col min="16" max="16" width="5.85546875" style="17" customWidth="1"/>
    <col min="17" max="27" width="2.7109375" style="17" customWidth="1"/>
    <col min="28" max="16384" width="9.140625" style="17"/>
  </cols>
  <sheetData>
    <row r="1" spans="1:35" x14ac:dyDescent="0.2">
      <c r="A1" s="52"/>
      <c r="B1" s="27"/>
      <c r="C1" s="27"/>
      <c r="D1" s="27"/>
      <c r="E1" s="28"/>
      <c r="F1" s="28"/>
      <c r="G1" s="28"/>
      <c r="H1" s="28"/>
      <c r="I1" s="28"/>
      <c r="J1" s="28"/>
      <c r="K1" s="28"/>
      <c r="L1" s="28"/>
      <c r="M1" s="28"/>
      <c r="N1" s="28"/>
      <c r="O1" s="223">
        <v>0.55000000000000004</v>
      </c>
      <c r="P1"/>
      <c r="Q1"/>
      <c r="R1"/>
      <c r="S1"/>
      <c r="T1"/>
      <c r="U1"/>
      <c r="V1"/>
      <c r="W1"/>
      <c r="X1"/>
      <c r="Y1"/>
      <c r="Z1"/>
      <c r="AA1"/>
      <c r="AB1"/>
      <c r="AC1"/>
      <c r="AD1"/>
      <c r="AE1"/>
      <c r="AF1"/>
      <c r="AG1"/>
      <c r="AH1"/>
      <c r="AI1"/>
    </row>
    <row r="2" spans="1:35" ht="15" x14ac:dyDescent="0.2">
      <c r="A2" s="52"/>
      <c r="B2" s="449"/>
      <c r="C2" s="449"/>
      <c r="D2" s="449"/>
      <c r="E2" s="449"/>
      <c r="F2" s="449"/>
      <c r="G2" s="449"/>
      <c r="H2" s="449"/>
      <c r="I2" s="449"/>
      <c r="J2" s="449"/>
      <c r="K2" s="449"/>
      <c r="L2" s="449"/>
      <c r="M2" s="449"/>
      <c r="N2" s="324"/>
      <c r="O2" s="158">
        <v>1</v>
      </c>
      <c r="P2"/>
      <c r="Q2"/>
      <c r="R2"/>
      <c r="S2"/>
      <c r="T2"/>
      <c r="U2"/>
      <c r="V2"/>
      <c r="W2"/>
      <c r="X2"/>
      <c r="Y2"/>
      <c r="Z2"/>
      <c r="AA2"/>
      <c r="AB2"/>
      <c r="AC2"/>
      <c r="AD2"/>
      <c r="AE2"/>
      <c r="AF2"/>
      <c r="AG2"/>
      <c r="AH2"/>
      <c r="AI2"/>
    </row>
    <row r="3" spans="1:35" ht="13.5" thickBot="1" x14ac:dyDescent="0.25">
      <c r="P3"/>
      <c r="Q3"/>
      <c r="R3"/>
      <c r="S3"/>
      <c r="T3"/>
      <c r="U3"/>
      <c r="V3"/>
      <c r="W3"/>
      <c r="X3"/>
      <c r="Y3"/>
      <c r="Z3"/>
      <c r="AA3"/>
      <c r="AB3"/>
      <c r="AC3"/>
      <c r="AD3"/>
      <c r="AE3"/>
      <c r="AF3"/>
      <c r="AG3"/>
      <c r="AH3"/>
      <c r="AI3"/>
    </row>
    <row r="4" spans="1:35" x14ac:dyDescent="0.2">
      <c r="A4" s="20"/>
      <c r="B4" s="21"/>
      <c r="C4" s="21"/>
      <c r="D4" s="21"/>
      <c r="E4" s="22"/>
      <c r="F4" s="22"/>
      <c r="G4" s="22"/>
      <c r="H4" s="22"/>
      <c r="I4" s="22"/>
      <c r="J4" s="22"/>
      <c r="K4" s="22"/>
      <c r="L4" s="22"/>
      <c r="M4" s="22"/>
      <c r="N4" s="23"/>
      <c r="P4"/>
      <c r="Q4"/>
      <c r="R4"/>
      <c r="S4"/>
      <c r="T4"/>
      <c r="U4"/>
      <c r="V4"/>
      <c r="W4"/>
      <c r="X4"/>
      <c r="Y4"/>
      <c r="Z4"/>
      <c r="AA4"/>
      <c r="AB4"/>
      <c r="AC4"/>
      <c r="AD4"/>
      <c r="AE4"/>
      <c r="AF4"/>
      <c r="AG4"/>
      <c r="AH4"/>
      <c r="AI4"/>
    </row>
    <row r="5" spans="1:35" ht="15" x14ac:dyDescent="0.2">
      <c r="A5" s="24"/>
      <c r="B5" s="440" t="s">
        <v>1146</v>
      </c>
      <c r="C5" s="441"/>
      <c r="D5" s="441"/>
      <c r="E5" s="441"/>
      <c r="F5" s="441"/>
      <c r="G5" s="441"/>
      <c r="H5" s="441"/>
      <c r="I5" s="441"/>
      <c r="J5" s="441"/>
      <c r="K5" s="441"/>
      <c r="L5" s="441"/>
      <c r="M5" s="442"/>
      <c r="N5" s="25" t="s">
        <v>904</v>
      </c>
      <c r="P5"/>
      <c r="Q5"/>
      <c r="R5"/>
      <c r="S5"/>
      <c r="T5"/>
      <c r="U5"/>
      <c r="V5"/>
      <c r="W5"/>
      <c r="X5"/>
      <c r="Y5"/>
      <c r="Z5"/>
      <c r="AA5"/>
      <c r="AB5"/>
      <c r="AC5"/>
      <c r="AD5"/>
      <c r="AE5"/>
      <c r="AF5"/>
      <c r="AG5"/>
      <c r="AH5"/>
      <c r="AI5"/>
    </row>
    <row r="6" spans="1:35" x14ac:dyDescent="0.2">
      <c r="A6" s="24"/>
      <c r="B6" s="26" t="s">
        <v>428</v>
      </c>
      <c r="C6" s="27" t="s">
        <v>66</v>
      </c>
      <c r="D6" s="27"/>
      <c r="E6" s="28"/>
      <c r="F6" s="28"/>
      <c r="G6" s="28"/>
      <c r="H6" s="28"/>
      <c r="I6" s="28"/>
      <c r="J6" s="28"/>
      <c r="K6" s="28"/>
      <c r="L6" s="28"/>
      <c r="M6" s="28"/>
      <c r="N6" s="29"/>
      <c r="P6"/>
      <c r="Q6"/>
      <c r="R6"/>
      <c r="S6"/>
      <c r="T6"/>
      <c r="U6"/>
      <c r="V6"/>
      <c r="W6"/>
      <c r="X6"/>
      <c r="Y6"/>
      <c r="Z6"/>
      <c r="AA6"/>
      <c r="AB6"/>
      <c r="AC6"/>
      <c r="AD6"/>
      <c r="AE6"/>
      <c r="AF6"/>
      <c r="AG6"/>
      <c r="AH6"/>
      <c r="AI6"/>
    </row>
    <row r="7" spans="1:35" x14ac:dyDescent="0.2">
      <c r="A7" s="24"/>
      <c r="B7" s="26" t="s">
        <v>429</v>
      </c>
      <c r="C7" s="27" t="s">
        <v>1354</v>
      </c>
      <c r="D7" s="27"/>
      <c r="E7" s="28"/>
      <c r="F7" s="28"/>
      <c r="G7" s="28"/>
      <c r="H7" s="28"/>
      <c r="I7" s="28"/>
      <c r="J7" s="28"/>
      <c r="K7" s="28"/>
      <c r="L7" s="28"/>
      <c r="M7" s="28"/>
      <c r="N7" s="29"/>
      <c r="P7"/>
      <c r="Q7"/>
      <c r="R7"/>
      <c r="S7"/>
      <c r="T7"/>
      <c r="U7"/>
      <c r="V7"/>
      <c r="W7"/>
      <c r="X7"/>
      <c r="Y7"/>
      <c r="Z7"/>
      <c r="AA7"/>
      <c r="AB7"/>
      <c r="AC7"/>
      <c r="AD7"/>
      <c r="AE7"/>
      <c r="AF7"/>
      <c r="AG7"/>
      <c r="AH7"/>
      <c r="AI7"/>
    </row>
    <row r="8" spans="1:35" x14ac:dyDescent="0.2">
      <c r="A8" s="24"/>
      <c r="B8" s="26" t="s">
        <v>427</v>
      </c>
      <c r="C8" s="436" t="s">
        <v>1539</v>
      </c>
      <c r="D8" s="436"/>
      <c r="E8" s="436"/>
      <c r="F8" s="436"/>
      <c r="G8" s="436"/>
      <c r="H8" s="436"/>
      <c r="I8" s="436"/>
      <c r="J8" s="436"/>
      <c r="K8" s="436"/>
      <c r="L8" s="436"/>
      <c r="M8" s="436"/>
      <c r="N8" s="437"/>
      <c r="P8"/>
      <c r="Q8"/>
      <c r="R8"/>
      <c r="S8"/>
      <c r="T8"/>
      <c r="U8"/>
      <c r="V8"/>
      <c r="W8"/>
      <c r="X8"/>
      <c r="Y8"/>
      <c r="Z8"/>
      <c r="AA8"/>
      <c r="AB8"/>
      <c r="AC8"/>
      <c r="AD8"/>
      <c r="AE8"/>
      <c r="AF8"/>
      <c r="AG8"/>
      <c r="AH8"/>
      <c r="AI8"/>
    </row>
    <row r="9" spans="1:35" x14ac:dyDescent="0.2">
      <c r="A9" s="24"/>
      <c r="C9" s="446"/>
      <c r="D9" s="446"/>
      <c r="E9" s="446"/>
      <c r="F9" s="446"/>
      <c r="G9" s="446"/>
      <c r="H9" s="446"/>
      <c r="I9" s="446"/>
      <c r="J9" s="446"/>
      <c r="K9" s="446"/>
      <c r="L9" s="446"/>
      <c r="M9" s="446"/>
      <c r="N9" s="447"/>
      <c r="P9"/>
      <c r="Q9"/>
      <c r="R9"/>
      <c r="S9"/>
      <c r="T9"/>
      <c r="U9"/>
      <c r="V9"/>
      <c r="W9"/>
      <c r="X9"/>
      <c r="Y9"/>
      <c r="Z9"/>
      <c r="AA9"/>
      <c r="AB9"/>
      <c r="AC9"/>
      <c r="AD9"/>
      <c r="AE9"/>
      <c r="AF9"/>
      <c r="AG9"/>
      <c r="AH9"/>
      <c r="AI9"/>
    </row>
    <row r="10" spans="1:35" x14ac:dyDescent="0.2">
      <c r="A10" s="24"/>
      <c r="B10" s="26" t="s">
        <v>426</v>
      </c>
      <c r="C10" s="27" t="s">
        <v>1353</v>
      </c>
      <c r="D10" s="27"/>
      <c r="E10" s="28"/>
      <c r="F10" s="28"/>
      <c r="G10" s="28"/>
      <c r="H10" s="28"/>
      <c r="I10" s="28"/>
      <c r="J10" s="28"/>
      <c r="K10" s="28"/>
      <c r="L10" s="28"/>
      <c r="M10" s="28"/>
      <c r="N10" s="29"/>
      <c r="P10"/>
      <c r="Q10"/>
      <c r="R10"/>
      <c r="S10"/>
      <c r="T10"/>
      <c r="U10"/>
      <c r="V10"/>
      <c r="W10"/>
      <c r="X10"/>
      <c r="Y10"/>
      <c r="Z10"/>
      <c r="AA10"/>
      <c r="AB10"/>
      <c r="AC10"/>
      <c r="AD10"/>
      <c r="AE10"/>
      <c r="AF10"/>
      <c r="AG10"/>
      <c r="AH10"/>
      <c r="AI10"/>
    </row>
    <row r="11" spans="1:35" ht="13.5" thickBot="1" x14ac:dyDescent="0.25">
      <c r="A11" s="30"/>
      <c r="B11" s="26" t="s">
        <v>430</v>
      </c>
      <c r="C11" s="27"/>
      <c r="D11" s="31"/>
      <c r="E11" s="32"/>
      <c r="F11" s="32"/>
      <c r="G11" s="32"/>
      <c r="H11" s="32"/>
      <c r="I11" s="32"/>
      <c r="J11" s="32"/>
      <c r="K11" s="32"/>
      <c r="L11" s="32"/>
      <c r="M11" s="32"/>
      <c r="N11" s="33"/>
      <c r="P11"/>
      <c r="Q11"/>
      <c r="R11"/>
      <c r="S11"/>
      <c r="T11"/>
      <c r="U11"/>
      <c r="V11"/>
      <c r="W11"/>
      <c r="X11"/>
      <c r="Y11"/>
      <c r="Z11"/>
      <c r="AA11"/>
      <c r="AB11"/>
      <c r="AC11"/>
      <c r="AD11"/>
      <c r="AE11"/>
      <c r="AF11"/>
      <c r="AG11"/>
      <c r="AH11"/>
      <c r="AI11"/>
    </row>
    <row r="12" spans="1:35" x14ac:dyDescent="0.2">
      <c r="A12" s="20"/>
      <c r="B12" s="21" t="s">
        <v>263</v>
      </c>
      <c r="C12" s="21"/>
      <c r="D12" s="21"/>
      <c r="E12" s="22"/>
      <c r="F12" s="22"/>
      <c r="G12" s="22"/>
      <c r="H12" s="22"/>
      <c r="I12" s="22"/>
      <c r="J12" s="34" t="s">
        <v>1556</v>
      </c>
      <c r="K12" s="35" t="s">
        <v>1557</v>
      </c>
      <c r="L12" s="36"/>
      <c r="M12" s="35"/>
      <c r="N12" s="37"/>
      <c r="P12"/>
      <c r="Q12"/>
      <c r="R12"/>
      <c r="S12"/>
      <c r="T12"/>
      <c r="U12"/>
      <c r="V12"/>
      <c r="W12"/>
      <c r="X12"/>
      <c r="Y12"/>
      <c r="Z12"/>
      <c r="AA12"/>
      <c r="AB12"/>
      <c r="AC12"/>
      <c r="AD12"/>
      <c r="AE12"/>
      <c r="AF12"/>
      <c r="AG12"/>
      <c r="AH12"/>
      <c r="AI12"/>
    </row>
    <row r="13" spans="1:35" ht="13.5" thickBot="1" x14ac:dyDescent="0.25">
      <c r="A13" s="30"/>
      <c r="B13" s="31"/>
      <c r="C13" s="31"/>
      <c r="D13" s="31"/>
      <c r="E13" s="32"/>
      <c r="F13" s="32"/>
      <c r="G13" s="32"/>
      <c r="H13" s="32"/>
      <c r="I13" s="32"/>
      <c r="J13" s="38" t="s">
        <v>271</v>
      </c>
      <c r="K13" s="39"/>
      <c r="L13" s="39"/>
      <c r="M13" s="39"/>
      <c r="N13" s="40"/>
      <c r="P13"/>
      <c r="Q13"/>
      <c r="R13"/>
      <c r="S13"/>
      <c r="T13"/>
      <c r="U13"/>
      <c r="V13"/>
      <c r="W13"/>
      <c r="X13"/>
      <c r="Y13"/>
      <c r="Z13"/>
      <c r="AA13"/>
      <c r="AB13"/>
      <c r="AC13"/>
      <c r="AD13"/>
      <c r="AE13"/>
      <c r="AF13"/>
      <c r="AG13"/>
      <c r="AH13"/>
      <c r="AI13"/>
    </row>
    <row r="14" spans="1:35" x14ac:dyDescent="0.2">
      <c r="A14" s="20"/>
      <c r="B14" s="434" t="s">
        <v>67</v>
      </c>
      <c r="C14" s="434"/>
      <c r="D14" s="434"/>
      <c r="E14" s="22"/>
      <c r="F14" s="22" t="s">
        <v>1180</v>
      </c>
      <c r="G14" s="22" t="s">
        <v>68</v>
      </c>
      <c r="H14" s="22" t="s">
        <v>702</v>
      </c>
      <c r="I14" s="22"/>
      <c r="J14" s="71">
        <f>160.92/O1*O2</f>
        <v>292.58181818181811</v>
      </c>
      <c r="K14" s="71">
        <f>274.5/O1*O2</f>
        <v>499.09090909090907</v>
      </c>
      <c r="L14" s="71"/>
      <c r="M14" s="71"/>
      <c r="N14" s="42"/>
      <c r="P14"/>
      <c r="Q14"/>
      <c r="R14"/>
      <c r="S14"/>
      <c r="T14"/>
      <c r="U14"/>
      <c r="V14"/>
      <c r="W14"/>
      <c r="X14"/>
      <c r="Y14"/>
      <c r="Z14"/>
      <c r="AA14"/>
      <c r="AB14"/>
      <c r="AC14"/>
      <c r="AD14"/>
      <c r="AE14"/>
      <c r="AF14"/>
      <c r="AG14"/>
      <c r="AH14"/>
      <c r="AI14"/>
    </row>
    <row r="15" spans="1:35" x14ac:dyDescent="0.2">
      <c r="A15" s="24"/>
      <c r="B15" s="435" t="s">
        <v>67</v>
      </c>
      <c r="C15" s="435"/>
      <c r="D15" s="435"/>
      <c r="E15" s="28"/>
      <c r="F15" s="28" t="s">
        <v>1181</v>
      </c>
      <c r="G15" s="28" t="s">
        <v>68</v>
      </c>
      <c r="H15" s="28" t="s">
        <v>702</v>
      </c>
      <c r="I15" s="28"/>
      <c r="J15" s="72">
        <f>95.5/O1*O2</f>
        <v>173.63636363636363</v>
      </c>
      <c r="K15" s="72">
        <f>151.82/O1*O2</f>
        <v>276.0363636363636</v>
      </c>
      <c r="L15" s="72"/>
      <c r="M15" s="72"/>
      <c r="N15" s="44"/>
      <c r="P15"/>
      <c r="Q15"/>
      <c r="R15"/>
      <c r="S15"/>
      <c r="T15"/>
      <c r="U15"/>
      <c r="V15"/>
      <c r="W15"/>
      <c r="X15"/>
      <c r="Y15"/>
      <c r="Z15"/>
      <c r="AA15"/>
      <c r="AB15"/>
      <c r="AC15"/>
      <c r="AD15"/>
      <c r="AE15"/>
      <c r="AF15"/>
      <c r="AG15"/>
      <c r="AH15"/>
      <c r="AI15"/>
    </row>
    <row r="16" spans="1:35" ht="13.5" thickBot="1" x14ac:dyDescent="0.25">
      <c r="A16" s="30"/>
      <c r="B16" s="443"/>
      <c r="C16" s="443"/>
      <c r="D16" s="443"/>
      <c r="E16" s="32"/>
      <c r="F16" s="32"/>
      <c r="G16" s="32"/>
      <c r="H16" s="32"/>
      <c r="I16" s="32"/>
      <c r="J16" s="73"/>
      <c r="K16" s="73"/>
      <c r="L16" s="73"/>
      <c r="M16" s="73"/>
      <c r="N16" s="46"/>
      <c r="P16"/>
      <c r="Q16"/>
      <c r="R16"/>
      <c r="S16"/>
      <c r="T16"/>
      <c r="U16"/>
      <c r="V16"/>
      <c r="W16"/>
      <c r="X16"/>
      <c r="Y16"/>
      <c r="Z16"/>
      <c r="AA16"/>
      <c r="AB16"/>
      <c r="AC16"/>
      <c r="AD16"/>
      <c r="AE16"/>
      <c r="AF16"/>
      <c r="AG16"/>
      <c r="AH16"/>
      <c r="AI16"/>
    </row>
    <row r="17" spans="1:35" ht="13.5" thickBot="1" x14ac:dyDescent="0.25">
      <c r="A17" s="84"/>
      <c r="B17" s="55" t="s">
        <v>572</v>
      </c>
      <c r="C17" s="55"/>
      <c r="D17" s="55"/>
      <c r="E17" s="64"/>
      <c r="F17" s="64"/>
      <c r="G17" s="64"/>
      <c r="H17" s="64"/>
      <c r="I17" s="64"/>
      <c r="J17" s="64"/>
      <c r="K17" s="64"/>
      <c r="L17" s="64"/>
      <c r="M17" s="64"/>
      <c r="N17" s="66"/>
      <c r="P17"/>
      <c r="Q17"/>
      <c r="R17"/>
      <c r="S17"/>
      <c r="T17"/>
      <c r="U17"/>
      <c r="V17"/>
      <c r="W17"/>
      <c r="X17"/>
      <c r="Y17"/>
      <c r="Z17"/>
      <c r="AA17"/>
      <c r="AB17"/>
      <c r="AC17"/>
      <c r="AD17"/>
      <c r="AE17"/>
      <c r="AF17"/>
      <c r="AG17"/>
      <c r="AH17"/>
      <c r="AI17"/>
    </row>
    <row r="18" spans="1:35" ht="13.5" thickBot="1" x14ac:dyDescent="0.25">
      <c r="P18"/>
      <c r="Q18"/>
      <c r="R18"/>
      <c r="S18"/>
      <c r="T18"/>
      <c r="U18"/>
      <c r="V18"/>
      <c r="W18"/>
      <c r="X18"/>
      <c r="Y18"/>
      <c r="Z18"/>
      <c r="AA18"/>
      <c r="AB18"/>
      <c r="AC18"/>
      <c r="AD18"/>
      <c r="AE18"/>
      <c r="AF18"/>
      <c r="AG18"/>
      <c r="AH18"/>
      <c r="AI18"/>
    </row>
    <row r="19" spans="1:35" x14ac:dyDescent="0.2">
      <c r="A19" s="20"/>
      <c r="B19" s="21"/>
      <c r="C19" s="21"/>
      <c r="D19" s="21"/>
      <c r="E19" s="22"/>
      <c r="F19" s="22"/>
      <c r="G19" s="22"/>
      <c r="H19" s="22"/>
      <c r="I19" s="22"/>
      <c r="J19" s="22"/>
      <c r="K19" s="22"/>
      <c r="L19" s="22"/>
      <c r="M19" s="22"/>
      <c r="N19" s="23"/>
    </row>
    <row r="20" spans="1:35" ht="15" x14ac:dyDescent="0.2">
      <c r="A20" s="24"/>
      <c r="B20" s="440" t="s">
        <v>812</v>
      </c>
      <c r="C20" s="441"/>
      <c r="D20" s="441"/>
      <c r="E20" s="441"/>
      <c r="F20" s="441"/>
      <c r="G20" s="441"/>
      <c r="H20" s="441"/>
      <c r="I20" s="441"/>
      <c r="J20" s="441"/>
      <c r="K20" s="441"/>
      <c r="L20" s="441"/>
      <c r="M20" s="442"/>
      <c r="N20" s="25" t="s">
        <v>904</v>
      </c>
    </row>
    <row r="21" spans="1:35" x14ac:dyDescent="0.2">
      <c r="A21" s="24"/>
      <c r="B21" s="26" t="s">
        <v>428</v>
      </c>
      <c r="C21" s="27" t="s">
        <v>813</v>
      </c>
      <c r="D21" s="27"/>
      <c r="E21" s="28"/>
      <c r="F21" s="28"/>
      <c r="G21" s="28"/>
      <c r="H21" s="28"/>
      <c r="I21" s="28"/>
      <c r="J21" s="28"/>
      <c r="K21" s="28"/>
      <c r="L21" s="28"/>
      <c r="M21" s="28"/>
      <c r="N21" s="29"/>
    </row>
    <row r="22" spans="1:35" x14ac:dyDescent="0.2">
      <c r="A22" s="24"/>
      <c r="B22" s="26" t="s">
        <v>429</v>
      </c>
      <c r="C22" s="27" t="s">
        <v>814</v>
      </c>
      <c r="D22" s="27"/>
      <c r="E22" s="28"/>
      <c r="F22" s="28"/>
      <c r="G22" s="28"/>
      <c r="H22" s="28"/>
      <c r="I22" s="28"/>
      <c r="J22" s="28"/>
      <c r="K22" s="28"/>
      <c r="L22" s="28"/>
      <c r="M22" s="28"/>
      <c r="N22" s="29"/>
    </row>
    <row r="23" spans="1:35" x14ac:dyDescent="0.2">
      <c r="A23" s="24"/>
      <c r="B23" s="26" t="s">
        <v>427</v>
      </c>
      <c r="C23" s="436" t="s">
        <v>1540</v>
      </c>
      <c r="D23" s="436"/>
      <c r="E23" s="436"/>
      <c r="F23" s="436"/>
      <c r="G23" s="436"/>
      <c r="H23" s="436"/>
      <c r="I23" s="436"/>
      <c r="J23" s="436"/>
      <c r="K23" s="436"/>
      <c r="L23" s="436"/>
      <c r="M23" s="436"/>
      <c r="N23" s="437"/>
    </row>
    <row r="24" spans="1:35" x14ac:dyDescent="0.2">
      <c r="A24" s="24"/>
      <c r="C24" s="436"/>
      <c r="D24" s="436"/>
      <c r="E24" s="436"/>
      <c r="F24" s="436"/>
      <c r="G24" s="436"/>
      <c r="H24" s="436"/>
      <c r="I24" s="436"/>
      <c r="J24" s="436"/>
      <c r="K24" s="436"/>
      <c r="L24" s="436"/>
      <c r="M24" s="436"/>
      <c r="N24" s="437"/>
    </row>
    <row r="25" spans="1:35" ht="13.5" thickBot="1" x14ac:dyDescent="0.25">
      <c r="A25" s="24"/>
      <c r="C25" s="438"/>
      <c r="D25" s="438"/>
      <c r="E25" s="438"/>
      <c r="F25" s="438"/>
      <c r="G25" s="438"/>
      <c r="H25" s="438"/>
      <c r="I25" s="438"/>
      <c r="J25" s="438"/>
      <c r="K25" s="438"/>
      <c r="L25" s="438"/>
      <c r="M25" s="438"/>
      <c r="N25" s="439"/>
    </row>
    <row r="26" spans="1:35" ht="13.5" thickBot="1" x14ac:dyDescent="0.25">
      <c r="A26" s="84"/>
      <c r="B26" s="55" t="s">
        <v>263</v>
      </c>
      <c r="C26" s="55"/>
      <c r="D26" s="55"/>
      <c r="E26" s="64"/>
      <c r="F26" s="64"/>
      <c r="G26" s="64"/>
      <c r="H26" s="64"/>
      <c r="I26" s="66"/>
      <c r="J26" s="56" t="s">
        <v>907</v>
      </c>
      <c r="K26" s="56" t="s">
        <v>753</v>
      </c>
      <c r="L26" s="56"/>
      <c r="M26" s="56"/>
      <c r="N26" s="66"/>
    </row>
    <row r="27" spans="1:35" ht="13.5" thickBot="1" x14ac:dyDescent="0.25">
      <c r="A27" s="30"/>
      <c r="B27" s="26"/>
      <c r="C27" s="31"/>
      <c r="D27" s="31"/>
      <c r="E27" s="32"/>
      <c r="F27" s="32"/>
      <c r="G27" s="32"/>
      <c r="H27" s="32"/>
      <c r="I27" s="33"/>
      <c r="J27" s="40" t="s">
        <v>76</v>
      </c>
      <c r="K27" s="40" t="s">
        <v>1920</v>
      </c>
      <c r="L27" s="40" t="s">
        <v>1619</v>
      </c>
      <c r="M27" s="40"/>
      <c r="N27" s="33"/>
    </row>
    <row r="28" spans="1:35" x14ac:dyDescent="0.2">
      <c r="A28" s="20"/>
      <c r="B28" s="434" t="s">
        <v>67</v>
      </c>
      <c r="C28" s="434"/>
      <c r="D28" s="434"/>
      <c r="E28" s="22"/>
      <c r="F28" s="22" t="s">
        <v>1180</v>
      </c>
      <c r="G28" s="22" t="s">
        <v>68</v>
      </c>
      <c r="H28" s="22" t="s">
        <v>702</v>
      </c>
      <c r="I28" s="22"/>
      <c r="J28" s="74">
        <f>109/O1*O2</f>
        <v>198.18181818181816</v>
      </c>
      <c r="K28" s="74">
        <f>120/O1*O2</f>
        <v>218.18181818181816</v>
      </c>
      <c r="L28" s="42">
        <f>146/O1*O2</f>
        <v>265.45454545454544</v>
      </c>
      <c r="M28" s="42"/>
      <c r="N28" s="79"/>
    </row>
    <row r="29" spans="1:35" x14ac:dyDescent="0.2">
      <c r="A29" s="24"/>
      <c r="B29" s="435" t="s">
        <v>67</v>
      </c>
      <c r="C29" s="435"/>
      <c r="D29" s="435"/>
      <c r="E29" s="28"/>
      <c r="F29" s="28" t="s">
        <v>1181</v>
      </c>
      <c r="G29" s="28" t="s">
        <v>68</v>
      </c>
      <c r="H29" s="28" t="s">
        <v>702</v>
      </c>
      <c r="I29" s="28"/>
      <c r="J29" s="75">
        <f>60/O1*O2</f>
        <v>109.09090909090908</v>
      </c>
      <c r="K29" s="75">
        <f>65/O1*O2</f>
        <v>118.18181818181817</v>
      </c>
      <c r="L29" s="44">
        <f>78/O1*O2</f>
        <v>141.81818181818181</v>
      </c>
      <c r="M29" s="43"/>
      <c r="N29" s="44"/>
    </row>
    <row r="30" spans="1:35" x14ac:dyDescent="0.2">
      <c r="A30" s="24"/>
      <c r="B30" s="27" t="s">
        <v>67</v>
      </c>
      <c r="C30" s="27"/>
      <c r="D30" s="27"/>
      <c r="E30" s="28"/>
      <c r="F30" s="28" t="s">
        <v>1182</v>
      </c>
      <c r="G30" s="28" t="s">
        <v>68</v>
      </c>
      <c r="H30" s="28" t="s">
        <v>702</v>
      </c>
      <c r="I30" s="28"/>
      <c r="J30" s="75">
        <f>47.5/O1*O2</f>
        <v>86.36363636363636</v>
      </c>
      <c r="K30" s="75">
        <f>50.6/O1*O2</f>
        <v>92</v>
      </c>
      <c r="L30" s="44">
        <f>59/O1*O2</f>
        <v>107.27272727272727</v>
      </c>
      <c r="M30" s="43"/>
      <c r="N30" s="44"/>
    </row>
    <row r="31" spans="1:35" ht="13.5" thickBot="1" x14ac:dyDescent="0.25">
      <c r="A31" s="30"/>
      <c r="B31" s="443" t="s">
        <v>902</v>
      </c>
      <c r="C31" s="443"/>
      <c r="D31" s="443"/>
      <c r="E31" s="32"/>
      <c r="F31" s="32"/>
      <c r="G31" s="32"/>
      <c r="H31" s="32"/>
      <c r="I31" s="32"/>
      <c r="J31" s="76">
        <f>26/O1*O2</f>
        <v>47.272727272727266</v>
      </c>
      <c r="K31" s="76">
        <f>26/O1*O2</f>
        <v>47.272727272727266</v>
      </c>
      <c r="L31" s="46">
        <f>26/O1*O2</f>
        <v>47.272727272727266</v>
      </c>
      <c r="M31" s="45"/>
      <c r="N31" s="46"/>
    </row>
    <row r="38" spans="1:14" ht="13.5" thickBot="1" x14ac:dyDescent="0.25"/>
    <row r="39" spans="1:14" x14ac:dyDescent="0.2">
      <c r="A39" s="20"/>
      <c r="B39" s="21"/>
      <c r="C39" s="21"/>
      <c r="D39" s="21"/>
      <c r="E39" s="22"/>
      <c r="F39" s="22"/>
      <c r="G39" s="22"/>
      <c r="H39" s="22"/>
      <c r="I39" s="22"/>
      <c r="J39" s="22"/>
      <c r="K39" s="22"/>
      <c r="L39" s="22"/>
      <c r="M39" s="22"/>
      <c r="N39" s="23"/>
    </row>
    <row r="40" spans="1:14" ht="15" x14ac:dyDescent="0.2">
      <c r="A40" s="24"/>
      <c r="B40" s="440" t="s">
        <v>358</v>
      </c>
      <c r="C40" s="441"/>
      <c r="D40" s="441"/>
      <c r="E40" s="441"/>
      <c r="F40" s="441"/>
      <c r="G40" s="441"/>
      <c r="H40" s="441"/>
      <c r="I40" s="441"/>
      <c r="J40" s="441"/>
      <c r="K40" s="441"/>
      <c r="L40" s="441"/>
      <c r="M40" s="442"/>
      <c r="N40" s="25" t="s">
        <v>904</v>
      </c>
    </row>
    <row r="41" spans="1:14" x14ac:dyDescent="0.2">
      <c r="A41" s="24"/>
      <c r="B41" s="26" t="s">
        <v>428</v>
      </c>
      <c r="C41" s="27" t="s">
        <v>766</v>
      </c>
      <c r="D41" s="27"/>
      <c r="E41" s="28"/>
      <c r="F41" s="28"/>
      <c r="G41" s="28"/>
      <c r="H41" s="28"/>
      <c r="I41" s="28"/>
      <c r="J41" s="28"/>
      <c r="K41" s="28"/>
      <c r="L41" s="28"/>
      <c r="M41" s="28"/>
      <c r="N41" s="29"/>
    </row>
    <row r="42" spans="1:14" x14ac:dyDescent="0.2">
      <c r="A42" s="24"/>
      <c r="B42" s="26" t="s">
        <v>429</v>
      </c>
      <c r="C42" s="27" t="s">
        <v>882</v>
      </c>
      <c r="D42" s="27"/>
      <c r="E42" s="28"/>
      <c r="F42" s="28"/>
      <c r="G42" s="28"/>
      <c r="H42" s="28"/>
      <c r="I42" s="28"/>
      <c r="J42" s="28"/>
      <c r="K42" s="28"/>
      <c r="L42" s="28"/>
      <c r="M42" s="28"/>
      <c r="N42" s="29"/>
    </row>
    <row r="43" spans="1:14" x14ac:dyDescent="0.2">
      <c r="A43" s="24"/>
      <c r="B43" s="26" t="s">
        <v>427</v>
      </c>
      <c r="C43" s="436" t="s">
        <v>1542</v>
      </c>
      <c r="D43" s="436"/>
      <c r="E43" s="436"/>
      <c r="F43" s="436"/>
      <c r="G43" s="436"/>
      <c r="H43" s="436"/>
      <c r="I43" s="436"/>
      <c r="J43" s="436"/>
      <c r="K43" s="436"/>
      <c r="L43" s="436"/>
      <c r="M43" s="436"/>
      <c r="N43" s="437"/>
    </row>
    <row r="44" spans="1:14" x14ac:dyDescent="0.2">
      <c r="A44" s="24"/>
      <c r="C44" s="436"/>
      <c r="D44" s="436"/>
      <c r="E44" s="436"/>
      <c r="F44" s="436"/>
      <c r="G44" s="436"/>
      <c r="H44" s="436"/>
      <c r="I44" s="436"/>
      <c r="J44" s="436"/>
      <c r="K44" s="436"/>
      <c r="L44" s="436"/>
      <c r="M44" s="436"/>
      <c r="N44" s="437"/>
    </row>
    <row r="45" spans="1:14" x14ac:dyDescent="0.2">
      <c r="A45" s="24"/>
      <c r="C45" s="436"/>
      <c r="D45" s="436"/>
      <c r="E45" s="436"/>
      <c r="F45" s="436"/>
      <c r="G45" s="436"/>
      <c r="H45" s="436"/>
      <c r="I45" s="436"/>
      <c r="J45" s="436"/>
      <c r="K45" s="436"/>
      <c r="L45" s="436"/>
      <c r="M45" s="436"/>
      <c r="N45" s="437"/>
    </row>
    <row r="46" spans="1:14" x14ac:dyDescent="0.2">
      <c r="A46" s="24"/>
      <c r="C46" s="438"/>
      <c r="D46" s="438"/>
      <c r="E46" s="438"/>
      <c r="F46" s="438"/>
      <c r="G46" s="438"/>
      <c r="H46" s="438"/>
      <c r="I46" s="438"/>
      <c r="J46" s="438"/>
      <c r="K46" s="438"/>
      <c r="L46" s="438"/>
      <c r="M46" s="438"/>
      <c r="N46" s="439"/>
    </row>
    <row r="47" spans="1:14" ht="13.5" thickBot="1" x14ac:dyDescent="0.25">
      <c r="A47" s="30"/>
      <c r="B47" s="47" t="s">
        <v>426</v>
      </c>
      <c r="C47" s="31" t="s">
        <v>1355</v>
      </c>
      <c r="D47" s="31"/>
      <c r="E47" s="32"/>
      <c r="F47" s="32"/>
      <c r="G47" s="32"/>
      <c r="H47" s="32"/>
      <c r="I47" s="32"/>
      <c r="J47" s="32"/>
      <c r="K47" s="28"/>
      <c r="L47" s="32"/>
      <c r="M47" s="32"/>
      <c r="N47" s="33"/>
    </row>
    <row r="48" spans="1:14" x14ac:dyDescent="0.2">
      <c r="A48" s="24"/>
      <c r="B48" s="27" t="s">
        <v>263</v>
      </c>
      <c r="C48" s="27"/>
      <c r="D48" s="27"/>
      <c r="E48" s="28"/>
      <c r="F48" s="28"/>
      <c r="G48" s="28"/>
      <c r="H48" s="28"/>
      <c r="I48" s="29"/>
      <c r="J48" s="63" t="s">
        <v>1928</v>
      </c>
      <c r="K48" s="37" t="s">
        <v>753</v>
      </c>
      <c r="L48" s="29"/>
      <c r="M48" s="37"/>
      <c r="N48" s="29"/>
    </row>
    <row r="49" spans="1:14" ht="13.5" thickBot="1" x14ac:dyDescent="0.25">
      <c r="A49" s="24"/>
      <c r="B49" s="26"/>
      <c r="C49" s="27"/>
      <c r="D49" s="27"/>
      <c r="E49" s="28"/>
      <c r="F49" s="28"/>
      <c r="G49" s="28"/>
      <c r="H49" s="28"/>
      <c r="I49" s="33"/>
      <c r="J49" s="40" t="s">
        <v>123</v>
      </c>
      <c r="K49" s="40" t="s">
        <v>1341</v>
      </c>
      <c r="L49" s="33" t="s">
        <v>513</v>
      </c>
      <c r="M49" s="40"/>
      <c r="N49" s="29"/>
    </row>
    <row r="50" spans="1:14" ht="13.5" thickBot="1" x14ac:dyDescent="0.25">
      <c r="A50" s="20"/>
      <c r="B50" s="21"/>
      <c r="C50" s="21"/>
      <c r="D50" s="21"/>
      <c r="E50" s="22"/>
      <c r="F50" s="22"/>
      <c r="G50" s="22"/>
      <c r="H50" s="22"/>
      <c r="I50" s="22"/>
      <c r="J50" s="48" t="s">
        <v>76</v>
      </c>
      <c r="K50" s="37" t="s">
        <v>1929</v>
      </c>
      <c r="L50" s="37" t="s">
        <v>494</v>
      </c>
      <c r="M50" s="37"/>
      <c r="N50" s="37"/>
    </row>
    <row r="51" spans="1:14" x14ac:dyDescent="0.2">
      <c r="A51" s="20"/>
      <c r="B51" s="434" t="s">
        <v>67</v>
      </c>
      <c r="C51" s="434"/>
      <c r="D51" s="434"/>
      <c r="E51" s="22"/>
      <c r="F51" s="22" t="s">
        <v>1180</v>
      </c>
      <c r="G51" s="22" t="s">
        <v>68</v>
      </c>
      <c r="H51" s="22" t="s">
        <v>702</v>
      </c>
      <c r="I51" s="22"/>
      <c r="J51" s="74">
        <f>109/O1*O2</f>
        <v>198.18181818181816</v>
      </c>
      <c r="K51" s="74">
        <f>124/O1*O2</f>
        <v>225.45454545454544</v>
      </c>
      <c r="L51" s="74">
        <f>144/O1*O2</f>
        <v>261.81818181818181</v>
      </c>
      <c r="M51" s="74"/>
      <c r="N51" s="42"/>
    </row>
    <row r="52" spans="1:14" x14ac:dyDescent="0.2">
      <c r="A52" s="24"/>
      <c r="B52" s="435" t="s">
        <v>67</v>
      </c>
      <c r="C52" s="435"/>
      <c r="D52" s="435"/>
      <c r="E52" s="28"/>
      <c r="F52" s="28" t="s">
        <v>1181</v>
      </c>
      <c r="G52" s="28" t="s">
        <v>68</v>
      </c>
      <c r="H52" s="28" t="s">
        <v>702</v>
      </c>
      <c r="I52" s="28"/>
      <c r="J52" s="75">
        <f>59.5/O1*O2</f>
        <v>108.18181818181817</v>
      </c>
      <c r="K52" s="75">
        <f>67/O1*O2</f>
        <v>121.81818181818181</v>
      </c>
      <c r="L52" s="75">
        <f>77/O1*O2</f>
        <v>140</v>
      </c>
      <c r="M52" s="75"/>
      <c r="N52" s="44"/>
    </row>
    <row r="53" spans="1:14" x14ac:dyDescent="0.2">
      <c r="A53" s="24"/>
      <c r="B53" s="435" t="s">
        <v>67</v>
      </c>
      <c r="C53" s="435"/>
      <c r="D53" s="435"/>
      <c r="E53" s="28"/>
      <c r="F53" s="28" t="s">
        <v>1182</v>
      </c>
      <c r="G53" s="28" t="s">
        <v>68</v>
      </c>
      <c r="H53" s="28" t="s">
        <v>702</v>
      </c>
      <c r="I53" s="28"/>
      <c r="J53" s="75">
        <f>46.5/O1*O2</f>
        <v>84.545454545454533</v>
      </c>
      <c r="K53" s="75">
        <f>51.5/O1*O2</f>
        <v>93.636363636363626</v>
      </c>
      <c r="L53" s="75">
        <f>58/O1*O2</f>
        <v>105.45454545454544</v>
      </c>
      <c r="M53" s="75"/>
      <c r="N53" s="44"/>
    </row>
    <row r="54" spans="1:14" ht="13.5" thickBot="1" x14ac:dyDescent="0.25">
      <c r="A54" s="30"/>
      <c r="B54" s="443" t="s">
        <v>902</v>
      </c>
      <c r="C54" s="443"/>
      <c r="D54" s="443"/>
      <c r="E54" s="32"/>
      <c r="F54" s="32"/>
      <c r="G54" s="32"/>
      <c r="H54" s="32"/>
      <c r="I54" s="32"/>
      <c r="J54" s="76">
        <f>26/O1*O2</f>
        <v>47.272727272727266</v>
      </c>
      <c r="K54" s="76">
        <f>26/O1*O2</f>
        <v>47.272727272727266</v>
      </c>
      <c r="L54" s="76">
        <f>26/O1*O2</f>
        <v>47.272727272727266</v>
      </c>
      <c r="M54" s="76"/>
      <c r="N54" s="46"/>
    </row>
    <row r="55" spans="1:14" ht="13.5" thickBot="1" x14ac:dyDescent="0.25">
      <c r="A55" s="50"/>
    </row>
    <row r="56" spans="1:14" x14ac:dyDescent="0.2">
      <c r="A56" s="20"/>
      <c r="B56" s="21"/>
      <c r="C56" s="21"/>
      <c r="D56" s="21"/>
      <c r="E56" s="22"/>
      <c r="F56" s="22"/>
      <c r="G56" s="22"/>
      <c r="H56" s="22"/>
      <c r="I56" s="22"/>
      <c r="J56" s="22"/>
      <c r="K56" s="22"/>
      <c r="L56" s="22"/>
      <c r="M56" s="22"/>
      <c r="N56" s="23"/>
    </row>
    <row r="57" spans="1:14" ht="15" x14ac:dyDescent="0.2">
      <c r="A57" s="24"/>
      <c r="B57" s="440" t="s">
        <v>764</v>
      </c>
      <c r="C57" s="441"/>
      <c r="D57" s="441"/>
      <c r="E57" s="441"/>
      <c r="F57" s="441"/>
      <c r="G57" s="441"/>
      <c r="H57" s="441"/>
      <c r="I57" s="441"/>
      <c r="J57" s="441"/>
      <c r="K57" s="441"/>
      <c r="L57" s="441"/>
      <c r="M57" s="442"/>
      <c r="N57" s="25" t="s">
        <v>904</v>
      </c>
    </row>
    <row r="58" spans="1:14" x14ac:dyDescent="0.2">
      <c r="A58" s="24"/>
      <c r="B58" s="26" t="s">
        <v>428</v>
      </c>
      <c r="C58" s="27" t="s">
        <v>220</v>
      </c>
      <c r="D58" s="27"/>
      <c r="E58" s="28"/>
      <c r="F58" s="28"/>
      <c r="G58" s="28"/>
      <c r="H58" s="28"/>
      <c r="I58" s="28"/>
      <c r="J58" s="28"/>
      <c r="K58" s="28"/>
      <c r="L58" s="28"/>
      <c r="M58" s="28"/>
      <c r="N58" s="29"/>
    </row>
    <row r="59" spans="1:14" x14ac:dyDescent="0.2">
      <c r="A59" s="24"/>
      <c r="B59" s="26" t="s">
        <v>429</v>
      </c>
      <c r="C59" s="27" t="s">
        <v>765</v>
      </c>
      <c r="D59" s="27"/>
      <c r="E59" s="28"/>
      <c r="F59" s="28"/>
      <c r="G59" s="28"/>
      <c r="H59" s="28"/>
      <c r="I59" s="28"/>
      <c r="J59" s="28"/>
      <c r="K59" s="28"/>
      <c r="L59" s="28"/>
      <c r="M59" s="28"/>
      <c r="N59" s="29"/>
    </row>
    <row r="60" spans="1:14" x14ac:dyDescent="0.2">
      <c r="A60" s="24"/>
      <c r="B60" s="26" t="s">
        <v>427</v>
      </c>
      <c r="C60" s="436" t="s">
        <v>1543</v>
      </c>
      <c r="D60" s="436"/>
      <c r="E60" s="436"/>
      <c r="F60" s="436"/>
      <c r="G60" s="436"/>
      <c r="H60" s="436"/>
      <c r="I60" s="436"/>
      <c r="J60" s="436"/>
      <c r="K60" s="436"/>
      <c r="L60" s="436"/>
      <c r="M60" s="436"/>
      <c r="N60" s="437"/>
    </row>
    <row r="61" spans="1:14" x14ac:dyDescent="0.2">
      <c r="A61" s="24"/>
      <c r="C61" s="436"/>
      <c r="D61" s="436"/>
      <c r="E61" s="436"/>
      <c r="F61" s="436"/>
      <c r="G61" s="436"/>
      <c r="H61" s="436"/>
      <c r="I61" s="436"/>
      <c r="J61" s="436"/>
      <c r="K61" s="436"/>
      <c r="L61" s="436"/>
      <c r="M61" s="436"/>
      <c r="N61" s="437"/>
    </row>
    <row r="62" spans="1:14" ht="13.5" thickBot="1" x14ac:dyDescent="0.25">
      <c r="A62" s="24"/>
      <c r="C62" s="438"/>
      <c r="D62" s="438"/>
      <c r="E62" s="438"/>
      <c r="F62" s="438"/>
      <c r="G62" s="438"/>
      <c r="H62" s="438"/>
      <c r="I62" s="438"/>
      <c r="J62" s="438"/>
      <c r="K62" s="438"/>
      <c r="L62" s="438"/>
      <c r="M62" s="438"/>
      <c r="N62" s="439"/>
    </row>
    <row r="63" spans="1:14" x14ac:dyDescent="0.2">
      <c r="A63" s="20"/>
      <c r="B63" s="21" t="s">
        <v>263</v>
      </c>
      <c r="C63" s="21"/>
      <c r="D63" s="21"/>
      <c r="E63" s="22"/>
      <c r="F63" s="22"/>
      <c r="G63" s="22"/>
      <c r="H63" s="22"/>
      <c r="I63" s="22"/>
      <c r="J63" s="51"/>
      <c r="K63" s="37" t="s">
        <v>513</v>
      </c>
      <c r="L63" s="37"/>
      <c r="M63" s="37"/>
      <c r="N63" s="37"/>
    </row>
    <row r="64" spans="1:14" ht="13.5" thickBot="1" x14ac:dyDescent="0.25">
      <c r="A64" s="30"/>
      <c r="B64" s="27"/>
      <c r="C64" s="31"/>
      <c r="D64" s="31"/>
      <c r="E64" s="32"/>
      <c r="F64" s="32"/>
      <c r="G64" s="32"/>
      <c r="H64" s="32"/>
      <c r="I64" s="32"/>
      <c r="J64" s="49" t="s">
        <v>753</v>
      </c>
      <c r="K64" s="40" t="s">
        <v>612</v>
      </c>
      <c r="L64" s="40" t="s">
        <v>514</v>
      </c>
      <c r="N64" s="40"/>
    </row>
    <row r="65" spans="1:14" x14ac:dyDescent="0.2">
      <c r="A65" s="20"/>
      <c r="B65" s="434" t="s">
        <v>67</v>
      </c>
      <c r="C65" s="434"/>
      <c r="D65" s="434"/>
      <c r="E65" s="22"/>
      <c r="F65" s="22" t="s">
        <v>1180</v>
      </c>
      <c r="G65" s="22" t="s">
        <v>68</v>
      </c>
      <c r="H65" s="22" t="s">
        <v>702</v>
      </c>
      <c r="I65" s="22"/>
      <c r="J65" s="74">
        <f>112.5/O1*O2</f>
        <v>204.54545454545453</v>
      </c>
      <c r="K65" s="74">
        <f>151.7/O1*O2</f>
        <v>275.81818181818176</v>
      </c>
      <c r="L65" s="74">
        <f>123.5/O1*O2</f>
        <v>224.54545454545453</v>
      </c>
      <c r="M65" s="74"/>
      <c r="N65" s="42"/>
    </row>
    <row r="66" spans="1:14" x14ac:dyDescent="0.2">
      <c r="A66" s="24"/>
      <c r="B66" s="435" t="s">
        <v>67</v>
      </c>
      <c r="C66" s="435"/>
      <c r="D66" s="435"/>
      <c r="E66" s="28"/>
      <c r="F66" s="28" t="s">
        <v>1181</v>
      </c>
      <c r="G66" s="28" t="s">
        <v>68</v>
      </c>
      <c r="H66" s="28" t="s">
        <v>702</v>
      </c>
      <c r="I66" s="28"/>
      <c r="J66" s="75">
        <f>61.6/O1*O2</f>
        <v>112</v>
      </c>
      <c r="K66" s="75">
        <f>81.5/O1*O2</f>
        <v>148.18181818181816</v>
      </c>
      <c r="L66" s="75">
        <f>66.8/O1*O2</f>
        <v>121.45454545454544</v>
      </c>
      <c r="M66" s="75"/>
      <c r="N66" s="44"/>
    </row>
    <row r="67" spans="1:14" x14ac:dyDescent="0.2">
      <c r="A67" s="24"/>
      <c r="B67" s="435" t="s">
        <v>67</v>
      </c>
      <c r="C67" s="435"/>
      <c r="D67" s="435"/>
      <c r="E67" s="28"/>
      <c r="F67" s="28" t="s">
        <v>1182</v>
      </c>
      <c r="G67" s="28" t="s">
        <v>68</v>
      </c>
      <c r="H67" s="28" t="s">
        <v>702</v>
      </c>
      <c r="I67" s="28"/>
      <c r="J67" s="75">
        <f>49.5/O1*O2</f>
        <v>89.999999999999986</v>
      </c>
      <c r="K67" s="75">
        <f>62.8/O1*O2</f>
        <v>114.18181818181817</v>
      </c>
      <c r="L67" s="75">
        <f>52.5/O1*O2</f>
        <v>95.454545454545453</v>
      </c>
      <c r="M67" s="75"/>
      <c r="N67" s="44"/>
    </row>
    <row r="68" spans="1:14" ht="13.5" thickBot="1" x14ac:dyDescent="0.25">
      <c r="A68" s="30"/>
      <c r="B68" s="443" t="s">
        <v>902</v>
      </c>
      <c r="C68" s="443"/>
      <c r="D68" s="443"/>
      <c r="E68" s="32"/>
      <c r="F68" s="32"/>
      <c r="G68" s="32"/>
      <c r="H68" s="32"/>
      <c r="I68" s="32"/>
      <c r="J68" s="76">
        <f>32/O1*O2</f>
        <v>58.18181818181818</v>
      </c>
      <c r="K68" s="76">
        <f>32/O1*O2</f>
        <v>58.18181818181818</v>
      </c>
      <c r="L68" s="76">
        <f>32/O1*O2</f>
        <v>58.18181818181818</v>
      </c>
      <c r="M68" s="76"/>
      <c r="N68" s="46"/>
    </row>
    <row r="69" spans="1:14" ht="13.5" thickBot="1" x14ac:dyDescent="0.25">
      <c r="A69" s="52"/>
      <c r="B69" s="27"/>
      <c r="C69" s="27"/>
      <c r="D69" s="27"/>
      <c r="E69" s="28"/>
      <c r="F69" s="28"/>
      <c r="G69" s="28"/>
      <c r="H69" s="28"/>
      <c r="I69" s="28"/>
      <c r="J69" s="53"/>
      <c r="K69" s="53"/>
      <c r="L69" s="53"/>
      <c r="M69" s="53"/>
      <c r="N69" s="53"/>
    </row>
    <row r="70" spans="1:14" x14ac:dyDescent="0.2">
      <c r="A70" s="20"/>
      <c r="B70" s="21"/>
      <c r="C70" s="21"/>
      <c r="D70" s="21"/>
      <c r="E70" s="22"/>
      <c r="F70" s="22"/>
      <c r="G70" s="22"/>
      <c r="H70" s="22"/>
      <c r="I70" s="22"/>
      <c r="J70" s="22"/>
      <c r="K70" s="22"/>
      <c r="L70" s="22"/>
      <c r="M70" s="22"/>
      <c r="N70" s="23"/>
    </row>
    <row r="71" spans="1:14" ht="15" x14ac:dyDescent="0.2">
      <c r="A71" s="24"/>
      <c r="B71" s="440" t="s">
        <v>266</v>
      </c>
      <c r="C71" s="441"/>
      <c r="D71" s="441"/>
      <c r="E71" s="441"/>
      <c r="F71" s="441"/>
      <c r="G71" s="441"/>
      <c r="H71" s="441"/>
      <c r="I71" s="441"/>
      <c r="J71" s="441"/>
      <c r="K71" s="441"/>
      <c r="L71" s="441"/>
      <c r="M71" s="442"/>
      <c r="N71" s="25" t="s">
        <v>904</v>
      </c>
    </row>
    <row r="72" spans="1:14" x14ac:dyDescent="0.2">
      <c r="A72" s="24"/>
      <c r="B72" s="26" t="s">
        <v>428</v>
      </c>
      <c r="C72" s="27" t="s">
        <v>264</v>
      </c>
      <c r="D72" s="27"/>
      <c r="E72" s="28"/>
      <c r="F72" s="28"/>
      <c r="G72" s="28"/>
      <c r="H72" s="28"/>
      <c r="I72" s="28"/>
      <c r="J72" s="28"/>
      <c r="K72" s="28"/>
      <c r="L72" s="28"/>
      <c r="M72" s="28"/>
      <c r="N72" s="29"/>
    </row>
    <row r="73" spans="1:14" x14ac:dyDescent="0.2">
      <c r="A73" s="24"/>
      <c r="B73" s="26" t="s">
        <v>429</v>
      </c>
      <c r="C73" s="27" t="s">
        <v>265</v>
      </c>
      <c r="D73" s="27"/>
      <c r="E73" s="28"/>
      <c r="F73" s="28"/>
      <c r="G73" s="28"/>
      <c r="H73" s="28"/>
      <c r="I73" s="28"/>
      <c r="J73" s="28"/>
      <c r="K73" s="28"/>
      <c r="L73" s="28"/>
      <c r="M73" s="28"/>
      <c r="N73" s="29"/>
    </row>
    <row r="74" spans="1:14" x14ac:dyDescent="0.2">
      <c r="A74" s="24"/>
      <c r="B74" s="26" t="s">
        <v>427</v>
      </c>
      <c r="C74" s="436" t="s">
        <v>1106</v>
      </c>
      <c r="D74" s="436"/>
      <c r="E74" s="436"/>
      <c r="F74" s="436"/>
      <c r="G74" s="436"/>
      <c r="H74" s="436"/>
      <c r="I74" s="436"/>
      <c r="J74" s="436"/>
      <c r="K74" s="436"/>
      <c r="L74" s="436"/>
      <c r="M74" s="436"/>
      <c r="N74" s="437"/>
    </row>
    <row r="75" spans="1:14" x14ac:dyDescent="0.2">
      <c r="A75" s="24"/>
      <c r="C75" s="436"/>
      <c r="D75" s="436"/>
      <c r="E75" s="436"/>
      <c r="F75" s="436"/>
      <c r="G75" s="436"/>
      <c r="H75" s="436"/>
      <c r="I75" s="436"/>
      <c r="J75" s="436"/>
      <c r="K75" s="436"/>
      <c r="L75" s="436"/>
      <c r="M75" s="436"/>
      <c r="N75" s="437"/>
    </row>
    <row r="76" spans="1:14" x14ac:dyDescent="0.2">
      <c r="A76" s="24"/>
      <c r="C76" s="438"/>
      <c r="D76" s="438"/>
      <c r="E76" s="438"/>
      <c r="F76" s="438"/>
      <c r="G76" s="438"/>
      <c r="H76" s="438"/>
      <c r="I76" s="438"/>
      <c r="J76" s="438"/>
      <c r="K76" s="438"/>
      <c r="L76" s="438"/>
      <c r="M76" s="438"/>
      <c r="N76" s="439"/>
    </row>
    <row r="77" spans="1:14" x14ac:dyDescent="0.2">
      <c r="A77" s="24"/>
      <c r="C77" s="438"/>
      <c r="D77" s="438"/>
      <c r="E77" s="438"/>
      <c r="F77" s="438"/>
      <c r="G77" s="438"/>
      <c r="H77" s="438"/>
      <c r="I77" s="438"/>
      <c r="J77" s="438"/>
      <c r="K77" s="438"/>
      <c r="L77" s="438"/>
      <c r="M77" s="438"/>
      <c r="N77" s="439"/>
    </row>
    <row r="78" spans="1:14" x14ac:dyDescent="0.2">
      <c r="A78" s="24"/>
      <c r="C78" s="438"/>
      <c r="D78" s="438"/>
      <c r="E78" s="438"/>
      <c r="F78" s="438"/>
      <c r="G78" s="438"/>
      <c r="H78" s="438"/>
      <c r="I78" s="438"/>
      <c r="J78" s="438"/>
      <c r="K78" s="438"/>
      <c r="L78" s="438"/>
      <c r="M78" s="438"/>
      <c r="N78" s="439"/>
    </row>
    <row r="79" spans="1:14" ht="13.5" thickBot="1" x14ac:dyDescent="0.25">
      <c r="A79" s="30"/>
      <c r="B79" s="47" t="s">
        <v>426</v>
      </c>
      <c r="C79" s="31" t="s">
        <v>1353</v>
      </c>
      <c r="D79" s="31"/>
      <c r="E79" s="32"/>
      <c r="F79" s="32"/>
      <c r="G79" s="32"/>
      <c r="H79" s="32"/>
      <c r="I79" s="32"/>
      <c r="J79" s="28"/>
      <c r="K79" s="28"/>
      <c r="L79" s="28"/>
      <c r="M79" s="28"/>
      <c r="N79" s="29"/>
    </row>
    <row r="80" spans="1:14" ht="13.5" thickBot="1" x14ac:dyDescent="0.25">
      <c r="A80" s="30"/>
      <c r="B80" s="27" t="s">
        <v>263</v>
      </c>
      <c r="C80" s="31"/>
      <c r="D80" s="31"/>
      <c r="E80" s="32"/>
      <c r="F80" s="32"/>
      <c r="G80" s="32"/>
      <c r="H80" s="32"/>
      <c r="I80" s="32"/>
      <c r="J80" s="261" t="s">
        <v>909</v>
      </c>
      <c r="K80" s="56" t="s">
        <v>758</v>
      </c>
      <c r="L80" s="56" t="s">
        <v>610</v>
      </c>
      <c r="M80" s="56"/>
      <c r="N80" s="56"/>
    </row>
    <row r="81" spans="1:14" ht="13.5" thickBot="1" x14ac:dyDescent="0.25">
      <c r="A81" s="24"/>
      <c r="B81" s="27" t="s">
        <v>263</v>
      </c>
      <c r="C81" s="27"/>
      <c r="D81" s="27"/>
      <c r="E81" s="28"/>
      <c r="F81" s="28"/>
      <c r="G81" s="28"/>
      <c r="H81" s="28"/>
      <c r="I81" s="28"/>
      <c r="J81" s="51"/>
      <c r="K81" s="37" t="s">
        <v>481</v>
      </c>
      <c r="L81" s="37"/>
      <c r="M81" s="37"/>
      <c r="N81" s="37"/>
    </row>
    <row r="82" spans="1:14" x14ac:dyDescent="0.2">
      <c r="A82" s="20"/>
      <c r="B82" s="434" t="s">
        <v>67</v>
      </c>
      <c r="C82" s="434"/>
      <c r="D82" s="434"/>
      <c r="E82" s="22"/>
      <c r="F82" s="22" t="s">
        <v>1180</v>
      </c>
      <c r="G82" s="22" t="s">
        <v>68</v>
      </c>
      <c r="H82" s="22" t="s">
        <v>702</v>
      </c>
      <c r="I82" s="22"/>
      <c r="J82" s="74">
        <f>150.5/O1*O2</f>
        <v>273.63636363636363</v>
      </c>
      <c r="K82" s="74">
        <f>202.5/O1*O2</f>
        <v>368.18181818181813</v>
      </c>
      <c r="L82" s="42">
        <f>229/O1*O2</f>
        <v>416.36363636363632</v>
      </c>
      <c r="M82" s="42"/>
      <c r="N82" s="42"/>
    </row>
    <row r="83" spans="1:14" x14ac:dyDescent="0.2">
      <c r="A83" s="24"/>
      <c r="B83" s="435" t="s">
        <v>67</v>
      </c>
      <c r="C83" s="435"/>
      <c r="D83" s="435"/>
      <c r="E83" s="28"/>
      <c r="F83" s="28" t="s">
        <v>1181</v>
      </c>
      <c r="G83" s="28" t="s">
        <v>68</v>
      </c>
      <c r="H83" s="28" t="s">
        <v>702</v>
      </c>
      <c r="I83" s="28"/>
      <c r="J83" s="75">
        <f>85.7/O1*O2</f>
        <v>155.81818181818181</v>
      </c>
      <c r="K83" s="75">
        <f>111.7/O1*O2</f>
        <v>203.09090909090909</v>
      </c>
      <c r="L83" s="44">
        <f>126/O1*O2</f>
        <v>229.09090909090907</v>
      </c>
      <c r="M83" s="44"/>
      <c r="N83" s="44"/>
    </row>
    <row r="84" spans="1:14" ht="13.5" thickBot="1" x14ac:dyDescent="0.25">
      <c r="A84" s="30"/>
      <c r="B84" s="443" t="s">
        <v>902</v>
      </c>
      <c r="C84" s="443"/>
      <c r="D84" s="443"/>
      <c r="E84" s="32"/>
      <c r="F84" s="32"/>
      <c r="G84" s="32"/>
      <c r="H84" s="32" t="s">
        <v>702</v>
      </c>
      <c r="I84" s="32"/>
      <c r="J84" s="76">
        <f>36/O1*O2</f>
        <v>65.454545454545453</v>
      </c>
      <c r="K84" s="76">
        <f>36/O1*O2</f>
        <v>65.454545454545453</v>
      </c>
      <c r="L84" s="46">
        <f>36/O1*O2</f>
        <v>65.454545454545453</v>
      </c>
      <c r="M84" s="46"/>
      <c r="N84" s="46"/>
    </row>
    <row r="85" spans="1:14" ht="13.5" thickBot="1" x14ac:dyDescent="0.25">
      <c r="A85" s="54"/>
      <c r="B85" s="21"/>
      <c r="C85" s="21"/>
      <c r="D85" s="21"/>
      <c r="E85" s="22"/>
      <c r="F85" s="22"/>
      <c r="G85" s="22"/>
      <c r="H85" s="22"/>
      <c r="I85" s="22"/>
      <c r="J85" s="22"/>
      <c r="K85" s="22"/>
      <c r="L85" s="22"/>
      <c r="M85" s="22"/>
      <c r="N85" s="22"/>
    </row>
    <row r="86" spans="1:14" x14ac:dyDescent="0.2">
      <c r="A86" s="20"/>
      <c r="B86" s="21"/>
      <c r="C86" s="21"/>
      <c r="D86" s="21"/>
      <c r="E86" s="22"/>
      <c r="F86" s="22"/>
      <c r="G86" s="22"/>
      <c r="H86" s="22"/>
      <c r="I86" s="22"/>
      <c r="J86" s="22"/>
      <c r="K86" s="22"/>
      <c r="L86" s="22"/>
      <c r="M86" s="22"/>
      <c r="N86" s="23"/>
    </row>
    <row r="87" spans="1:14" ht="15" x14ac:dyDescent="0.2">
      <c r="A87" s="24"/>
      <c r="B87" s="440" t="s">
        <v>1147</v>
      </c>
      <c r="C87" s="441"/>
      <c r="D87" s="441"/>
      <c r="E87" s="441"/>
      <c r="F87" s="441"/>
      <c r="G87" s="441"/>
      <c r="H87" s="441"/>
      <c r="I87" s="441"/>
      <c r="J87" s="441"/>
      <c r="K87" s="441"/>
      <c r="L87" s="441"/>
      <c r="M87" s="442"/>
      <c r="N87" s="25" t="s">
        <v>904</v>
      </c>
    </row>
    <row r="88" spans="1:14" x14ac:dyDescent="0.2">
      <c r="A88" s="24"/>
      <c r="B88" s="26" t="s">
        <v>428</v>
      </c>
      <c r="C88" s="27" t="s">
        <v>1148</v>
      </c>
      <c r="D88" s="27"/>
      <c r="E88" s="28"/>
      <c r="F88" s="28"/>
      <c r="G88" s="28"/>
      <c r="H88" s="28"/>
      <c r="I88" s="28"/>
      <c r="J88" s="28"/>
      <c r="K88" s="28"/>
      <c r="L88" s="28"/>
      <c r="M88" s="28"/>
      <c r="N88" s="29"/>
    </row>
    <row r="89" spans="1:14" x14ac:dyDescent="0.2">
      <c r="A89" s="24"/>
      <c r="B89" s="26" t="s">
        <v>429</v>
      </c>
      <c r="C89" s="27" t="s">
        <v>1149</v>
      </c>
      <c r="D89" s="27"/>
      <c r="E89" s="28"/>
      <c r="F89" s="28"/>
      <c r="G89" s="28"/>
      <c r="H89" s="28"/>
      <c r="I89" s="28"/>
      <c r="J89" s="28"/>
      <c r="K89" s="28"/>
      <c r="L89" s="28"/>
      <c r="M89" s="28"/>
      <c r="N89" s="29"/>
    </row>
    <row r="90" spans="1:14" x14ac:dyDescent="0.2">
      <c r="A90" s="24"/>
      <c r="B90" s="26" t="s">
        <v>427</v>
      </c>
      <c r="C90" s="436" t="s">
        <v>1107</v>
      </c>
      <c r="D90" s="436"/>
      <c r="E90" s="436"/>
      <c r="F90" s="436"/>
      <c r="G90" s="436"/>
      <c r="H90" s="436"/>
      <c r="I90" s="436"/>
      <c r="J90" s="436"/>
      <c r="K90" s="436"/>
      <c r="L90" s="436"/>
      <c r="M90" s="436"/>
      <c r="N90" s="437"/>
    </row>
    <row r="91" spans="1:14" x14ac:dyDescent="0.2">
      <c r="A91" s="24"/>
      <c r="C91" s="436"/>
      <c r="D91" s="436"/>
      <c r="E91" s="436"/>
      <c r="F91" s="436"/>
      <c r="G91" s="436"/>
      <c r="H91" s="436"/>
      <c r="I91" s="436"/>
      <c r="J91" s="436"/>
      <c r="K91" s="436"/>
      <c r="L91" s="436"/>
      <c r="M91" s="436"/>
      <c r="N91" s="437"/>
    </row>
    <row r="92" spans="1:14" x14ac:dyDescent="0.2">
      <c r="A92" s="24"/>
      <c r="C92" s="436"/>
      <c r="D92" s="436"/>
      <c r="E92" s="436"/>
      <c r="F92" s="436"/>
      <c r="G92" s="436"/>
      <c r="H92" s="436"/>
      <c r="I92" s="436"/>
      <c r="J92" s="436"/>
      <c r="K92" s="436"/>
      <c r="L92" s="436"/>
      <c r="M92" s="436"/>
      <c r="N92" s="437"/>
    </row>
    <row r="93" spans="1:14" x14ac:dyDescent="0.2">
      <c r="A93" s="24"/>
      <c r="B93" s="26" t="s">
        <v>426</v>
      </c>
      <c r="C93" s="27"/>
      <c r="D93" s="27"/>
      <c r="E93" s="28"/>
      <c r="F93" s="28"/>
      <c r="G93" s="28"/>
      <c r="H93" s="28"/>
      <c r="I93" s="28"/>
      <c r="J93" s="28"/>
      <c r="K93" s="28"/>
      <c r="L93" s="28"/>
      <c r="M93" s="28"/>
      <c r="N93" s="29"/>
    </row>
    <row r="94" spans="1:14" ht="13.5" thickBot="1" x14ac:dyDescent="0.25">
      <c r="A94" s="30"/>
      <c r="B94" s="26" t="s">
        <v>430</v>
      </c>
      <c r="C94" s="31"/>
      <c r="D94" s="31"/>
      <c r="E94" s="32"/>
      <c r="F94" s="32"/>
      <c r="G94" s="32"/>
      <c r="H94" s="32"/>
      <c r="I94" s="32"/>
      <c r="J94" s="32"/>
      <c r="K94" s="32"/>
      <c r="L94" s="32"/>
      <c r="M94" s="32"/>
      <c r="N94" s="33"/>
    </row>
    <row r="95" spans="1:14" x14ac:dyDescent="0.2">
      <c r="A95" s="20"/>
      <c r="B95" s="21" t="s">
        <v>263</v>
      </c>
      <c r="C95" s="21"/>
      <c r="D95" s="21"/>
      <c r="E95" s="22"/>
      <c r="F95" s="22"/>
      <c r="G95" s="22"/>
      <c r="H95" s="22"/>
      <c r="I95" s="22"/>
      <c r="J95" s="51" t="s">
        <v>753</v>
      </c>
      <c r="K95" s="37" t="s">
        <v>513</v>
      </c>
      <c r="L95" s="37"/>
      <c r="M95" s="37"/>
      <c r="N95" s="37"/>
    </row>
    <row r="96" spans="1:14" ht="13.5" thickBot="1" x14ac:dyDescent="0.25">
      <c r="A96" s="30"/>
      <c r="B96" s="27"/>
      <c r="C96" s="31"/>
      <c r="D96" s="31"/>
      <c r="E96" s="32"/>
      <c r="F96" s="32"/>
      <c r="G96" s="32"/>
      <c r="H96" s="32"/>
      <c r="I96" s="32"/>
      <c r="J96" s="49" t="s">
        <v>514</v>
      </c>
      <c r="K96" s="40" t="s">
        <v>612</v>
      </c>
      <c r="L96" s="40"/>
      <c r="M96" s="40"/>
      <c r="N96" s="40"/>
    </row>
    <row r="97" spans="1:14" x14ac:dyDescent="0.2">
      <c r="A97" s="20"/>
      <c r="B97" s="434" t="s">
        <v>67</v>
      </c>
      <c r="C97" s="434"/>
      <c r="D97" s="434"/>
      <c r="E97" s="22"/>
      <c r="F97" s="22" t="s">
        <v>1180</v>
      </c>
      <c r="G97" s="22" t="s">
        <v>68</v>
      </c>
      <c r="H97" s="22" t="s">
        <v>702</v>
      </c>
      <c r="I97" s="22"/>
      <c r="J97" s="74">
        <f>127.5/O1*O2</f>
        <v>231.81818181818181</v>
      </c>
      <c r="K97" s="74">
        <f>164.5/O1*O2</f>
        <v>299.09090909090907</v>
      </c>
      <c r="L97" s="42"/>
      <c r="M97" s="42"/>
      <c r="N97" s="42"/>
    </row>
    <row r="98" spans="1:14" x14ac:dyDescent="0.2">
      <c r="A98" s="24"/>
      <c r="B98" s="435" t="s">
        <v>67</v>
      </c>
      <c r="C98" s="435"/>
      <c r="D98" s="435"/>
      <c r="E98" s="28"/>
      <c r="F98" s="28" t="s">
        <v>1181</v>
      </c>
      <c r="G98" s="28" t="s">
        <v>68</v>
      </c>
      <c r="H98" s="28" t="s">
        <v>702</v>
      </c>
      <c r="I98" s="28"/>
      <c r="J98" s="75">
        <f>68.8/O1*O2</f>
        <v>125.09090909090908</v>
      </c>
      <c r="K98" s="75">
        <f>87.5/O1*O2</f>
        <v>159.09090909090907</v>
      </c>
      <c r="L98" s="44"/>
      <c r="M98" s="44"/>
      <c r="N98" s="44"/>
    </row>
    <row r="99" spans="1:14" x14ac:dyDescent="0.2">
      <c r="A99" s="24"/>
      <c r="B99" s="435" t="s">
        <v>67</v>
      </c>
      <c r="C99" s="435"/>
      <c r="D99" s="435"/>
      <c r="E99" s="28"/>
      <c r="F99" s="28" t="s">
        <v>1182</v>
      </c>
      <c r="G99" s="28" t="s">
        <v>68</v>
      </c>
      <c r="H99" s="28" t="s">
        <v>702</v>
      </c>
      <c r="I99" s="28"/>
      <c r="J99" s="75">
        <f>55.5/O1*O2</f>
        <v>100.90909090909091</v>
      </c>
      <c r="K99" s="75">
        <f>70.5/O1*O2</f>
        <v>128.18181818181816</v>
      </c>
      <c r="L99" s="44"/>
      <c r="M99" s="44"/>
      <c r="N99" s="44"/>
    </row>
    <row r="100" spans="1:14" ht="13.5" thickBot="1" x14ac:dyDescent="0.25">
      <c r="A100" s="30"/>
      <c r="B100" s="443" t="s">
        <v>902</v>
      </c>
      <c r="C100" s="443"/>
      <c r="D100" s="443"/>
      <c r="E100" s="32"/>
      <c r="F100" s="32"/>
      <c r="G100" s="32"/>
      <c r="H100" s="32"/>
      <c r="I100" s="32"/>
      <c r="J100" s="76">
        <f>32/O1*O2</f>
        <v>58.18181818181818</v>
      </c>
      <c r="K100" s="76">
        <f>32/O1*O2</f>
        <v>58.18181818181818</v>
      </c>
      <c r="L100" s="46"/>
      <c r="M100" s="46"/>
      <c r="N100" s="46"/>
    </row>
    <row r="101" spans="1:14" ht="13.5" thickBot="1" x14ac:dyDescent="0.25">
      <c r="A101" s="52"/>
      <c r="B101" s="27"/>
      <c r="C101" s="27"/>
      <c r="D101" s="27"/>
      <c r="E101" s="28"/>
      <c r="F101" s="28"/>
      <c r="G101" s="28"/>
      <c r="H101" s="28"/>
      <c r="I101" s="28"/>
      <c r="J101" s="229"/>
      <c r="K101" s="229"/>
      <c r="L101" s="53"/>
      <c r="M101" s="53"/>
      <c r="N101" s="53"/>
    </row>
    <row r="102" spans="1:14" x14ac:dyDescent="0.2">
      <c r="A102" s="20"/>
      <c r="B102" s="21"/>
      <c r="C102" s="21"/>
      <c r="D102" s="21"/>
      <c r="E102" s="22"/>
      <c r="F102" s="22"/>
      <c r="G102" s="22"/>
      <c r="H102" s="22"/>
      <c r="I102" s="22"/>
      <c r="J102" s="22"/>
      <c r="K102" s="22"/>
      <c r="L102" s="22"/>
      <c r="M102" s="22"/>
      <c r="N102" s="23"/>
    </row>
    <row r="103" spans="1:14" ht="15" x14ac:dyDescent="0.2">
      <c r="A103" s="24"/>
      <c r="B103" s="440" t="s">
        <v>1713</v>
      </c>
      <c r="C103" s="441"/>
      <c r="D103" s="441"/>
      <c r="E103" s="441"/>
      <c r="F103" s="441"/>
      <c r="G103" s="441"/>
      <c r="H103" s="441"/>
      <c r="I103" s="441"/>
      <c r="J103" s="441"/>
      <c r="K103" s="441"/>
      <c r="L103" s="441"/>
      <c r="M103" s="442"/>
      <c r="N103" s="25" t="s">
        <v>91</v>
      </c>
    </row>
    <row r="104" spans="1:14" x14ac:dyDescent="0.2">
      <c r="A104" s="24"/>
      <c r="B104" s="26" t="s">
        <v>428</v>
      </c>
      <c r="C104" s="27" t="s">
        <v>1714</v>
      </c>
      <c r="D104" s="27"/>
      <c r="E104" s="28"/>
      <c r="F104" s="28"/>
      <c r="G104" s="28"/>
      <c r="H104" s="28"/>
      <c r="I104" s="28"/>
      <c r="J104" s="28"/>
      <c r="K104" s="28"/>
      <c r="L104" s="28"/>
      <c r="M104" s="28"/>
      <c r="N104" s="29"/>
    </row>
    <row r="105" spans="1:14" x14ac:dyDescent="0.2">
      <c r="A105" s="24"/>
      <c r="B105" s="26" t="s">
        <v>429</v>
      </c>
      <c r="C105" s="27" t="s">
        <v>1715</v>
      </c>
      <c r="D105" s="27"/>
      <c r="E105" s="28"/>
      <c r="F105" s="28"/>
      <c r="G105" s="28"/>
      <c r="H105" s="28"/>
      <c r="I105" s="28"/>
      <c r="J105" s="28"/>
      <c r="K105" s="28"/>
      <c r="L105" s="28"/>
      <c r="M105" s="28"/>
      <c r="N105" s="29"/>
    </row>
    <row r="106" spans="1:14" x14ac:dyDescent="0.2">
      <c r="A106" s="24"/>
      <c r="B106" s="26" t="s">
        <v>427</v>
      </c>
      <c r="C106" s="436" t="s">
        <v>1716</v>
      </c>
      <c r="D106" s="436"/>
      <c r="E106" s="436"/>
      <c r="F106" s="436"/>
      <c r="G106" s="436"/>
      <c r="H106" s="436"/>
      <c r="I106" s="436"/>
      <c r="J106" s="436"/>
      <c r="K106" s="436"/>
      <c r="L106" s="436"/>
      <c r="M106" s="436"/>
      <c r="N106" s="437"/>
    </row>
    <row r="107" spans="1:14" x14ac:dyDescent="0.2">
      <c r="A107" s="24"/>
      <c r="B107" s="27"/>
      <c r="C107" s="436"/>
      <c r="D107" s="436"/>
      <c r="E107" s="436"/>
      <c r="F107" s="436"/>
      <c r="G107" s="436"/>
      <c r="H107" s="436"/>
      <c r="I107" s="436"/>
      <c r="J107" s="436"/>
      <c r="K107" s="436"/>
      <c r="L107" s="436"/>
      <c r="M107" s="436"/>
      <c r="N107" s="437"/>
    </row>
    <row r="108" spans="1:14" x14ac:dyDescent="0.2">
      <c r="A108" s="24"/>
      <c r="B108" s="26" t="s">
        <v>426</v>
      </c>
      <c r="C108" s="27"/>
      <c r="D108" s="27"/>
      <c r="E108" s="28"/>
      <c r="F108" s="28"/>
      <c r="G108" s="28"/>
      <c r="H108" s="28"/>
      <c r="I108" s="28"/>
      <c r="J108" s="28"/>
      <c r="K108" s="28"/>
      <c r="L108" s="28"/>
      <c r="M108" s="28"/>
      <c r="N108" s="29"/>
    </row>
    <row r="109" spans="1:14" ht="13.5" thickBot="1" x14ac:dyDescent="0.25">
      <c r="A109" s="30"/>
      <c r="B109" s="26" t="s">
        <v>430</v>
      </c>
      <c r="C109" s="31"/>
      <c r="D109" s="31"/>
      <c r="E109" s="32"/>
      <c r="F109" s="32"/>
      <c r="G109" s="32"/>
      <c r="H109" s="32"/>
      <c r="I109" s="32"/>
      <c r="J109" s="32"/>
      <c r="K109" s="32"/>
      <c r="L109" s="32"/>
      <c r="M109" s="32"/>
      <c r="N109" s="33"/>
    </row>
    <row r="110" spans="1:14" ht="13.5" thickBot="1" x14ac:dyDescent="0.25">
      <c r="A110" s="24"/>
      <c r="B110" s="21" t="s">
        <v>263</v>
      </c>
      <c r="C110" s="27"/>
      <c r="D110" s="27"/>
      <c r="E110" s="28"/>
      <c r="F110" s="28"/>
      <c r="G110" s="28"/>
      <c r="H110" s="28"/>
      <c r="I110" s="28"/>
      <c r="J110" s="67" t="s">
        <v>909</v>
      </c>
      <c r="K110" s="63" t="s">
        <v>206</v>
      </c>
      <c r="L110" s="63"/>
      <c r="M110" s="63"/>
      <c r="N110" s="63"/>
    </row>
    <row r="111" spans="1:14" x14ac:dyDescent="0.2">
      <c r="A111" s="20"/>
      <c r="B111" s="434" t="s">
        <v>67</v>
      </c>
      <c r="C111" s="434"/>
      <c r="D111" s="434"/>
      <c r="E111" s="22"/>
      <c r="F111" s="22" t="s">
        <v>1180</v>
      </c>
      <c r="G111" s="22" t="s">
        <v>68</v>
      </c>
      <c r="H111" s="22" t="s">
        <v>702</v>
      </c>
      <c r="I111" s="28"/>
      <c r="J111" s="75">
        <f>130/O1*O2</f>
        <v>236.36363636363635</v>
      </c>
      <c r="K111" s="75">
        <f>160/O1*O2</f>
        <v>290.90909090909088</v>
      </c>
      <c r="L111" s="44"/>
      <c r="M111" s="42"/>
      <c r="N111" s="42"/>
    </row>
    <row r="112" spans="1:14" x14ac:dyDescent="0.2">
      <c r="A112" s="24"/>
      <c r="B112" s="435" t="s">
        <v>67</v>
      </c>
      <c r="C112" s="435"/>
      <c r="D112" s="435"/>
      <c r="E112" s="28"/>
      <c r="F112" s="28" t="s">
        <v>1181</v>
      </c>
      <c r="G112" s="28" t="s">
        <v>68</v>
      </c>
      <c r="H112" s="28" t="s">
        <v>702</v>
      </c>
      <c r="I112" s="28"/>
      <c r="J112" s="75">
        <f>75/O1*O2</f>
        <v>136.36363636363635</v>
      </c>
      <c r="K112" s="75">
        <f>90/O1*O2</f>
        <v>163.63636363636363</v>
      </c>
      <c r="L112" s="44"/>
      <c r="M112" s="44"/>
      <c r="N112" s="44"/>
    </row>
    <row r="113" spans="1:14" x14ac:dyDescent="0.2">
      <c r="A113" s="24"/>
      <c r="B113" s="68" t="s">
        <v>67</v>
      </c>
      <c r="C113" s="27"/>
      <c r="D113" s="27"/>
      <c r="E113" s="28"/>
      <c r="F113" s="28" t="s">
        <v>1182</v>
      </c>
      <c r="G113" s="28" t="s">
        <v>68</v>
      </c>
      <c r="H113" s="28" t="s">
        <v>702</v>
      </c>
      <c r="I113" s="28"/>
      <c r="J113" s="75">
        <f>68.5/O1*O2</f>
        <v>124.54545454545453</v>
      </c>
      <c r="K113" s="75">
        <f>78.5/O1*O2</f>
        <v>142.72727272727272</v>
      </c>
      <c r="L113" s="44"/>
      <c r="M113" s="44"/>
      <c r="N113" s="44"/>
    </row>
    <row r="114" spans="1:14" ht="13.5" thickBot="1" x14ac:dyDescent="0.25">
      <c r="A114" s="30"/>
      <c r="B114" s="443" t="s">
        <v>902</v>
      </c>
      <c r="C114" s="443"/>
      <c r="D114" s="443"/>
      <c r="E114" s="32"/>
      <c r="F114" s="89"/>
      <c r="G114" s="89" t="s">
        <v>1484</v>
      </c>
      <c r="H114" s="32" t="s">
        <v>702</v>
      </c>
      <c r="I114" s="32"/>
      <c r="J114" s="76">
        <f>31/O1*O2</f>
        <v>56.36363636363636</v>
      </c>
      <c r="K114" s="76">
        <f>35/O1*O2</f>
        <v>63.636363636363633</v>
      </c>
      <c r="L114" s="46"/>
      <c r="M114" s="46"/>
      <c r="N114" s="46"/>
    </row>
    <row r="115" spans="1:14" x14ac:dyDescent="0.2">
      <c r="A115" s="52"/>
      <c r="B115" s="27"/>
      <c r="C115" s="27"/>
      <c r="D115" s="27"/>
      <c r="E115" s="28"/>
      <c r="F115" s="28"/>
      <c r="G115" s="28"/>
      <c r="H115" s="28"/>
      <c r="I115" s="28"/>
      <c r="J115" s="229"/>
      <c r="K115" s="229"/>
      <c r="L115" s="53"/>
      <c r="M115" s="53"/>
      <c r="N115" s="53"/>
    </row>
    <row r="116" spans="1:14" x14ac:dyDescent="0.2">
      <c r="A116" s="52"/>
      <c r="B116" s="27"/>
      <c r="C116" s="27"/>
      <c r="D116" s="27"/>
      <c r="E116" s="28"/>
      <c r="F116" s="28"/>
      <c r="G116" s="28"/>
      <c r="H116" s="28"/>
      <c r="I116" s="28"/>
      <c r="J116" s="229"/>
      <c r="K116" s="229"/>
      <c r="L116" s="53"/>
      <c r="M116" s="53"/>
      <c r="N116" s="53"/>
    </row>
    <row r="117" spans="1:14" x14ac:dyDescent="0.2">
      <c r="A117" s="52"/>
      <c r="B117" s="27"/>
      <c r="C117" s="27"/>
      <c r="D117" s="27"/>
      <c r="E117" s="28"/>
      <c r="F117" s="28"/>
      <c r="G117" s="28"/>
      <c r="H117" s="28"/>
      <c r="I117" s="28"/>
      <c r="J117" s="229"/>
      <c r="K117" s="229"/>
      <c r="L117" s="53"/>
      <c r="M117" s="53"/>
      <c r="N117" s="53"/>
    </row>
    <row r="118" spans="1:14" x14ac:dyDescent="0.2">
      <c r="A118" s="52"/>
      <c r="B118" s="27"/>
      <c r="C118" s="27"/>
      <c r="D118" s="27"/>
      <c r="E118" s="28"/>
      <c r="F118" s="28"/>
      <c r="G118" s="28"/>
      <c r="H118" s="28"/>
      <c r="I118" s="28"/>
      <c r="J118" s="229"/>
      <c r="K118" s="229"/>
      <c r="L118" s="53"/>
      <c r="M118" s="53"/>
      <c r="N118" s="53"/>
    </row>
    <row r="119" spans="1:14" x14ac:dyDescent="0.2">
      <c r="A119" s="52"/>
      <c r="B119" s="27"/>
      <c r="C119" s="27"/>
      <c r="D119" s="27"/>
      <c r="E119" s="28"/>
      <c r="F119" s="28"/>
      <c r="G119" s="28"/>
      <c r="H119" s="28"/>
      <c r="I119" s="28"/>
      <c r="J119" s="229"/>
      <c r="K119" s="229"/>
      <c r="L119" s="53"/>
      <c r="M119" s="53"/>
      <c r="N119" s="53"/>
    </row>
    <row r="120" spans="1:14" x14ac:dyDescent="0.2">
      <c r="A120" s="52"/>
      <c r="B120" s="27"/>
      <c r="C120" s="27"/>
      <c r="D120" s="27"/>
      <c r="E120" s="28"/>
      <c r="F120" s="28"/>
      <c r="G120" s="28"/>
      <c r="H120" s="28"/>
      <c r="I120" s="28"/>
      <c r="J120" s="229"/>
      <c r="K120" s="229"/>
      <c r="L120" s="53"/>
      <c r="M120" s="53"/>
      <c r="N120" s="53"/>
    </row>
    <row r="121" spans="1:14" x14ac:dyDescent="0.2">
      <c r="A121" s="52"/>
      <c r="B121" s="27"/>
      <c r="C121" s="27"/>
      <c r="D121" s="27"/>
      <c r="E121" s="28"/>
      <c r="F121" s="28"/>
      <c r="G121" s="28"/>
      <c r="H121" s="28"/>
      <c r="I121" s="28"/>
      <c r="J121" s="229"/>
      <c r="K121" s="229"/>
      <c r="L121" s="53"/>
      <c r="M121" s="53"/>
      <c r="N121" s="53"/>
    </row>
    <row r="122" spans="1:14" x14ac:dyDescent="0.2">
      <c r="A122" s="52"/>
      <c r="B122" s="27"/>
      <c r="C122" s="27"/>
      <c r="D122" s="27"/>
      <c r="E122" s="28"/>
      <c r="F122" s="28"/>
      <c r="G122" s="28"/>
      <c r="H122" s="28"/>
      <c r="I122" s="28"/>
      <c r="J122" s="229"/>
      <c r="K122" s="229"/>
      <c r="L122" s="53"/>
      <c r="M122" s="53"/>
      <c r="N122" s="53"/>
    </row>
    <row r="123" spans="1:14" x14ac:dyDescent="0.2">
      <c r="A123" s="52"/>
      <c r="B123" s="27"/>
      <c r="C123" s="27"/>
      <c r="D123" s="27"/>
      <c r="E123" s="28"/>
      <c r="F123" s="28"/>
      <c r="G123" s="28"/>
      <c r="H123" s="28"/>
      <c r="I123" s="28"/>
      <c r="J123" s="229"/>
      <c r="K123" s="229"/>
      <c r="L123" s="53"/>
      <c r="M123" s="53"/>
      <c r="N123" s="53"/>
    </row>
    <row r="124" spans="1:14" x14ac:dyDescent="0.2">
      <c r="A124" s="52"/>
      <c r="B124" s="27"/>
      <c r="C124" s="27"/>
      <c r="D124" s="27"/>
      <c r="E124" s="28"/>
      <c r="F124" s="28"/>
      <c r="G124" s="28"/>
      <c r="H124" s="28"/>
      <c r="I124" s="28"/>
      <c r="J124" s="229"/>
      <c r="K124" s="229"/>
      <c r="L124" s="53"/>
      <c r="M124" s="53"/>
      <c r="N124" s="53"/>
    </row>
    <row r="125" spans="1:14" x14ac:dyDescent="0.2">
      <c r="A125" s="52"/>
      <c r="B125" s="27"/>
      <c r="C125" s="27"/>
      <c r="D125" s="27"/>
      <c r="E125" s="28"/>
      <c r="F125" s="28"/>
      <c r="G125" s="28"/>
      <c r="H125" s="28"/>
      <c r="I125" s="28"/>
      <c r="J125" s="229"/>
      <c r="K125" s="229"/>
      <c r="L125" s="53"/>
      <c r="M125" s="53"/>
      <c r="N125" s="53"/>
    </row>
    <row r="126" spans="1:14" x14ac:dyDescent="0.2">
      <c r="A126" s="52"/>
      <c r="B126" s="27"/>
      <c r="C126" s="27"/>
      <c r="D126" s="27"/>
      <c r="E126" s="28"/>
      <c r="F126" s="28"/>
      <c r="G126" s="28"/>
      <c r="H126" s="28"/>
      <c r="I126" s="28"/>
      <c r="J126" s="229"/>
      <c r="K126" s="229"/>
      <c r="L126" s="53"/>
      <c r="M126" s="53"/>
      <c r="N126" s="53"/>
    </row>
    <row r="127" spans="1:14" x14ac:dyDescent="0.2">
      <c r="A127" s="52"/>
      <c r="B127" s="27"/>
      <c r="C127" s="27"/>
      <c r="D127" s="27"/>
      <c r="E127" s="28"/>
      <c r="F127" s="28"/>
      <c r="G127" s="28"/>
      <c r="H127" s="28"/>
      <c r="I127" s="28"/>
      <c r="J127" s="229"/>
      <c r="K127" s="229"/>
      <c r="L127" s="53"/>
      <c r="M127" s="53"/>
      <c r="N127" s="53"/>
    </row>
    <row r="128" spans="1:14" x14ac:dyDescent="0.2">
      <c r="A128" s="52"/>
      <c r="B128" s="27"/>
      <c r="C128" s="27"/>
      <c r="D128" s="27"/>
      <c r="E128" s="28"/>
      <c r="F128" s="28"/>
      <c r="G128" s="28"/>
      <c r="H128" s="28"/>
      <c r="I128" s="28"/>
      <c r="J128" s="229"/>
      <c r="K128" s="229"/>
      <c r="L128" s="53"/>
      <c r="M128" s="53"/>
      <c r="N128" s="53"/>
    </row>
    <row r="129" spans="1:14" x14ac:dyDescent="0.2">
      <c r="A129" s="52"/>
      <c r="B129" s="27"/>
      <c r="C129" s="27"/>
      <c r="D129" s="27"/>
      <c r="E129" s="28"/>
      <c r="F129" s="28"/>
      <c r="G129" s="28"/>
      <c r="H129" s="28"/>
      <c r="I129" s="28"/>
      <c r="J129" s="229"/>
      <c r="K129" s="229"/>
      <c r="L129" s="53"/>
      <c r="M129" s="53"/>
      <c r="N129" s="53"/>
    </row>
    <row r="130" spans="1:14" x14ac:dyDescent="0.2">
      <c r="A130" s="52"/>
      <c r="B130" s="27"/>
      <c r="C130" s="27"/>
      <c r="D130" s="27"/>
      <c r="E130" s="28"/>
      <c r="F130" s="28"/>
      <c r="G130" s="28"/>
      <c r="H130" s="28"/>
      <c r="I130" s="28"/>
      <c r="J130" s="229"/>
      <c r="K130" s="229"/>
      <c r="L130" s="53"/>
      <c r="M130" s="53"/>
      <c r="N130" s="53"/>
    </row>
    <row r="131" spans="1:14" x14ac:dyDescent="0.2">
      <c r="A131" s="52"/>
      <c r="B131" s="27"/>
      <c r="C131" s="27"/>
      <c r="D131" s="27"/>
      <c r="E131" s="28"/>
      <c r="F131" s="28"/>
      <c r="G131" s="28"/>
      <c r="H131" s="28"/>
      <c r="I131" s="28"/>
      <c r="J131" s="229"/>
      <c r="K131" s="229"/>
      <c r="L131" s="53"/>
      <c r="M131" s="53"/>
      <c r="N131" s="53"/>
    </row>
    <row r="132" spans="1:14" ht="13.5" thickBot="1" x14ac:dyDescent="0.25"/>
    <row r="133" spans="1:14" x14ac:dyDescent="0.2">
      <c r="A133" s="20"/>
      <c r="B133" s="21"/>
      <c r="C133" s="21"/>
      <c r="D133" s="21"/>
      <c r="E133" s="22"/>
      <c r="F133" s="22"/>
      <c r="G133" s="22"/>
      <c r="H133" s="22"/>
      <c r="I133" s="22"/>
      <c r="J133" s="22"/>
      <c r="K133" s="22"/>
      <c r="L133" s="22"/>
      <c r="M133" s="22"/>
      <c r="N133" s="23"/>
    </row>
    <row r="134" spans="1:14" ht="15" x14ac:dyDescent="0.2">
      <c r="A134" s="24"/>
      <c r="B134" s="440" t="s">
        <v>806</v>
      </c>
      <c r="C134" s="441"/>
      <c r="D134" s="441"/>
      <c r="E134" s="441"/>
      <c r="F134" s="441"/>
      <c r="G134" s="441"/>
      <c r="H134" s="441"/>
      <c r="I134" s="441"/>
      <c r="J134" s="441"/>
      <c r="K134" s="441"/>
      <c r="L134" s="441"/>
      <c r="M134" s="442"/>
      <c r="N134" s="25" t="s">
        <v>904</v>
      </c>
    </row>
    <row r="135" spans="1:14" x14ac:dyDescent="0.2">
      <c r="A135" s="24"/>
      <c r="B135" s="26" t="s">
        <v>428</v>
      </c>
      <c r="C135" s="27" t="s">
        <v>807</v>
      </c>
      <c r="D135" s="27"/>
      <c r="E135" s="28"/>
      <c r="F135" s="28"/>
      <c r="G135" s="28"/>
      <c r="H135" s="28"/>
      <c r="I135" s="28"/>
      <c r="J135" s="28"/>
      <c r="K135" s="28"/>
      <c r="L135" s="28"/>
      <c r="M135" s="28"/>
      <c r="N135" s="29"/>
    </row>
    <row r="136" spans="1:14" x14ac:dyDescent="0.2">
      <c r="A136" s="24"/>
      <c r="B136" s="26" t="s">
        <v>429</v>
      </c>
      <c r="C136" s="27" t="s">
        <v>1449</v>
      </c>
      <c r="D136" s="27"/>
      <c r="E136" s="28"/>
      <c r="F136" s="28"/>
      <c r="G136" s="28"/>
      <c r="H136" s="28"/>
      <c r="I136" s="28"/>
      <c r="J136" s="28"/>
      <c r="K136" s="28"/>
      <c r="L136" s="28"/>
      <c r="M136" s="28"/>
      <c r="N136" s="29"/>
    </row>
    <row r="137" spans="1:14" x14ac:dyDescent="0.2">
      <c r="A137" s="24"/>
      <c r="B137" s="26" t="s">
        <v>427</v>
      </c>
      <c r="C137" s="436" t="s">
        <v>1108</v>
      </c>
      <c r="D137" s="436"/>
      <c r="E137" s="436"/>
      <c r="F137" s="436"/>
      <c r="G137" s="436"/>
      <c r="H137" s="436"/>
      <c r="I137" s="436"/>
      <c r="J137" s="436"/>
      <c r="K137" s="436"/>
      <c r="L137" s="436"/>
      <c r="M137" s="436"/>
      <c r="N137" s="437"/>
    </row>
    <row r="138" spans="1:14" x14ac:dyDescent="0.2">
      <c r="A138" s="24"/>
      <c r="B138" s="26"/>
      <c r="C138" s="438"/>
      <c r="D138" s="438"/>
      <c r="E138" s="438"/>
      <c r="F138" s="438"/>
      <c r="G138" s="438"/>
      <c r="H138" s="438"/>
      <c r="I138" s="438"/>
      <c r="J138" s="438"/>
      <c r="K138" s="438"/>
      <c r="L138" s="438"/>
      <c r="M138" s="438"/>
      <c r="N138" s="439"/>
    </row>
    <row r="139" spans="1:14" ht="13.5" thickBot="1" x14ac:dyDescent="0.25">
      <c r="A139" s="30"/>
      <c r="B139" s="47" t="s">
        <v>430</v>
      </c>
      <c r="C139" s="31"/>
      <c r="D139" s="31"/>
      <c r="E139" s="32"/>
      <c r="F139" s="32"/>
      <c r="G139" s="32"/>
      <c r="H139" s="32"/>
      <c r="I139" s="32"/>
      <c r="J139" s="32"/>
      <c r="K139" s="32"/>
      <c r="L139" s="32"/>
      <c r="M139" s="32"/>
      <c r="N139" s="33"/>
    </row>
    <row r="140" spans="1:14" ht="13.5" thickBot="1" x14ac:dyDescent="0.25">
      <c r="A140" s="24"/>
      <c r="B140" s="55" t="s">
        <v>263</v>
      </c>
      <c r="C140" s="27"/>
      <c r="D140" s="27"/>
      <c r="E140" s="28"/>
      <c r="F140" s="28"/>
      <c r="G140" s="28"/>
      <c r="H140" s="28"/>
      <c r="I140" s="28"/>
      <c r="J140" s="56" t="s">
        <v>909</v>
      </c>
      <c r="K140" s="56" t="s">
        <v>206</v>
      </c>
      <c r="L140" s="40"/>
      <c r="M140" s="40"/>
      <c r="N140" s="40"/>
    </row>
    <row r="141" spans="1:14" x14ac:dyDescent="0.2">
      <c r="A141" s="20"/>
      <c r="B141" s="434" t="s">
        <v>67</v>
      </c>
      <c r="C141" s="434"/>
      <c r="D141" s="434"/>
      <c r="E141" s="22"/>
      <c r="F141" s="22" t="s">
        <v>1180</v>
      </c>
      <c r="G141" s="22" t="s">
        <v>68</v>
      </c>
      <c r="H141" s="22" t="s">
        <v>702</v>
      </c>
      <c r="I141" s="22"/>
      <c r="J141" s="74">
        <f>118.5/O1*O2</f>
        <v>215.45454545454544</v>
      </c>
      <c r="K141" s="74">
        <f>174.5/O1*O2</f>
        <v>317.27272727272725</v>
      </c>
      <c r="L141" s="57"/>
      <c r="M141" s="42"/>
      <c r="N141" s="42"/>
    </row>
    <row r="142" spans="1:14" x14ac:dyDescent="0.2">
      <c r="A142" s="24"/>
      <c r="B142" s="435" t="s">
        <v>67</v>
      </c>
      <c r="C142" s="435"/>
      <c r="D142" s="435"/>
      <c r="E142" s="28"/>
      <c r="F142" s="28" t="s">
        <v>1181</v>
      </c>
      <c r="G142" s="28" t="s">
        <v>68</v>
      </c>
      <c r="H142" s="28" t="s">
        <v>702</v>
      </c>
      <c r="I142" s="28"/>
      <c r="J142" s="75">
        <f>67.5/O1*O2</f>
        <v>122.72727272727272</v>
      </c>
      <c r="K142" s="75">
        <f>98.5/O1*O2</f>
        <v>179.09090909090907</v>
      </c>
      <c r="L142" s="44"/>
      <c r="M142" s="44"/>
      <c r="N142" s="44"/>
    </row>
    <row r="143" spans="1:14" x14ac:dyDescent="0.2">
      <c r="A143" s="24"/>
      <c r="B143" s="435" t="s">
        <v>67</v>
      </c>
      <c r="C143" s="435"/>
      <c r="D143" s="435"/>
      <c r="E143" s="28"/>
      <c r="F143" s="28" t="s">
        <v>1182</v>
      </c>
      <c r="G143" s="28" t="s">
        <v>68</v>
      </c>
      <c r="H143" s="28" t="s">
        <v>702</v>
      </c>
      <c r="I143" s="28"/>
      <c r="J143" s="75">
        <f>50.5/O1*O2</f>
        <v>91.818181818181813</v>
      </c>
      <c r="K143" s="75">
        <f>74.5/O1*O2</f>
        <v>135.45454545454544</v>
      </c>
      <c r="L143" s="44"/>
      <c r="M143" s="44"/>
      <c r="N143" s="44"/>
    </row>
    <row r="144" spans="1:14" ht="13.5" thickBot="1" x14ac:dyDescent="0.25">
      <c r="A144" s="30"/>
      <c r="B144" s="443" t="s">
        <v>902</v>
      </c>
      <c r="C144" s="443"/>
      <c r="D144" s="443"/>
      <c r="E144" s="32"/>
      <c r="F144" s="32"/>
      <c r="G144" s="32" t="s">
        <v>1484</v>
      </c>
      <c r="H144" s="32" t="s">
        <v>702</v>
      </c>
      <c r="I144" s="32"/>
      <c r="J144" s="76">
        <f>30/O1*O2</f>
        <v>54.54545454545454</v>
      </c>
      <c r="K144" s="76">
        <f>35/O1*O2</f>
        <v>63.636363636363633</v>
      </c>
      <c r="L144" s="46"/>
      <c r="M144" s="46"/>
      <c r="N144" s="46"/>
    </row>
    <row r="145" spans="1:14" ht="13.5" thickBot="1" x14ac:dyDescent="0.25">
      <c r="A145" s="52"/>
      <c r="B145" s="27"/>
      <c r="C145" s="27"/>
      <c r="D145" s="27"/>
      <c r="E145" s="28"/>
      <c r="F145" s="28"/>
      <c r="G145" s="28"/>
      <c r="H145" s="28"/>
      <c r="I145" s="28"/>
      <c r="J145" s="229"/>
      <c r="K145" s="229"/>
      <c r="L145" s="53"/>
      <c r="M145" s="53"/>
      <c r="N145" s="53"/>
    </row>
    <row r="146" spans="1:14" x14ac:dyDescent="0.2">
      <c r="A146" s="20"/>
      <c r="B146" s="21"/>
      <c r="C146" s="21"/>
      <c r="D146" s="21"/>
      <c r="E146" s="22"/>
      <c r="F146" s="22"/>
      <c r="G146" s="22"/>
      <c r="H146" s="22"/>
      <c r="I146" s="22"/>
      <c r="J146" s="22"/>
      <c r="K146" s="22"/>
      <c r="L146" s="22"/>
      <c r="M146" s="22"/>
      <c r="N146" s="23"/>
    </row>
    <row r="147" spans="1:14" ht="15" x14ac:dyDescent="0.2">
      <c r="A147" s="24"/>
      <c r="B147" s="440" t="s">
        <v>677</v>
      </c>
      <c r="C147" s="441"/>
      <c r="D147" s="441"/>
      <c r="E147" s="441"/>
      <c r="F147" s="441"/>
      <c r="G147" s="441"/>
      <c r="H147" s="441"/>
      <c r="I147" s="441"/>
      <c r="J147" s="441"/>
      <c r="K147" s="441"/>
      <c r="L147" s="441"/>
      <c r="M147" s="442"/>
      <c r="N147" s="25" t="s">
        <v>904</v>
      </c>
    </row>
    <row r="148" spans="1:14" x14ac:dyDescent="0.2">
      <c r="A148" s="24"/>
      <c r="B148" s="26" t="s">
        <v>428</v>
      </c>
      <c r="C148" s="27" t="s">
        <v>678</v>
      </c>
      <c r="D148" s="27"/>
      <c r="E148" s="28"/>
      <c r="F148" s="28"/>
      <c r="G148" s="28"/>
      <c r="H148" s="28"/>
      <c r="I148" s="28"/>
      <c r="J148" s="28"/>
      <c r="K148" s="28"/>
      <c r="L148" s="28"/>
      <c r="M148" s="28"/>
      <c r="N148" s="29"/>
    </row>
    <row r="149" spans="1:14" x14ac:dyDescent="0.2">
      <c r="A149" s="24"/>
      <c r="B149" s="26" t="s">
        <v>429</v>
      </c>
      <c r="C149" s="448" t="s">
        <v>468</v>
      </c>
      <c r="D149" s="446"/>
      <c r="E149" s="446"/>
      <c r="F149" s="446"/>
      <c r="G149" s="446"/>
      <c r="H149" s="446"/>
      <c r="I149" s="446"/>
      <c r="J149" s="446"/>
      <c r="K149" s="446"/>
      <c r="L149" s="446"/>
      <c r="M149" s="446"/>
      <c r="N149" s="447"/>
    </row>
    <row r="150" spans="1:14" x14ac:dyDescent="0.2">
      <c r="A150" s="24"/>
      <c r="B150" s="26"/>
      <c r="C150" s="446"/>
      <c r="D150" s="446"/>
      <c r="E150" s="446"/>
      <c r="F150" s="446"/>
      <c r="G150" s="446"/>
      <c r="H150" s="446"/>
      <c r="I150" s="446"/>
      <c r="J150" s="446"/>
      <c r="K150" s="446"/>
      <c r="L150" s="446"/>
      <c r="M150" s="446"/>
      <c r="N150" s="447"/>
    </row>
    <row r="151" spans="1:14" x14ac:dyDescent="0.2">
      <c r="A151" s="24"/>
      <c r="B151" s="26" t="s">
        <v>427</v>
      </c>
      <c r="C151" s="436" t="s">
        <v>883</v>
      </c>
      <c r="D151" s="436"/>
      <c r="E151" s="436"/>
      <c r="F151" s="436"/>
      <c r="G151" s="436"/>
      <c r="H151" s="436"/>
      <c r="I151" s="436"/>
      <c r="J151" s="436"/>
      <c r="K151" s="436"/>
      <c r="L151" s="436"/>
      <c r="M151" s="436"/>
      <c r="N151" s="437"/>
    </row>
    <row r="152" spans="1:14" x14ac:dyDescent="0.2">
      <c r="A152" s="24"/>
      <c r="C152" s="436"/>
      <c r="D152" s="436"/>
      <c r="E152" s="436"/>
      <c r="F152" s="436"/>
      <c r="G152" s="436"/>
      <c r="H152" s="436"/>
      <c r="I152" s="436"/>
      <c r="J152" s="436"/>
      <c r="K152" s="436"/>
      <c r="L152" s="436"/>
      <c r="M152" s="436"/>
      <c r="N152" s="437"/>
    </row>
    <row r="153" spans="1:14" x14ac:dyDescent="0.2">
      <c r="A153" s="24"/>
      <c r="C153" s="436"/>
      <c r="D153" s="436"/>
      <c r="E153" s="436"/>
      <c r="F153" s="436"/>
      <c r="G153" s="436"/>
      <c r="H153" s="436"/>
      <c r="I153" s="436"/>
      <c r="J153" s="436"/>
      <c r="K153" s="436"/>
      <c r="L153" s="436"/>
      <c r="M153" s="436"/>
      <c r="N153" s="437"/>
    </row>
    <row r="154" spans="1:14" x14ac:dyDescent="0.2">
      <c r="A154" s="24"/>
      <c r="C154" s="438"/>
      <c r="D154" s="438"/>
      <c r="E154" s="438"/>
      <c r="F154" s="438"/>
      <c r="G154" s="438"/>
      <c r="H154" s="438"/>
      <c r="I154" s="438"/>
      <c r="J154" s="438"/>
      <c r="K154" s="438"/>
      <c r="L154" s="438"/>
      <c r="M154" s="438"/>
      <c r="N154" s="439"/>
    </row>
    <row r="155" spans="1:14" x14ac:dyDescent="0.2">
      <c r="A155" s="24"/>
      <c r="C155" s="438"/>
      <c r="D155" s="438"/>
      <c r="E155" s="438"/>
      <c r="F155" s="438"/>
      <c r="G155" s="438"/>
      <c r="H155" s="438"/>
      <c r="I155" s="438"/>
      <c r="J155" s="438"/>
      <c r="K155" s="438"/>
      <c r="L155" s="438"/>
      <c r="M155" s="438"/>
      <c r="N155" s="439"/>
    </row>
    <row r="156" spans="1:14" x14ac:dyDescent="0.2">
      <c r="A156" s="24"/>
      <c r="C156" s="438"/>
      <c r="D156" s="438"/>
      <c r="E156" s="438"/>
      <c r="F156" s="438"/>
      <c r="G156" s="438"/>
      <c r="H156" s="438"/>
      <c r="I156" s="438"/>
      <c r="J156" s="438"/>
      <c r="K156" s="438"/>
      <c r="L156" s="438"/>
      <c r="M156" s="438"/>
      <c r="N156" s="439"/>
    </row>
    <row r="157" spans="1:14" x14ac:dyDescent="0.2">
      <c r="A157" s="24"/>
      <c r="C157" s="438"/>
      <c r="D157" s="438"/>
      <c r="E157" s="438"/>
      <c r="F157" s="438"/>
      <c r="G157" s="438"/>
      <c r="H157" s="438"/>
      <c r="I157" s="438"/>
      <c r="J157" s="438"/>
      <c r="K157" s="438"/>
      <c r="L157" s="438"/>
      <c r="M157" s="438"/>
      <c r="N157" s="439"/>
    </row>
    <row r="158" spans="1:14" x14ac:dyDescent="0.2">
      <c r="A158" s="24"/>
      <c r="B158" s="26" t="s">
        <v>426</v>
      </c>
      <c r="C158" s="27" t="s">
        <v>484</v>
      </c>
      <c r="D158" s="27"/>
      <c r="E158" s="28"/>
      <c r="F158" s="28"/>
      <c r="G158" s="28"/>
      <c r="H158" s="28"/>
      <c r="I158" s="28"/>
      <c r="J158" s="28"/>
      <c r="K158" s="28"/>
      <c r="L158" s="28"/>
      <c r="M158" s="28"/>
      <c r="N158" s="29"/>
    </row>
    <row r="159" spans="1:14" ht="13.5" thickBot="1" x14ac:dyDescent="0.25">
      <c r="A159" s="30"/>
      <c r="B159" s="26" t="s">
        <v>430</v>
      </c>
      <c r="C159" s="31"/>
      <c r="D159" s="31"/>
      <c r="E159" s="32"/>
      <c r="F159" s="32"/>
      <c r="G159" s="32"/>
      <c r="H159" s="32"/>
      <c r="I159" s="32"/>
      <c r="J159" s="32"/>
      <c r="K159" s="32"/>
      <c r="L159" s="32"/>
      <c r="M159" s="32"/>
      <c r="N159" s="33"/>
    </row>
    <row r="160" spans="1:14" x14ac:dyDescent="0.2">
      <c r="A160" s="20"/>
      <c r="B160" s="21" t="s">
        <v>263</v>
      </c>
      <c r="C160" s="21"/>
      <c r="D160" s="21"/>
      <c r="E160" s="22"/>
      <c r="F160" s="22"/>
      <c r="G160" s="22"/>
      <c r="H160" s="22"/>
      <c r="I160" s="22"/>
      <c r="J160" s="48" t="s">
        <v>2126</v>
      </c>
      <c r="K160" s="37" t="s">
        <v>2026</v>
      </c>
      <c r="L160" s="37"/>
      <c r="M160" s="37"/>
      <c r="N160" s="37"/>
    </row>
    <row r="161" spans="1:14" ht="13.5" thickBot="1" x14ac:dyDescent="0.25">
      <c r="A161" s="30"/>
      <c r="B161" s="27" t="s">
        <v>263</v>
      </c>
      <c r="C161" s="31"/>
      <c r="D161" s="31"/>
      <c r="E161" s="32"/>
      <c r="F161" s="32"/>
      <c r="G161" s="32"/>
      <c r="H161" s="32"/>
      <c r="I161" s="32"/>
      <c r="J161" s="49" t="s">
        <v>348</v>
      </c>
      <c r="K161" s="40" t="s">
        <v>510</v>
      </c>
      <c r="L161" s="40" t="s">
        <v>2127</v>
      </c>
      <c r="M161" s="40"/>
      <c r="N161" s="40"/>
    </row>
    <row r="162" spans="1:14" x14ac:dyDescent="0.2">
      <c r="A162" s="20"/>
      <c r="B162" s="434" t="s">
        <v>485</v>
      </c>
      <c r="C162" s="434"/>
      <c r="D162" s="434"/>
      <c r="E162" s="22"/>
      <c r="F162" s="22" t="s">
        <v>1180</v>
      </c>
      <c r="G162" s="22" t="s">
        <v>68</v>
      </c>
      <c r="H162" s="22" t="s">
        <v>702</v>
      </c>
      <c r="I162" s="22"/>
      <c r="J162" s="74">
        <f>292.5/O1*O2</f>
        <v>531.81818181818176</v>
      </c>
      <c r="K162" s="74">
        <f>326.7/O1*O2</f>
        <v>593.99999999999989</v>
      </c>
      <c r="L162" s="74">
        <f>372.5/O1*O2</f>
        <v>677.27272727272725</v>
      </c>
      <c r="M162" s="57"/>
      <c r="N162" s="42"/>
    </row>
    <row r="163" spans="1:14" x14ac:dyDescent="0.2">
      <c r="A163" s="24"/>
      <c r="B163" s="435" t="s">
        <v>485</v>
      </c>
      <c r="C163" s="435"/>
      <c r="D163" s="435"/>
      <c r="E163" s="28"/>
      <c r="F163" s="28" t="s">
        <v>1181</v>
      </c>
      <c r="G163" s="28" t="s">
        <v>68</v>
      </c>
      <c r="H163" s="28" t="s">
        <v>702</v>
      </c>
      <c r="I163" s="28"/>
      <c r="J163" s="75">
        <f>146.5/O1*O2</f>
        <v>266.36363636363632</v>
      </c>
      <c r="K163" s="75">
        <f>163.5/O1*O2</f>
        <v>297.27272727272725</v>
      </c>
      <c r="L163" s="75">
        <f>186.5/O1*O2</f>
        <v>339.09090909090907</v>
      </c>
      <c r="M163" s="57"/>
      <c r="N163" s="44"/>
    </row>
    <row r="164" spans="1:14" x14ac:dyDescent="0.2">
      <c r="A164" s="24"/>
      <c r="B164" s="435" t="s">
        <v>901</v>
      </c>
      <c r="C164" s="435"/>
      <c r="D164" s="435"/>
      <c r="E164" s="28"/>
      <c r="F164" s="28" t="s">
        <v>518</v>
      </c>
      <c r="G164" s="28" t="s">
        <v>68</v>
      </c>
      <c r="H164" s="28" t="s">
        <v>702</v>
      </c>
      <c r="I164" s="28"/>
      <c r="J164" s="75">
        <f>286.6/O1*O2</f>
        <v>521.09090909090912</v>
      </c>
      <c r="K164" s="75">
        <f>320.5/O1*O2</f>
        <v>582.72727272727263</v>
      </c>
      <c r="L164" s="75">
        <f>365.5/O1*O2</f>
        <v>664.5454545454545</v>
      </c>
      <c r="M164" s="57"/>
      <c r="N164" s="44"/>
    </row>
    <row r="165" spans="1:14" ht="13.5" thickBot="1" x14ac:dyDescent="0.25">
      <c r="A165" s="30"/>
      <c r="B165" s="443"/>
      <c r="C165" s="443"/>
      <c r="D165" s="443"/>
      <c r="E165" s="32"/>
      <c r="F165" s="32"/>
      <c r="G165" s="32"/>
      <c r="H165" s="32"/>
      <c r="I165" s="32"/>
      <c r="J165" s="76"/>
      <c r="K165" s="76"/>
      <c r="L165" s="76"/>
      <c r="M165" s="46"/>
      <c r="N165" s="46"/>
    </row>
    <row r="166" spans="1:14" ht="13.5" thickBot="1" x14ac:dyDescent="0.25">
      <c r="A166" s="52"/>
      <c r="B166" s="27"/>
      <c r="C166" s="27"/>
      <c r="D166" s="27"/>
      <c r="E166" s="28"/>
      <c r="F166" s="28"/>
      <c r="G166" s="28"/>
      <c r="H166" s="28"/>
      <c r="I166" s="28"/>
      <c r="J166" s="229"/>
      <c r="K166" s="229"/>
      <c r="L166" s="53"/>
      <c r="M166" s="53"/>
      <c r="N166" s="53"/>
    </row>
    <row r="167" spans="1:14" x14ac:dyDescent="0.2">
      <c r="A167" s="20"/>
      <c r="B167" s="21"/>
      <c r="C167" s="21"/>
      <c r="D167" s="21"/>
      <c r="E167" s="22"/>
      <c r="F167" s="22"/>
      <c r="G167" s="22"/>
      <c r="H167" s="22"/>
      <c r="I167" s="22"/>
      <c r="J167" s="22"/>
      <c r="K167" s="22"/>
      <c r="L167" s="22"/>
      <c r="M167" s="22"/>
      <c r="N167" s="23"/>
    </row>
    <row r="168" spans="1:14" ht="15" x14ac:dyDescent="0.2">
      <c r="A168" s="24"/>
      <c r="B168" s="440" t="s">
        <v>527</v>
      </c>
      <c r="C168" s="441"/>
      <c r="D168" s="441"/>
      <c r="E168" s="441"/>
      <c r="F168" s="441"/>
      <c r="G168" s="441"/>
      <c r="H168" s="441"/>
      <c r="I168" s="441"/>
      <c r="J168" s="441"/>
      <c r="K168" s="441"/>
      <c r="L168" s="441"/>
      <c r="M168" s="442"/>
      <c r="N168" s="25" t="s">
        <v>904</v>
      </c>
    </row>
    <row r="169" spans="1:14" x14ac:dyDescent="0.2">
      <c r="A169" s="24"/>
      <c r="B169" s="26" t="s">
        <v>428</v>
      </c>
      <c r="C169" s="27" t="s">
        <v>526</v>
      </c>
      <c r="D169" s="27"/>
      <c r="E169" s="28"/>
      <c r="F169" s="28"/>
      <c r="G169" s="28"/>
      <c r="H169" s="28"/>
      <c r="I169" s="28"/>
      <c r="J169" s="28"/>
      <c r="K169" s="28"/>
      <c r="L169" s="28"/>
      <c r="M169" s="28"/>
      <c r="N169" s="29"/>
    </row>
    <row r="170" spans="1:14" x14ac:dyDescent="0.2">
      <c r="A170" s="24"/>
      <c r="B170" s="26" t="s">
        <v>429</v>
      </c>
      <c r="C170" s="27" t="s">
        <v>528</v>
      </c>
      <c r="D170" s="27"/>
      <c r="E170" s="28"/>
      <c r="F170" s="28"/>
      <c r="G170" s="28"/>
      <c r="H170" s="28"/>
      <c r="I170" s="28"/>
      <c r="J170" s="28"/>
      <c r="K170" s="28"/>
      <c r="L170" s="28"/>
      <c r="M170" s="28"/>
      <c r="N170" s="29"/>
    </row>
    <row r="171" spans="1:14" x14ac:dyDescent="0.2">
      <c r="A171" s="24"/>
      <c r="B171" s="26" t="s">
        <v>427</v>
      </c>
      <c r="C171" s="436" t="s">
        <v>0</v>
      </c>
      <c r="D171" s="436"/>
      <c r="E171" s="436"/>
      <c r="F171" s="436"/>
      <c r="G171" s="436"/>
      <c r="H171" s="436"/>
      <c r="I171" s="436"/>
      <c r="J171" s="436"/>
      <c r="K171" s="436"/>
      <c r="L171" s="436"/>
      <c r="M171" s="436"/>
      <c r="N171" s="437"/>
    </row>
    <row r="172" spans="1:14" x14ac:dyDescent="0.2">
      <c r="A172" s="24"/>
      <c r="C172" s="436"/>
      <c r="D172" s="436"/>
      <c r="E172" s="436"/>
      <c r="F172" s="436"/>
      <c r="G172" s="436"/>
      <c r="H172" s="436"/>
      <c r="I172" s="436"/>
      <c r="J172" s="436"/>
      <c r="K172" s="436"/>
      <c r="L172" s="436"/>
      <c r="M172" s="436"/>
      <c r="N172" s="437"/>
    </row>
    <row r="173" spans="1:14" x14ac:dyDescent="0.2">
      <c r="A173" s="24"/>
      <c r="C173" s="436"/>
      <c r="D173" s="436"/>
      <c r="E173" s="436"/>
      <c r="F173" s="436"/>
      <c r="G173" s="436"/>
      <c r="H173" s="436"/>
      <c r="I173" s="436"/>
      <c r="J173" s="436"/>
      <c r="K173" s="436"/>
      <c r="L173" s="436"/>
      <c r="M173" s="436"/>
      <c r="N173" s="437"/>
    </row>
    <row r="174" spans="1:14" x14ac:dyDescent="0.2">
      <c r="A174" s="24"/>
      <c r="C174" s="438"/>
      <c r="D174" s="438"/>
      <c r="E174" s="438"/>
      <c r="F174" s="438"/>
      <c r="G174" s="438"/>
      <c r="H174" s="438"/>
      <c r="I174" s="438"/>
      <c r="J174" s="438"/>
      <c r="K174" s="438"/>
      <c r="L174" s="438"/>
      <c r="M174" s="438"/>
      <c r="N174" s="439"/>
    </row>
    <row r="175" spans="1:14" x14ac:dyDescent="0.2">
      <c r="A175" s="24"/>
      <c r="B175" s="26" t="s">
        <v>426</v>
      </c>
      <c r="C175" s="27" t="s">
        <v>1356</v>
      </c>
      <c r="D175" s="27"/>
      <c r="E175" s="28"/>
      <c r="F175" s="28"/>
      <c r="G175" s="28"/>
      <c r="H175" s="28"/>
      <c r="I175" s="28"/>
      <c r="J175" s="28"/>
      <c r="K175" s="28"/>
      <c r="L175" s="28"/>
      <c r="M175" s="28"/>
      <c r="N175" s="29"/>
    </row>
    <row r="176" spans="1:14" ht="13.5" thickBot="1" x14ac:dyDescent="0.25">
      <c r="A176" s="30"/>
      <c r="B176" s="26" t="s">
        <v>430</v>
      </c>
      <c r="C176" s="31"/>
      <c r="D176" s="31"/>
      <c r="E176" s="32"/>
      <c r="F176" s="32"/>
      <c r="G176" s="32"/>
      <c r="H176" s="32"/>
      <c r="I176" s="32"/>
      <c r="J176" s="32"/>
      <c r="K176" s="32"/>
      <c r="L176" s="32"/>
      <c r="M176" s="32"/>
      <c r="N176" s="33"/>
    </row>
    <row r="177" spans="1:14" x14ac:dyDescent="0.2">
      <c r="A177" s="20"/>
      <c r="B177" s="21" t="s">
        <v>263</v>
      </c>
      <c r="C177" s="21"/>
      <c r="D177" s="21"/>
      <c r="E177" s="22"/>
      <c r="F177" s="22"/>
      <c r="G177" s="22"/>
      <c r="H177" s="22"/>
      <c r="I177" s="22"/>
      <c r="J177" s="48"/>
      <c r="K177" s="37" t="s">
        <v>1866</v>
      </c>
      <c r="L177" s="37"/>
      <c r="M177" s="37"/>
      <c r="N177" s="37"/>
    </row>
    <row r="178" spans="1:14" x14ac:dyDescent="0.2">
      <c r="A178" s="24"/>
      <c r="B178" s="27"/>
      <c r="C178" s="27"/>
      <c r="D178" s="27"/>
      <c r="E178" s="28"/>
      <c r="F178" s="28"/>
      <c r="G178" s="28"/>
      <c r="H178" s="28"/>
      <c r="I178" s="28"/>
      <c r="J178" s="67" t="s">
        <v>1984</v>
      </c>
      <c r="K178" s="63" t="s">
        <v>1986</v>
      </c>
      <c r="L178" s="63" t="s">
        <v>771</v>
      </c>
      <c r="M178" s="63" t="s">
        <v>290</v>
      </c>
      <c r="N178" s="63"/>
    </row>
    <row r="179" spans="1:14" ht="13.5" thickBot="1" x14ac:dyDescent="0.25">
      <c r="A179" s="30"/>
      <c r="B179" s="27"/>
      <c r="C179" s="31"/>
      <c r="D179" s="31"/>
      <c r="E179" s="32"/>
      <c r="F179" s="32"/>
      <c r="G179" s="32"/>
      <c r="H179" s="32"/>
      <c r="I179" s="32"/>
      <c r="J179" s="49" t="s">
        <v>1985</v>
      </c>
      <c r="K179" s="40" t="s">
        <v>1877</v>
      </c>
      <c r="L179" s="40" t="s">
        <v>1387</v>
      </c>
      <c r="M179" s="40" t="s">
        <v>1987</v>
      </c>
      <c r="N179" s="40" t="s">
        <v>1988</v>
      </c>
    </row>
    <row r="180" spans="1:14" x14ac:dyDescent="0.2">
      <c r="A180" s="20"/>
      <c r="B180" s="434" t="s">
        <v>67</v>
      </c>
      <c r="C180" s="434"/>
      <c r="D180" s="434"/>
      <c r="E180" s="22"/>
      <c r="F180" s="22" t="s">
        <v>1180</v>
      </c>
      <c r="G180" s="22" t="s">
        <v>68</v>
      </c>
      <c r="H180" s="22" t="s">
        <v>702</v>
      </c>
      <c r="I180" s="22"/>
      <c r="J180" s="74">
        <f>145/O1*O2</f>
        <v>263.63636363636363</v>
      </c>
      <c r="K180" s="74">
        <f>165/O1*O2</f>
        <v>300</v>
      </c>
      <c r="L180" s="74">
        <f>185/O1*O2</f>
        <v>336.36363636363632</v>
      </c>
      <c r="M180" s="77">
        <f>215/O1*O2</f>
        <v>390.90909090909088</v>
      </c>
      <c r="N180" s="42">
        <f>250/O1*O2</f>
        <v>454.5454545454545</v>
      </c>
    </row>
    <row r="181" spans="1:14" x14ac:dyDescent="0.2">
      <c r="A181" s="24"/>
      <c r="B181" s="435" t="s">
        <v>67</v>
      </c>
      <c r="C181" s="435"/>
      <c r="D181" s="435"/>
      <c r="E181" s="28"/>
      <c r="F181" s="28" t="s">
        <v>1181</v>
      </c>
      <c r="G181" s="28" t="s">
        <v>68</v>
      </c>
      <c r="H181" s="28" t="s">
        <v>702</v>
      </c>
      <c r="I181" s="28"/>
      <c r="J181" s="75">
        <f>78/O1*O2</f>
        <v>141.81818181818181</v>
      </c>
      <c r="K181" s="75">
        <f>98/O1*O2</f>
        <v>178.18181818181816</v>
      </c>
      <c r="L181" s="75">
        <f>110/O1*O2</f>
        <v>199.99999999999997</v>
      </c>
      <c r="M181" s="77">
        <f>125/O1*O2</f>
        <v>227.27272727272725</v>
      </c>
      <c r="N181" s="44">
        <f>140/O1*O2</f>
        <v>254.54545454545453</v>
      </c>
    </row>
    <row r="182" spans="1:14" x14ac:dyDescent="0.2">
      <c r="A182" s="24"/>
      <c r="B182" s="435" t="s">
        <v>67</v>
      </c>
      <c r="C182" s="435"/>
      <c r="D182" s="435"/>
      <c r="E182" s="28"/>
      <c r="F182" s="28" t="s">
        <v>1182</v>
      </c>
      <c r="G182" s="28" t="s">
        <v>68</v>
      </c>
      <c r="H182" s="28" t="s">
        <v>702</v>
      </c>
      <c r="I182" s="28"/>
      <c r="J182" s="75">
        <f>65/O1*O2</f>
        <v>118.18181818181817</v>
      </c>
      <c r="K182" s="75">
        <f>82/O1*O2</f>
        <v>149.09090909090907</v>
      </c>
      <c r="L182" s="75">
        <f>92/O1*O2</f>
        <v>167.27272727272725</v>
      </c>
      <c r="M182" s="77">
        <f>105/O1*O2</f>
        <v>190.90909090909091</v>
      </c>
      <c r="N182" s="44">
        <f>117/O1*O2</f>
        <v>212.72727272727272</v>
      </c>
    </row>
    <row r="183" spans="1:14" ht="13.5" thickBot="1" x14ac:dyDescent="0.25">
      <c r="A183" s="30"/>
      <c r="B183" s="443" t="s">
        <v>902</v>
      </c>
      <c r="C183" s="443"/>
      <c r="D183" s="443"/>
      <c r="E183" s="32"/>
      <c r="F183" s="32"/>
      <c r="G183" s="32"/>
      <c r="H183" s="32"/>
      <c r="I183" s="32"/>
      <c r="J183" s="76">
        <f>35/O1*O2</f>
        <v>63.636363636363633</v>
      </c>
      <c r="K183" s="76">
        <f>35/O1*O2</f>
        <v>63.636363636363633</v>
      </c>
      <c r="L183" s="76">
        <f>35/O1*O2</f>
        <v>63.636363636363633</v>
      </c>
      <c r="M183" s="76">
        <f>35/O1*O2</f>
        <v>63.636363636363633</v>
      </c>
      <c r="N183" s="46">
        <f>35/O1*O2</f>
        <v>63.636363636363633</v>
      </c>
    </row>
    <row r="184" spans="1:14" x14ac:dyDescent="0.2">
      <c r="A184" s="52"/>
      <c r="B184" s="27"/>
      <c r="C184" s="27"/>
      <c r="D184" s="27"/>
      <c r="E184" s="28"/>
      <c r="F184" s="28"/>
      <c r="G184" s="28"/>
      <c r="H184" s="28"/>
      <c r="I184" s="28"/>
      <c r="J184" s="229"/>
      <c r="K184" s="229"/>
      <c r="L184" s="53"/>
      <c r="M184" s="53"/>
      <c r="N184" s="53"/>
    </row>
    <row r="185" spans="1:14" x14ac:dyDescent="0.2">
      <c r="A185" s="52"/>
      <c r="B185" s="27"/>
      <c r="C185" s="27"/>
      <c r="D185" s="27"/>
      <c r="E185" s="28"/>
      <c r="F185" s="28"/>
      <c r="G185" s="28"/>
      <c r="H185" s="28"/>
      <c r="I185" s="28"/>
      <c r="J185" s="229"/>
      <c r="K185" s="229"/>
      <c r="L185" s="53"/>
      <c r="M185" s="53"/>
      <c r="N185" s="53"/>
    </row>
    <row r="186" spans="1:14" ht="13.5" thickBot="1" x14ac:dyDescent="0.25"/>
    <row r="187" spans="1:14" x14ac:dyDescent="0.2">
      <c r="A187" s="20"/>
      <c r="B187" s="21"/>
      <c r="C187" s="21"/>
      <c r="D187" s="21"/>
      <c r="E187" s="22"/>
      <c r="F187" s="22"/>
      <c r="G187" s="22"/>
      <c r="H187" s="22"/>
      <c r="I187" s="22"/>
      <c r="J187" s="22"/>
      <c r="K187" s="22"/>
      <c r="L187" s="22"/>
      <c r="M187" s="22"/>
      <c r="N187" s="23"/>
    </row>
    <row r="188" spans="1:14" ht="15" x14ac:dyDescent="0.2">
      <c r="A188" s="24"/>
      <c r="B188" s="440" t="s">
        <v>927</v>
      </c>
      <c r="C188" s="441"/>
      <c r="D188" s="441"/>
      <c r="E188" s="441"/>
      <c r="F188" s="441"/>
      <c r="G188" s="441"/>
      <c r="H188" s="441"/>
      <c r="I188" s="441"/>
      <c r="J188" s="441"/>
      <c r="K188" s="441"/>
      <c r="L188" s="441"/>
      <c r="M188" s="442"/>
      <c r="N188" s="25" t="s">
        <v>904</v>
      </c>
    </row>
    <row r="189" spans="1:14" x14ac:dyDescent="0.2">
      <c r="A189" s="24"/>
      <c r="B189" s="26" t="s">
        <v>428</v>
      </c>
      <c r="C189" s="27" t="s">
        <v>928</v>
      </c>
      <c r="D189" s="27"/>
      <c r="E189" s="28"/>
      <c r="F189" s="28"/>
      <c r="G189" s="28"/>
      <c r="H189" s="28"/>
      <c r="I189" s="28"/>
      <c r="J189" s="28"/>
      <c r="K189" s="28"/>
      <c r="L189" s="28"/>
      <c r="M189" s="28"/>
      <c r="N189" s="29"/>
    </row>
    <row r="190" spans="1:14" x14ac:dyDescent="0.2">
      <c r="A190" s="24"/>
      <c r="B190" s="26" t="s">
        <v>429</v>
      </c>
      <c r="C190" s="27" t="s">
        <v>1207</v>
      </c>
      <c r="D190" s="27"/>
      <c r="E190" s="28"/>
      <c r="F190" s="28"/>
      <c r="G190" s="28"/>
      <c r="H190" s="28"/>
      <c r="I190" s="28"/>
      <c r="J190" s="28"/>
      <c r="K190" s="28"/>
      <c r="L190" s="28"/>
      <c r="M190" s="28"/>
      <c r="N190" s="29"/>
    </row>
    <row r="191" spans="1:14" x14ac:dyDescent="0.2">
      <c r="A191" s="24"/>
      <c r="B191" s="26" t="s">
        <v>427</v>
      </c>
      <c r="C191" s="436" t="s">
        <v>1109</v>
      </c>
      <c r="D191" s="436"/>
      <c r="E191" s="436"/>
      <c r="F191" s="436"/>
      <c r="G191" s="436"/>
      <c r="H191" s="436"/>
      <c r="I191" s="436"/>
      <c r="J191" s="436"/>
      <c r="K191" s="436"/>
      <c r="L191" s="436"/>
      <c r="M191" s="436"/>
      <c r="N191" s="437"/>
    </row>
    <row r="192" spans="1:14" x14ac:dyDescent="0.2">
      <c r="A192" s="24"/>
      <c r="C192" s="436"/>
      <c r="D192" s="436"/>
      <c r="E192" s="436"/>
      <c r="F192" s="436"/>
      <c r="G192" s="436"/>
      <c r="H192" s="436"/>
      <c r="I192" s="436"/>
      <c r="J192" s="436"/>
      <c r="K192" s="436"/>
      <c r="L192" s="436"/>
      <c r="M192" s="436"/>
      <c r="N192" s="437"/>
    </row>
    <row r="193" spans="1:14" x14ac:dyDescent="0.2">
      <c r="A193" s="24"/>
      <c r="C193" s="438"/>
      <c r="D193" s="438"/>
      <c r="E193" s="438"/>
      <c r="F193" s="438"/>
      <c r="G193" s="438"/>
      <c r="H193" s="438"/>
      <c r="I193" s="438"/>
      <c r="J193" s="438"/>
      <c r="K193" s="438"/>
      <c r="L193" s="438"/>
      <c r="M193" s="438"/>
      <c r="N193" s="439"/>
    </row>
    <row r="194" spans="1:14" x14ac:dyDescent="0.2">
      <c r="A194" s="24"/>
      <c r="B194" s="26" t="s">
        <v>426</v>
      </c>
      <c r="C194" s="27" t="s">
        <v>1355</v>
      </c>
      <c r="D194" s="27"/>
      <c r="E194" s="28"/>
      <c r="F194" s="28"/>
      <c r="G194" s="28"/>
      <c r="H194" s="28"/>
      <c r="I194" s="28"/>
      <c r="J194" s="28"/>
      <c r="K194" s="28"/>
      <c r="L194" s="28"/>
      <c r="M194" s="28"/>
      <c r="N194" s="29"/>
    </row>
    <row r="195" spans="1:14" ht="13.5" thickBot="1" x14ac:dyDescent="0.25">
      <c r="A195" s="30"/>
      <c r="B195" s="26" t="s">
        <v>430</v>
      </c>
      <c r="C195" s="31"/>
      <c r="D195" s="31"/>
      <c r="E195" s="32"/>
      <c r="F195" s="32"/>
      <c r="G195" s="32"/>
      <c r="H195" s="32"/>
      <c r="I195" s="32"/>
      <c r="J195" s="32"/>
      <c r="K195" s="32"/>
      <c r="L195" s="32"/>
      <c r="M195" s="32"/>
      <c r="N195" s="33"/>
    </row>
    <row r="196" spans="1:14" x14ac:dyDescent="0.2">
      <c r="A196" s="20"/>
      <c r="B196" s="21" t="s">
        <v>263</v>
      </c>
      <c r="C196" s="21"/>
      <c r="D196" s="21"/>
      <c r="E196" s="22"/>
      <c r="F196" s="22"/>
      <c r="G196" s="22"/>
      <c r="H196" s="22"/>
      <c r="I196" s="22"/>
      <c r="J196" s="48" t="s">
        <v>909</v>
      </c>
      <c r="K196" s="37" t="s">
        <v>513</v>
      </c>
      <c r="L196" s="37"/>
      <c r="M196" s="37"/>
      <c r="N196" s="37"/>
    </row>
    <row r="197" spans="1:14" ht="13.5" thickBot="1" x14ac:dyDescent="0.25">
      <c r="A197" s="30"/>
      <c r="B197" s="27"/>
      <c r="C197" s="31"/>
      <c r="D197" s="31"/>
      <c r="E197" s="32"/>
      <c r="F197" s="32"/>
      <c r="G197" s="32"/>
      <c r="H197" s="32"/>
      <c r="I197" s="32"/>
      <c r="J197" s="49" t="s">
        <v>514</v>
      </c>
      <c r="K197" s="40" t="s">
        <v>612</v>
      </c>
      <c r="L197" s="40"/>
      <c r="M197" s="40"/>
      <c r="N197" s="40"/>
    </row>
    <row r="198" spans="1:14" x14ac:dyDescent="0.2">
      <c r="A198" s="20"/>
      <c r="B198" s="434" t="s">
        <v>67</v>
      </c>
      <c r="C198" s="434"/>
      <c r="D198" s="434"/>
      <c r="E198" s="22"/>
      <c r="F198" s="22" t="s">
        <v>1180</v>
      </c>
      <c r="G198" s="22" t="s">
        <v>68</v>
      </c>
      <c r="H198" s="22" t="s">
        <v>702</v>
      </c>
      <c r="I198" s="22"/>
      <c r="J198" s="74">
        <f>143.5/O1*O2</f>
        <v>260.90909090909088</v>
      </c>
      <c r="K198" s="74">
        <f>177.5/O1*O2</f>
        <v>322.72727272727269</v>
      </c>
      <c r="L198" s="42"/>
      <c r="M198" s="42"/>
      <c r="N198" s="42"/>
    </row>
    <row r="199" spans="1:14" x14ac:dyDescent="0.2">
      <c r="A199" s="24"/>
      <c r="B199" s="435" t="s">
        <v>67</v>
      </c>
      <c r="C199" s="435"/>
      <c r="D199" s="435"/>
      <c r="E199" s="28"/>
      <c r="F199" s="28" t="s">
        <v>1181</v>
      </c>
      <c r="G199" s="28" t="s">
        <v>68</v>
      </c>
      <c r="H199" s="28" t="s">
        <v>702</v>
      </c>
      <c r="I199" s="28"/>
      <c r="J199" s="75">
        <f>79.5/O1*O2</f>
        <v>144.54545454545453</v>
      </c>
      <c r="K199" s="75">
        <f>96.7/O1*O2</f>
        <v>175.81818181818181</v>
      </c>
      <c r="L199" s="44"/>
      <c r="M199" s="44"/>
      <c r="N199" s="44"/>
    </row>
    <row r="200" spans="1:14" ht="13.5" thickBot="1" x14ac:dyDescent="0.25">
      <c r="A200" s="30"/>
      <c r="B200" s="443" t="s">
        <v>67</v>
      </c>
      <c r="C200" s="443"/>
      <c r="D200" s="443"/>
      <c r="E200" s="32"/>
      <c r="F200" s="32" t="s">
        <v>1182</v>
      </c>
      <c r="G200" s="32" t="s">
        <v>68</v>
      </c>
      <c r="H200" s="32" t="s">
        <v>702</v>
      </c>
      <c r="I200" s="32"/>
      <c r="J200" s="76">
        <f>60.5/O1*O2</f>
        <v>109.99999999999999</v>
      </c>
      <c r="K200" s="76">
        <f>71.6/O1*O2</f>
        <v>130.18181818181816</v>
      </c>
      <c r="L200" s="46"/>
      <c r="M200" s="46"/>
      <c r="N200" s="46"/>
    </row>
    <row r="201" spans="1:14" ht="13.5" thickBot="1" x14ac:dyDescent="0.25">
      <c r="A201" s="52"/>
      <c r="B201" s="27"/>
      <c r="C201" s="27"/>
      <c r="D201" s="27"/>
      <c r="E201" s="28"/>
      <c r="F201" s="28"/>
      <c r="G201" s="28"/>
      <c r="H201" s="28"/>
      <c r="I201" s="28"/>
      <c r="J201" s="229"/>
      <c r="K201" s="229"/>
      <c r="L201" s="53"/>
      <c r="M201" s="53"/>
      <c r="N201" s="53"/>
    </row>
    <row r="202" spans="1:14" x14ac:dyDescent="0.2">
      <c r="A202" s="20"/>
      <c r="B202" s="21"/>
      <c r="C202" s="21"/>
      <c r="D202" s="21"/>
      <c r="E202" s="22"/>
      <c r="F202" s="22"/>
      <c r="G202" s="22"/>
      <c r="H202" s="22"/>
      <c r="I202" s="22"/>
      <c r="J202" s="22"/>
      <c r="K202" s="22"/>
      <c r="L202" s="22"/>
      <c r="M202" s="22"/>
      <c r="N202" s="23"/>
    </row>
    <row r="203" spans="1:14" ht="15" x14ac:dyDescent="0.2">
      <c r="A203" s="24"/>
      <c r="B203" s="440" t="s">
        <v>412</v>
      </c>
      <c r="C203" s="441"/>
      <c r="D203" s="441"/>
      <c r="E203" s="441"/>
      <c r="F203" s="441"/>
      <c r="G203" s="441"/>
      <c r="H203" s="441"/>
      <c r="I203" s="441"/>
      <c r="J203" s="441"/>
      <c r="K203" s="441"/>
      <c r="L203" s="441"/>
      <c r="M203" s="442"/>
      <c r="N203" s="25" t="s">
        <v>904</v>
      </c>
    </row>
    <row r="204" spans="1:14" x14ac:dyDescent="0.2">
      <c r="A204" s="24"/>
      <c r="B204" s="26" t="s">
        <v>428</v>
      </c>
      <c r="C204" s="27" t="s">
        <v>913</v>
      </c>
      <c r="D204" s="27"/>
      <c r="E204" s="28"/>
      <c r="F204" s="28"/>
      <c r="G204" s="28"/>
      <c r="H204" s="28"/>
      <c r="I204" s="28"/>
      <c r="J204" s="28"/>
      <c r="K204" s="28"/>
      <c r="L204" s="28"/>
      <c r="M204" s="28"/>
      <c r="N204" s="29"/>
    </row>
    <row r="205" spans="1:14" x14ac:dyDescent="0.2">
      <c r="A205" s="24"/>
      <c r="B205" s="26" t="s">
        <v>429</v>
      </c>
      <c r="C205" s="27" t="s">
        <v>445</v>
      </c>
      <c r="D205" s="27"/>
      <c r="E205" s="28"/>
      <c r="F205" s="28"/>
      <c r="G205" s="28"/>
      <c r="H205" s="28"/>
      <c r="I205" s="28"/>
      <c r="J205" s="28"/>
      <c r="K205" s="28"/>
      <c r="L205" s="28"/>
      <c r="M205" s="28"/>
      <c r="N205" s="29"/>
    </row>
    <row r="206" spans="1:14" x14ac:dyDescent="0.2">
      <c r="A206" s="24"/>
      <c r="B206" s="26" t="s">
        <v>427</v>
      </c>
      <c r="C206" s="436" t="s">
        <v>330</v>
      </c>
      <c r="D206" s="436"/>
      <c r="E206" s="436"/>
      <c r="F206" s="436"/>
      <c r="G206" s="436"/>
      <c r="H206" s="436"/>
      <c r="I206" s="436"/>
      <c r="J206" s="436"/>
      <c r="K206" s="436"/>
      <c r="L206" s="436"/>
      <c r="M206" s="436"/>
      <c r="N206" s="437"/>
    </row>
    <row r="207" spans="1:14" x14ac:dyDescent="0.2">
      <c r="A207" s="24"/>
      <c r="C207" s="436"/>
      <c r="D207" s="436"/>
      <c r="E207" s="436"/>
      <c r="F207" s="436"/>
      <c r="G207" s="436"/>
      <c r="H207" s="436"/>
      <c r="I207" s="436"/>
      <c r="J207" s="436"/>
      <c r="K207" s="436"/>
      <c r="L207" s="436"/>
      <c r="M207" s="436"/>
      <c r="N207" s="437"/>
    </row>
    <row r="208" spans="1:14" x14ac:dyDescent="0.2">
      <c r="A208" s="24"/>
      <c r="C208" s="436"/>
      <c r="D208" s="436"/>
      <c r="E208" s="436"/>
      <c r="F208" s="436"/>
      <c r="G208" s="436"/>
      <c r="H208" s="436"/>
      <c r="I208" s="436"/>
      <c r="J208" s="436"/>
      <c r="K208" s="436"/>
      <c r="L208" s="436"/>
      <c r="M208" s="436"/>
      <c r="N208" s="437"/>
    </row>
    <row r="209" spans="1:14" x14ac:dyDescent="0.2">
      <c r="A209" s="24"/>
      <c r="C209" s="438"/>
      <c r="D209" s="438"/>
      <c r="E209" s="438"/>
      <c r="F209" s="438"/>
      <c r="G209" s="438"/>
      <c r="H209" s="438"/>
      <c r="I209" s="438"/>
      <c r="J209" s="438"/>
      <c r="K209" s="438"/>
      <c r="L209" s="438"/>
      <c r="M209" s="438"/>
      <c r="N209" s="439"/>
    </row>
    <row r="210" spans="1:14" x14ac:dyDescent="0.2">
      <c r="A210" s="24"/>
      <c r="B210" s="26" t="s">
        <v>426</v>
      </c>
      <c r="C210" s="27" t="s">
        <v>1353</v>
      </c>
      <c r="D210" s="27"/>
      <c r="E210" s="28"/>
      <c r="F210" s="28"/>
      <c r="G210" s="28"/>
      <c r="H210" s="28"/>
      <c r="I210" s="28"/>
      <c r="J210" s="28"/>
      <c r="K210" s="28"/>
      <c r="L210" s="28"/>
      <c r="M210" s="28"/>
      <c r="N210" s="29"/>
    </row>
    <row r="211" spans="1:14" ht="13.5" thickBot="1" x14ac:dyDescent="0.25">
      <c r="A211" s="30"/>
      <c r="B211" s="26" t="s">
        <v>430</v>
      </c>
      <c r="C211" s="31"/>
      <c r="D211" s="31"/>
      <c r="E211" s="32"/>
      <c r="F211" s="32"/>
      <c r="G211" s="32"/>
      <c r="H211" s="32"/>
      <c r="I211" s="32"/>
      <c r="J211" s="32"/>
      <c r="K211" s="32"/>
      <c r="L211" s="32"/>
      <c r="M211" s="32"/>
      <c r="N211" s="33"/>
    </row>
    <row r="212" spans="1:14" x14ac:dyDescent="0.2">
      <c r="A212" s="20"/>
      <c r="B212" s="21" t="s">
        <v>263</v>
      </c>
      <c r="C212" s="21"/>
      <c r="D212" s="21"/>
      <c r="E212" s="22"/>
      <c r="F212" s="22"/>
      <c r="G212" s="22"/>
      <c r="H212" s="22"/>
      <c r="I212" s="22"/>
      <c r="J212" s="48" t="s">
        <v>909</v>
      </c>
      <c r="K212" s="37"/>
      <c r="L212" s="37"/>
      <c r="M212" s="37"/>
      <c r="N212" s="37"/>
    </row>
    <row r="213" spans="1:14" ht="13.5" thickBot="1" x14ac:dyDescent="0.25">
      <c r="A213" s="30"/>
      <c r="B213" s="27"/>
      <c r="C213" s="31"/>
      <c r="D213" s="31"/>
      <c r="E213" s="32"/>
      <c r="F213" s="32"/>
      <c r="G213" s="32"/>
      <c r="H213" s="32"/>
      <c r="I213" s="32"/>
      <c r="J213" s="49" t="s">
        <v>481</v>
      </c>
      <c r="K213" s="40" t="s">
        <v>1619</v>
      </c>
      <c r="L213" s="40"/>
      <c r="M213" s="40"/>
      <c r="N213" s="40"/>
    </row>
    <row r="214" spans="1:14" x14ac:dyDescent="0.2">
      <c r="A214" s="20"/>
      <c r="B214" s="434" t="s">
        <v>67</v>
      </c>
      <c r="C214" s="434"/>
      <c r="D214" s="434"/>
      <c r="E214" s="22"/>
      <c r="F214" s="22" t="s">
        <v>1180</v>
      </c>
      <c r="G214" s="22" t="s">
        <v>68</v>
      </c>
      <c r="H214" s="22" t="s">
        <v>702</v>
      </c>
      <c r="I214" s="22"/>
      <c r="J214" s="75">
        <f>183.5/O1*O2</f>
        <v>333.63636363636363</v>
      </c>
      <c r="K214" s="75">
        <f>231.7/O1*O2</f>
        <v>421.2727272727272</v>
      </c>
      <c r="L214" s="44"/>
      <c r="M214" s="42"/>
      <c r="N214" s="42"/>
    </row>
    <row r="215" spans="1:14" x14ac:dyDescent="0.2">
      <c r="A215" s="24"/>
      <c r="B215" s="435" t="s">
        <v>67</v>
      </c>
      <c r="C215" s="435"/>
      <c r="D215" s="435"/>
      <c r="E215" s="28"/>
      <c r="F215" s="28" t="s">
        <v>1181</v>
      </c>
      <c r="G215" s="28" t="s">
        <v>68</v>
      </c>
      <c r="H215" s="28" t="s">
        <v>702</v>
      </c>
      <c r="I215" s="28"/>
      <c r="J215" s="75">
        <f>103.9/O1*O2</f>
        <v>188.90909090909091</v>
      </c>
      <c r="K215" s="75">
        <f>128.5/O1*O2</f>
        <v>233.63636363636363</v>
      </c>
      <c r="L215" s="44"/>
      <c r="M215" s="44"/>
      <c r="N215" s="44"/>
    </row>
    <row r="216" spans="1:14" x14ac:dyDescent="0.2">
      <c r="A216" s="24"/>
      <c r="B216" s="435" t="s">
        <v>67</v>
      </c>
      <c r="C216" s="435"/>
      <c r="D216" s="435"/>
      <c r="E216" s="28"/>
      <c r="F216" s="28" t="s">
        <v>1182</v>
      </c>
      <c r="G216" s="28" t="s">
        <v>68</v>
      </c>
      <c r="H216" s="28" t="s">
        <v>702</v>
      </c>
      <c r="I216" s="28"/>
      <c r="J216" s="75">
        <f>82.5/O1*O2</f>
        <v>150</v>
      </c>
      <c r="K216" s="75">
        <f>98.7/O1*O2</f>
        <v>179.45454545454544</v>
      </c>
      <c r="L216" s="44"/>
      <c r="M216" s="44"/>
      <c r="N216" s="44"/>
    </row>
    <row r="217" spans="1:14" ht="13.5" thickBot="1" x14ac:dyDescent="0.25">
      <c r="A217" s="30"/>
      <c r="B217" s="443"/>
      <c r="C217" s="443"/>
      <c r="D217" s="443"/>
      <c r="E217" s="32"/>
      <c r="F217" s="32"/>
      <c r="G217" s="32"/>
      <c r="H217" s="32"/>
      <c r="I217" s="32"/>
      <c r="J217" s="76"/>
      <c r="K217" s="76"/>
      <c r="L217" s="46"/>
      <c r="M217" s="46"/>
      <c r="N217" s="46"/>
    </row>
    <row r="218" spans="1:14" x14ac:dyDescent="0.2">
      <c r="A218" s="52"/>
      <c r="B218" s="27"/>
      <c r="C218" s="27"/>
      <c r="D218" s="27"/>
      <c r="E218" s="28"/>
      <c r="F218" s="28"/>
      <c r="G218" s="28"/>
      <c r="H218" s="28"/>
      <c r="I218" s="28"/>
      <c r="J218" s="229"/>
      <c r="K218" s="229"/>
      <c r="L218" s="53"/>
      <c r="M218" s="53"/>
      <c r="N218" s="53"/>
    </row>
    <row r="219" spans="1:14" ht="13.5" thickBot="1" x14ac:dyDescent="0.25"/>
    <row r="220" spans="1:14" x14ac:dyDescent="0.2">
      <c r="A220" s="20"/>
      <c r="B220" s="21"/>
      <c r="C220" s="21"/>
      <c r="D220" s="21"/>
      <c r="E220" s="22"/>
      <c r="F220" s="22"/>
      <c r="G220" s="22"/>
      <c r="H220" s="22"/>
      <c r="I220" s="22"/>
      <c r="J220" s="22"/>
      <c r="K220" s="22"/>
      <c r="L220" s="22"/>
      <c r="M220" s="22"/>
      <c r="N220" s="23"/>
    </row>
    <row r="221" spans="1:14" ht="15" x14ac:dyDescent="0.2">
      <c r="A221" s="24"/>
      <c r="B221" s="440" t="s">
        <v>458</v>
      </c>
      <c r="C221" s="441"/>
      <c r="D221" s="441"/>
      <c r="E221" s="441"/>
      <c r="F221" s="441"/>
      <c r="G221" s="441"/>
      <c r="H221" s="441"/>
      <c r="I221" s="441"/>
      <c r="J221" s="441"/>
      <c r="K221" s="441"/>
      <c r="L221" s="441"/>
      <c r="M221" s="442"/>
      <c r="N221" s="25" t="s">
        <v>904</v>
      </c>
    </row>
    <row r="222" spans="1:14" x14ac:dyDescent="0.2">
      <c r="A222" s="24"/>
      <c r="B222" s="26" t="s">
        <v>428</v>
      </c>
      <c r="C222" s="27" t="s">
        <v>459</v>
      </c>
      <c r="D222" s="27"/>
      <c r="E222" s="28"/>
      <c r="F222" s="28"/>
      <c r="G222" s="28"/>
      <c r="H222" s="28"/>
      <c r="I222" s="28"/>
      <c r="J222" s="28"/>
      <c r="K222" s="28"/>
      <c r="L222" s="28"/>
      <c r="M222" s="28"/>
      <c r="N222" s="29"/>
    </row>
    <row r="223" spans="1:14" x14ac:dyDescent="0.2">
      <c r="A223" s="24"/>
      <c r="B223" s="26" t="s">
        <v>429</v>
      </c>
      <c r="C223" s="27" t="s">
        <v>460</v>
      </c>
      <c r="D223" s="27"/>
      <c r="E223" s="28"/>
      <c r="F223" s="28"/>
      <c r="G223" s="28"/>
      <c r="H223" s="28"/>
      <c r="I223" s="28"/>
      <c r="J223" s="28"/>
      <c r="K223" s="28"/>
      <c r="L223" s="28"/>
      <c r="M223" s="28"/>
      <c r="N223" s="29"/>
    </row>
    <row r="224" spans="1:14" x14ac:dyDescent="0.2">
      <c r="A224" s="24"/>
      <c r="B224" s="26" t="s">
        <v>427</v>
      </c>
      <c r="C224" s="436" t="s">
        <v>331</v>
      </c>
      <c r="D224" s="436"/>
      <c r="E224" s="436"/>
      <c r="F224" s="436"/>
      <c r="G224" s="436"/>
      <c r="H224" s="436"/>
      <c r="I224" s="436"/>
      <c r="J224" s="436"/>
      <c r="K224" s="436"/>
      <c r="L224" s="436"/>
      <c r="M224" s="436"/>
      <c r="N224" s="437"/>
    </row>
    <row r="225" spans="1:14" x14ac:dyDescent="0.2">
      <c r="A225" s="24"/>
      <c r="C225" s="436"/>
      <c r="D225" s="436"/>
      <c r="E225" s="436"/>
      <c r="F225" s="436"/>
      <c r="G225" s="436"/>
      <c r="H225" s="436"/>
      <c r="I225" s="436"/>
      <c r="J225" s="436"/>
      <c r="K225" s="436"/>
      <c r="L225" s="436"/>
      <c r="M225" s="436"/>
      <c r="N225" s="437"/>
    </row>
    <row r="226" spans="1:14" x14ac:dyDescent="0.2">
      <c r="A226" s="24"/>
      <c r="C226" s="438"/>
      <c r="D226" s="438"/>
      <c r="E226" s="438"/>
      <c r="F226" s="438"/>
      <c r="G226" s="438"/>
      <c r="H226" s="438"/>
      <c r="I226" s="438"/>
      <c r="J226" s="438"/>
      <c r="K226" s="438"/>
      <c r="L226" s="438"/>
      <c r="M226" s="438"/>
      <c r="N226" s="439"/>
    </row>
    <row r="227" spans="1:14" x14ac:dyDescent="0.2">
      <c r="A227" s="24"/>
      <c r="C227" s="438"/>
      <c r="D227" s="438"/>
      <c r="E227" s="438"/>
      <c r="F227" s="438"/>
      <c r="G227" s="438"/>
      <c r="H227" s="438"/>
      <c r="I227" s="438"/>
      <c r="J227" s="438"/>
      <c r="K227" s="438"/>
      <c r="L227" s="438"/>
      <c r="M227" s="438"/>
      <c r="N227" s="439"/>
    </row>
    <row r="228" spans="1:14" x14ac:dyDescent="0.2">
      <c r="A228" s="24"/>
      <c r="B228" s="26" t="s">
        <v>426</v>
      </c>
      <c r="C228" s="27" t="s">
        <v>1357</v>
      </c>
      <c r="D228" s="27"/>
      <c r="E228" s="28"/>
      <c r="F228" s="28"/>
      <c r="G228" s="28"/>
      <c r="H228" s="28"/>
      <c r="I228" s="28"/>
      <c r="J228" s="28"/>
      <c r="K228" s="28"/>
      <c r="L228" s="28"/>
      <c r="M228" s="28"/>
      <c r="N228" s="29"/>
    </row>
    <row r="229" spans="1:14" ht="13.5" thickBot="1" x14ac:dyDescent="0.25">
      <c r="A229" s="30"/>
      <c r="B229" s="26" t="s">
        <v>430</v>
      </c>
      <c r="C229" s="31"/>
      <c r="D229" s="31"/>
      <c r="E229" s="32"/>
      <c r="F229" s="32"/>
      <c r="G229" s="32"/>
      <c r="H229" s="32"/>
      <c r="I229" s="32"/>
      <c r="J229" s="32"/>
      <c r="K229" s="32"/>
      <c r="L229" s="32"/>
      <c r="M229" s="32"/>
      <c r="N229" s="33"/>
    </row>
    <row r="230" spans="1:14" ht="13.5" thickBot="1" x14ac:dyDescent="0.25">
      <c r="A230" s="20"/>
      <c r="B230" s="21" t="s">
        <v>263</v>
      </c>
      <c r="C230" s="21"/>
      <c r="D230" s="21"/>
      <c r="E230" s="22"/>
      <c r="F230" s="22"/>
      <c r="G230" s="22"/>
      <c r="H230" s="22"/>
      <c r="I230" s="22"/>
      <c r="J230" s="37" t="s">
        <v>909</v>
      </c>
      <c r="K230" s="48" t="s">
        <v>206</v>
      </c>
      <c r="L230" s="37"/>
      <c r="M230" s="37"/>
      <c r="N230" s="37"/>
    </row>
    <row r="231" spans="1:14" x14ac:dyDescent="0.2">
      <c r="A231" s="20"/>
      <c r="B231" s="434" t="s">
        <v>67</v>
      </c>
      <c r="C231" s="434"/>
      <c r="D231" s="434"/>
      <c r="E231" s="22"/>
      <c r="F231" s="22" t="s">
        <v>1180</v>
      </c>
      <c r="G231" s="22" t="s">
        <v>68</v>
      </c>
      <c r="H231" s="22" t="s">
        <v>702</v>
      </c>
      <c r="I231" s="22"/>
      <c r="J231" s="74">
        <f>130/O1*O2</f>
        <v>236.36363636363635</v>
      </c>
      <c r="K231" s="74">
        <f>140/O1*O2</f>
        <v>254.54545454545453</v>
      </c>
      <c r="L231" s="74"/>
      <c r="M231" s="42"/>
      <c r="N231" s="42"/>
    </row>
    <row r="232" spans="1:14" x14ac:dyDescent="0.2">
      <c r="A232" s="24"/>
      <c r="B232" s="435" t="s">
        <v>67</v>
      </c>
      <c r="C232" s="435"/>
      <c r="D232" s="435"/>
      <c r="E232" s="28"/>
      <c r="F232" s="28" t="s">
        <v>1181</v>
      </c>
      <c r="G232" s="28" t="s">
        <v>68</v>
      </c>
      <c r="H232" s="28" t="s">
        <v>702</v>
      </c>
      <c r="I232" s="28"/>
      <c r="J232" s="75">
        <f>70/O1*O2</f>
        <v>127.27272727272727</v>
      </c>
      <c r="K232" s="75">
        <f>75/O1*O2</f>
        <v>136.36363636363635</v>
      </c>
      <c r="L232" s="75"/>
      <c r="M232" s="44"/>
      <c r="N232" s="44"/>
    </row>
    <row r="233" spans="1:14" x14ac:dyDescent="0.2">
      <c r="A233" s="24"/>
      <c r="B233" s="435" t="s">
        <v>67</v>
      </c>
      <c r="C233" s="435"/>
      <c r="D233" s="435"/>
      <c r="E233" s="28"/>
      <c r="F233" s="28" t="s">
        <v>1182</v>
      </c>
      <c r="G233" s="28" t="s">
        <v>68</v>
      </c>
      <c r="H233" s="28" t="s">
        <v>702</v>
      </c>
      <c r="I233" s="28"/>
      <c r="J233" s="75">
        <f>60/O1*O2</f>
        <v>109.09090909090908</v>
      </c>
      <c r="K233" s="75">
        <f>63.5/O1*O2</f>
        <v>115.45454545454544</v>
      </c>
      <c r="L233" s="75"/>
      <c r="M233" s="44"/>
      <c r="N233" s="44"/>
    </row>
    <row r="234" spans="1:14" ht="13.5" thickBot="1" x14ac:dyDescent="0.25">
      <c r="A234" s="30"/>
      <c r="B234" s="443" t="s">
        <v>902</v>
      </c>
      <c r="C234" s="443"/>
      <c r="D234" s="443"/>
      <c r="E234" s="32"/>
      <c r="F234" s="32"/>
      <c r="G234" s="32"/>
      <c r="H234" s="32" t="s">
        <v>702</v>
      </c>
      <c r="I234" s="32"/>
      <c r="J234" s="76">
        <f>33/O1*O2</f>
        <v>59.999999999999993</v>
      </c>
      <c r="K234" s="76">
        <f>33/O1*O2</f>
        <v>59.999999999999993</v>
      </c>
      <c r="L234" s="76"/>
      <c r="M234" s="46"/>
      <c r="N234" s="46"/>
    </row>
    <row r="244" spans="1:14" ht="13.5" thickBot="1" x14ac:dyDescent="0.25">
      <c r="A244" s="17"/>
      <c r="B244" s="17"/>
      <c r="C244" s="17"/>
      <c r="D244" s="17"/>
      <c r="E244" s="17"/>
      <c r="F244" s="17"/>
      <c r="G244" s="17"/>
      <c r="H244" s="17"/>
      <c r="I244" s="17"/>
      <c r="J244" s="17"/>
      <c r="K244" s="17"/>
      <c r="L244" s="17"/>
      <c r="M244" s="17"/>
      <c r="N244" s="17"/>
    </row>
    <row r="245" spans="1:14" x14ac:dyDescent="0.2">
      <c r="A245" s="20"/>
      <c r="B245" s="21"/>
      <c r="C245" s="21"/>
      <c r="D245" s="21"/>
      <c r="E245" s="22"/>
      <c r="F245" s="22"/>
      <c r="G245" s="22"/>
      <c r="H245" s="22"/>
      <c r="I245" s="22"/>
      <c r="J245" s="22"/>
      <c r="K245" s="22"/>
      <c r="L245" s="22"/>
      <c r="M245" s="22"/>
      <c r="N245" s="23"/>
    </row>
    <row r="246" spans="1:14" ht="15" x14ac:dyDescent="0.2">
      <c r="A246" s="24"/>
      <c r="B246" s="440" t="s">
        <v>1</v>
      </c>
      <c r="C246" s="441"/>
      <c r="D246" s="441"/>
      <c r="E246" s="441"/>
      <c r="F246" s="441"/>
      <c r="G246" s="441"/>
      <c r="H246" s="441"/>
      <c r="I246" s="441"/>
      <c r="J246" s="441"/>
      <c r="K246" s="441"/>
      <c r="L246" s="441"/>
      <c r="M246" s="442"/>
      <c r="N246" s="25" t="s">
        <v>904</v>
      </c>
    </row>
    <row r="247" spans="1:14" x14ac:dyDescent="0.2">
      <c r="A247" s="24"/>
      <c r="B247" s="26" t="s">
        <v>428</v>
      </c>
      <c r="C247" s="27" t="s">
        <v>2</v>
      </c>
      <c r="D247" s="27"/>
      <c r="E247" s="28"/>
      <c r="F247" s="28"/>
      <c r="G247" s="28"/>
      <c r="H247" s="28"/>
      <c r="I247" s="28"/>
      <c r="J247" s="28"/>
      <c r="K247" s="28"/>
      <c r="L247" s="28"/>
      <c r="M247" s="28"/>
      <c r="N247" s="29"/>
    </row>
    <row r="248" spans="1:14" x14ac:dyDescent="0.2">
      <c r="A248" s="24"/>
      <c r="B248" s="26" t="s">
        <v>429</v>
      </c>
      <c r="C248" s="27" t="s">
        <v>3</v>
      </c>
      <c r="D248" s="27"/>
      <c r="E248" s="28"/>
      <c r="F248" s="28"/>
      <c r="G248" s="28"/>
      <c r="H248" s="28"/>
      <c r="I248" s="28"/>
      <c r="J248" s="28"/>
      <c r="K248" s="28"/>
      <c r="L248" s="28"/>
      <c r="M248" s="28"/>
      <c r="N248" s="29"/>
    </row>
    <row r="249" spans="1:14" x14ac:dyDescent="0.2">
      <c r="A249" s="24"/>
      <c r="B249" s="26" t="s">
        <v>427</v>
      </c>
      <c r="C249" s="436" t="s">
        <v>1121</v>
      </c>
      <c r="D249" s="436"/>
      <c r="E249" s="436"/>
      <c r="F249" s="436"/>
      <c r="G249" s="436"/>
      <c r="H249" s="436"/>
      <c r="I249" s="436"/>
      <c r="J249" s="436"/>
      <c r="K249" s="436"/>
      <c r="L249" s="436"/>
      <c r="M249" s="436"/>
      <c r="N249" s="437"/>
    </row>
    <row r="250" spans="1:14" x14ac:dyDescent="0.2">
      <c r="A250" s="24"/>
      <c r="C250" s="436"/>
      <c r="D250" s="436"/>
      <c r="E250" s="436"/>
      <c r="F250" s="436"/>
      <c r="G250" s="436"/>
      <c r="H250" s="436"/>
      <c r="I250" s="436"/>
      <c r="J250" s="436"/>
      <c r="K250" s="436"/>
      <c r="L250" s="436"/>
      <c r="M250" s="436"/>
      <c r="N250" s="437"/>
    </row>
    <row r="251" spans="1:14" x14ac:dyDescent="0.2">
      <c r="A251" s="24"/>
      <c r="C251" s="438"/>
      <c r="D251" s="438"/>
      <c r="E251" s="438"/>
      <c r="F251" s="438"/>
      <c r="G251" s="438"/>
      <c r="H251" s="438"/>
      <c r="I251" s="438"/>
      <c r="J251" s="438"/>
      <c r="K251" s="438"/>
      <c r="L251" s="438"/>
      <c r="M251" s="438"/>
      <c r="N251" s="439"/>
    </row>
    <row r="252" spans="1:14" x14ac:dyDescent="0.2">
      <c r="A252" s="24"/>
      <c r="B252" s="26" t="s">
        <v>426</v>
      </c>
      <c r="C252" s="27" t="s">
        <v>1359</v>
      </c>
      <c r="D252" s="27"/>
      <c r="E252" s="28"/>
      <c r="F252" s="28"/>
      <c r="G252" s="28"/>
      <c r="H252" s="28"/>
      <c r="I252" s="28"/>
      <c r="J252" s="28"/>
      <c r="K252" s="28"/>
      <c r="L252" s="28"/>
      <c r="M252" s="28"/>
      <c r="N252" s="29"/>
    </row>
    <row r="253" spans="1:14" ht="13.5" thickBot="1" x14ac:dyDescent="0.25">
      <c r="A253" s="30"/>
      <c r="B253" s="47" t="s">
        <v>430</v>
      </c>
      <c r="C253" s="31"/>
      <c r="D253" s="31"/>
      <c r="E253" s="32"/>
      <c r="F253" s="32"/>
      <c r="G253" s="32"/>
      <c r="H253" s="32"/>
      <c r="I253" s="32"/>
      <c r="J253" s="32"/>
      <c r="K253" s="32"/>
      <c r="L253" s="32"/>
      <c r="M253" s="32"/>
      <c r="N253" s="33"/>
    </row>
    <row r="254" spans="1:14" x14ac:dyDescent="0.2">
      <c r="A254" s="20"/>
      <c r="B254" s="58" t="s">
        <v>263</v>
      </c>
      <c r="C254" s="21"/>
      <c r="D254" s="21"/>
      <c r="E254" s="22"/>
      <c r="F254" s="22"/>
      <c r="G254" s="22"/>
      <c r="H254" s="22"/>
      <c r="I254" s="22"/>
      <c r="J254" s="37"/>
      <c r="K254" s="37" t="s">
        <v>758</v>
      </c>
      <c r="L254" s="37" t="s">
        <v>279</v>
      </c>
      <c r="M254" s="37"/>
      <c r="N254" s="37"/>
    </row>
    <row r="255" spans="1:14" x14ac:dyDescent="0.2">
      <c r="A255" s="24"/>
      <c r="B255" s="27"/>
      <c r="C255" s="27"/>
      <c r="D255" s="27"/>
      <c r="E255" s="28"/>
      <c r="F255" s="28"/>
      <c r="G255" s="28"/>
      <c r="H255" s="28"/>
      <c r="I255" s="28"/>
      <c r="J255" s="67" t="s">
        <v>2128</v>
      </c>
      <c r="K255" s="67" t="s">
        <v>2129</v>
      </c>
      <c r="L255" s="63" t="s">
        <v>2130</v>
      </c>
      <c r="M255" s="63" t="s">
        <v>514</v>
      </c>
      <c r="N255" s="63"/>
    </row>
    <row r="256" spans="1:14" x14ac:dyDescent="0.2">
      <c r="A256" s="337"/>
      <c r="B256" s="453" t="s">
        <v>67</v>
      </c>
      <c r="C256" s="454"/>
      <c r="D256" s="454"/>
      <c r="E256" s="326"/>
      <c r="F256" s="326" t="s">
        <v>1180</v>
      </c>
      <c r="G256" s="326" t="s">
        <v>68</v>
      </c>
      <c r="H256" s="326" t="s">
        <v>702</v>
      </c>
      <c r="I256" s="326"/>
      <c r="J256" s="327">
        <f>116.5/O1*O2</f>
        <v>211.81818181818181</v>
      </c>
      <c r="K256" s="327">
        <f>138.5/O1*O2</f>
        <v>251.81818181818178</v>
      </c>
      <c r="L256" s="327">
        <f>149.8/O1*O2</f>
        <v>272.36363636363637</v>
      </c>
      <c r="M256" s="328">
        <f>183/O1*O2</f>
        <v>332.72727272727269</v>
      </c>
      <c r="N256" s="329"/>
    </row>
    <row r="257" spans="1:14" x14ac:dyDescent="0.2">
      <c r="A257" s="338"/>
      <c r="B257" s="452" t="s">
        <v>67</v>
      </c>
      <c r="C257" s="435"/>
      <c r="D257" s="435"/>
      <c r="E257" s="28"/>
      <c r="F257" s="28" t="s">
        <v>1181</v>
      </c>
      <c r="G257" s="28" t="s">
        <v>68</v>
      </c>
      <c r="H257" s="28" t="s">
        <v>702</v>
      </c>
      <c r="I257" s="28"/>
      <c r="J257" s="75">
        <f>63.5/O1*O2</f>
        <v>115.45454545454544</v>
      </c>
      <c r="K257" s="75">
        <f>74.5/O1*O2</f>
        <v>135.45454545454544</v>
      </c>
      <c r="L257" s="75">
        <f>82.9/O1*O2</f>
        <v>150.72727272727272</v>
      </c>
      <c r="M257" s="44">
        <f>95/O1*O2</f>
        <v>172.72727272727272</v>
      </c>
      <c r="N257" s="330"/>
    </row>
    <row r="258" spans="1:14" x14ac:dyDescent="0.2">
      <c r="A258" s="339"/>
      <c r="B258" s="450" t="s">
        <v>67</v>
      </c>
      <c r="C258" s="451"/>
      <c r="D258" s="451"/>
      <c r="E258" s="333"/>
      <c r="F258" s="333" t="s">
        <v>1182</v>
      </c>
      <c r="G258" s="333" t="s">
        <v>68</v>
      </c>
      <c r="H258" s="333" t="s">
        <v>702</v>
      </c>
      <c r="I258" s="333"/>
      <c r="J258" s="334">
        <f>54.6/O1*O2</f>
        <v>99.272727272727266</v>
      </c>
      <c r="K258" s="334">
        <f>63.6/O1*O2</f>
        <v>115.63636363636363</v>
      </c>
      <c r="L258" s="334">
        <f>69.5/O1*O2</f>
        <v>126.36363636363636</v>
      </c>
      <c r="M258" s="335">
        <f>78/O1*O2</f>
        <v>141.81818181818181</v>
      </c>
      <c r="N258" s="336"/>
    </row>
    <row r="259" spans="1:14" ht="13.5" thickBot="1" x14ac:dyDescent="0.25">
      <c r="A259" s="52"/>
      <c r="B259" s="27"/>
      <c r="C259" s="27"/>
      <c r="D259" s="27"/>
      <c r="E259" s="28"/>
      <c r="F259" s="28"/>
      <c r="G259" s="28"/>
      <c r="H259" s="28"/>
      <c r="I259" s="28"/>
      <c r="J259" s="229"/>
      <c r="K259" s="229"/>
      <c r="L259" s="229"/>
      <c r="M259" s="53"/>
      <c r="N259" s="53"/>
    </row>
    <row r="260" spans="1:14" x14ac:dyDescent="0.2">
      <c r="A260" s="20"/>
      <c r="B260" s="21"/>
      <c r="C260" s="21"/>
      <c r="D260" s="21"/>
      <c r="E260" s="22"/>
      <c r="F260" s="22"/>
      <c r="G260" s="22"/>
      <c r="H260" s="22"/>
      <c r="I260" s="22"/>
      <c r="J260" s="78"/>
      <c r="K260" s="78"/>
      <c r="L260" s="78"/>
      <c r="M260" s="78"/>
      <c r="N260" s="79"/>
    </row>
    <row r="261" spans="1:14" ht="15" x14ac:dyDescent="0.2">
      <c r="A261" s="24"/>
      <c r="B261" s="440" t="s">
        <v>267</v>
      </c>
      <c r="C261" s="441"/>
      <c r="D261" s="441"/>
      <c r="E261" s="441"/>
      <c r="F261" s="441"/>
      <c r="G261" s="441"/>
      <c r="H261" s="441"/>
      <c r="I261" s="441"/>
      <c r="J261" s="441"/>
      <c r="K261" s="441"/>
      <c r="L261" s="441"/>
      <c r="M261" s="442"/>
      <c r="N261" s="25" t="s">
        <v>904</v>
      </c>
    </row>
    <row r="262" spans="1:14" x14ac:dyDescent="0.2">
      <c r="A262" s="24"/>
      <c r="B262" s="26" t="s">
        <v>428</v>
      </c>
      <c r="C262" s="27" t="s">
        <v>269</v>
      </c>
      <c r="D262" s="27"/>
      <c r="E262" s="28"/>
      <c r="F262" s="28"/>
      <c r="G262" s="28"/>
      <c r="H262" s="28"/>
      <c r="I262" s="28"/>
      <c r="J262" s="28"/>
      <c r="K262" s="28"/>
      <c r="L262" s="28"/>
      <c r="M262" s="28"/>
      <c r="N262" s="29"/>
    </row>
    <row r="263" spans="1:14" x14ac:dyDescent="0.2">
      <c r="A263" s="24"/>
      <c r="B263" s="26" t="s">
        <v>429</v>
      </c>
      <c r="C263" s="27" t="s">
        <v>270</v>
      </c>
      <c r="D263" s="27"/>
      <c r="E263" s="28"/>
      <c r="F263" s="28"/>
      <c r="G263" s="28"/>
      <c r="H263" s="28"/>
      <c r="I263" s="28"/>
      <c r="J263" s="28"/>
      <c r="K263" s="28"/>
      <c r="L263" s="28"/>
      <c r="M263" s="28"/>
      <c r="N263" s="29"/>
    </row>
    <row r="264" spans="1:14" x14ac:dyDescent="0.2">
      <c r="A264" s="24"/>
      <c r="B264" s="26" t="s">
        <v>427</v>
      </c>
      <c r="C264" s="436" t="s">
        <v>1200</v>
      </c>
      <c r="D264" s="436"/>
      <c r="E264" s="436"/>
      <c r="F264" s="436"/>
      <c r="G264" s="436"/>
      <c r="H264" s="436"/>
      <c r="I264" s="436"/>
      <c r="J264" s="436"/>
      <c r="K264" s="436"/>
      <c r="L264" s="436"/>
      <c r="M264" s="436"/>
      <c r="N264" s="437"/>
    </row>
    <row r="265" spans="1:14" x14ac:dyDescent="0.2">
      <c r="A265" s="24"/>
      <c r="C265" s="436"/>
      <c r="D265" s="436"/>
      <c r="E265" s="436"/>
      <c r="F265" s="436"/>
      <c r="G265" s="436"/>
      <c r="H265" s="436"/>
      <c r="I265" s="436"/>
      <c r="J265" s="436"/>
      <c r="K265" s="436"/>
      <c r="L265" s="436"/>
      <c r="M265" s="436"/>
      <c r="N265" s="437"/>
    </row>
    <row r="266" spans="1:14" x14ac:dyDescent="0.2">
      <c r="A266" s="24"/>
      <c r="C266" s="436"/>
      <c r="D266" s="436"/>
      <c r="E266" s="436"/>
      <c r="F266" s="436"/>
      <c r="G266" s="436"/>
      <c r="H266" s="436"/>
      <c r="I266" s="436"/>
      <c r="J266" s="436"/>
      <c r="K266" s="436"/>
      <c r="L266" s="436"/>
      <c r="M266" s="436"/>
      <c r="N266" s="437"/>
    </row>
    <row r="267" spans="1:14" x14ac:dyDescent="0.2">
      <c r="A267" s="24"/>
      <c r="C267" s="438"/>
      <c r="D267" s="438"/>
      <c r="E267" s="438"/>
      <c r="F267" s="438"/>
      <c r="G267" s="438"/>
      <c r="H267" s="438"/>
      <c r="I267" s="438"/>
      <c r="J267" s="438"/>
      <c r="K267" s="438"/>
      <c r="L267" s="438"/>
      <c r="M267" s="438"/>
      <c r="N267" s="439"/>
    </row>
    <row r="268" spans="1:14" x14ac:dyDescent="0.2">
      <c r="A268" s="24"/>
      <c r="B268" s="26" t="s">
        <v>426</v>
      </c>
      <c r="C268" s="27"/>
      <c r="D268" s="27"/>
      <c r="E268" s="28"/>
      <c r="F268" s="28"/>
      <c r="G268" s="28"/>
      <c r="H268" s="28"/>
      <c r="I268" s="28"/>
      <c r="J268" s="28"/>
      <c r="K268" s="28"/>
      <c r="L268" s="28"/>
      <c r="M268" s="28"/>
      <c r="N268" s="29"/>
    </row>
    <row r="269" spans="1:14" ht="13.5" thickBot="1" x14ac:dyDescent="0.25">
      <c r="A269" s="30"/>
      <c r="B269" s="26" t="s">
        <v>430</v>
      </c>
      <c r="C269" s="31" t="s">
        <v>1499</v>
      </c>
      <c r="D269" s="31"/>
      <c r="E269" s="32"/>
      <c r="F269" s="32"/>
      <c r="G269" s="32"/>
      <c r="H269" s="32"/>
      <c r="I269" s="32"/>
      <c r="J269" s="32"/>
      <c r="K269" s="32"/>
      <c r="L269" s="32"/>
      <c r="M269" s="32"/>
      <c r="N269" s="33"/>
    </row>
    <row r="270" spans="1:14" x14ac:dyDescent="0.2">
      <c r="A270" s="20"/>
      <c r="B270" s="21" t="s">
        <v>263</v>
      </c>
      <c r="C270" s="21"/>
      <c r="D270" s="21"/>
      <c r="E270" s="22"/>
      <c r="F270" s="22"/>
      <c r="G270" s="22"/>
      <c r="H270" s="22"/>
      <c r="I270" s="22"/>
      <c r="J270" s="48" t="s">
        <v>907</v>
      </c>
      <c r="K270" s="37" t="s">
        <v>753</v>
      </c>
      <c r="L270" s="37"/>
      <c r="M270" s="37"/>
      <c r="N270" s="37"/>
    </row>
    <row r="271" spans="1:14" x14ac:dyDescent="0.2">
      <c r="A271" s="24"/>
      <c r="B271" s="27"/>
      <c r="C271" s="27"/>
      <c r="D271" s="27"/>
      <c r="E271" s="28"/>
      <c r="F271" s="28"/>
      <c r="G271" s="28"/>
      <c r="H271" s="28"/>
      <c r="I271" s="28"/>
      <c r="J271" s="67" t="s">
        <v>76</v>
      </c>
      <c r="K271" s="63" t="s">
        <v>514</v>
      </c>
      <c r="L271" s="63" t="s">
        <v>513</v>
      </c>
      <c r="M271" s="63"/>
      <c r="N271" s="63"/>
    </row>
    <row r="272" spans="1:14" ht="13.5" thickBot="1" x14ac:dyDescent="0.25">
      <c r="A272" s="30"/>
      <c r="B272" s="27"/>
      <c r="C272" s="31"/>
      <c r="D272" s="31"/>
      <c r="E272" s="32"/>
      <c r="F272" s="32"/>
      <c r="G272" s="32"/>
      <c r="H272" s="32"/>
      <c r="I272" s="32"/>
      <c r="J272" s="49"/>
      <c r="K272" s="40" t="s">
        <v>77</v>
      </c>
      <c r="L272" s="40" t="s">
        <v>612</v>
      </c>
      <c r="M272" s="40"/>
      <c r="N272" s="40"/>
    </row>
    <row r="273" spans="1:18" x14ac:dyDescent="0.2">
      <c r="A273" s="20"/>
      <c r="B273" s="434" t="s">
        <v>67</v>
      </c>
      <c r="C273" s="434"/>
      <c r="D273" s="434"/>
      <c r="E273" s="22"/>
      <c r="F273" s="22" t="s">
        <v>1180</v>
      </c>
      <c r="G273" s="22" t="s">
        <v>68</v>
      </c>
      <c r="H273" s="22" t="s">
        <v>702</v>
      </c>
      <c r="I273" s="22"/>
      <c r="J273" s="74">
        <f>85/O1*O2</f>
        <v>154.54545454545453</v>
      </c>
      <c r="K273" s="74">
        <f>105/O1*O2</f>
        <v>190.90909090909091</v>
      </c>
      <c r="L273" s="74">
        <f>135/O1*O2</f>
        <v>245.45454545454544</v>
      </c>
      <c r="M273" s="42"/>
      <c r="N273" s="42"/>
    </row>
    <row r="274" spans="1:18" x14ac:dyDescent="0.2">
      <c r="A274" s="24"/>
      <c r="B274" s="435" t="s">
        <v>67</v>
      </c>
      <c r="C274" s="435"/>
      <c r="D274" s="435"/>
      <c r="E274" s="28"/>
      <c r="F274" s="28" t="s">
        <v>1181</v>
      </c>
      <c r="G274" s="28" t="s">
        <v>68</v>
      </c>
      <c r="H274" s="28" t="s">
        <v>702</v>
      </c>
      <c r="I274" s="28"/>
      <c r="J274" s="75">
        <f>45/O1*O2</f>
        <v>81.818181818181813</v>
      </c>
      <c r="K274" s="75">
        <f>55/O1*O2</f>
        <v>99.999999999999986</v>
      </c>
      <c r="L274" s="75">
        <f>70/O1*O2</f>
        <v>127.27272727272727</v>
      </c>
      <c r="M274" s="44"/>
      <c r="N274" s="44"/>
    </row>
    <row r="275" spans="1:18" x14ac:dyDescent="0.2">
      <c r="A275" s="24"/>
      <c r="B275" s="435" t="s">
        <v>67</v>
      </c>
      <c r="C275" s="435"/>
      <c r="D275" s="435"/>
      <c r="E275" s="28"/>
      <c r="F275" s="28" t="s">
        <v>1182</v>
      </c>
      <c r="G275" s="28" t="s">
        <v>68</v>
      </c>
      <c r="H275" s="28" t="s">
        <v>702</v>
      </c>
      <c r="I275" s="28"/>
      <c r="J275" s="75">
        <f>43.5/O1*O2</f>
        <v>79.090909090909079</v>
      </c>
      <c r="K275" s="75">
        <f>50/O1*O2</f>
        <v>90.909090909090907</v>
      </c>
      <c r="L275" s="75">
        <f>60/O1*O2</f>
        <v>109.09090909090908</v>
      </c>
      <c r="M275" s="44"/>
      <c r="N275" s="44"/>
    </row>
    <row r="276" spans="1:18" ht="13.5" thickBot="1" x14ac:dyDescent="0.25">
      <c r="A276" s="30"/>
      <c r="B276" s="443" t="s">
        <v>902</v>
      </c>
      <c r="C276" s="443"/>
      <c r="D276" s="443"/>
      <c r="E276" s="32"/>
      <c r="F276" s="32"/>
      <c r="G276" s="32"/>
      <c r="H276" s="32" t="s">
        <v>702</v>
      </c>
      <c r="I276" s="32"/>
      <c r="J276" s="76">
        <f>40/O1*O2</f>
        <v>72.72727272727272</v>
      </c>
      <c r="K276" s="76">
        <f>40/O1*O2</f>
        <v>72.72727272727272</v>
      </c>
      <c r="L276" s="76">
        <f>40/O1*O2</f>
        <v>72.72727272727272</v>
      </c>
      <c r="M276" s="46"/>
      <c r="N276" s="46"/>
    </row>
    <row r="277" spans="1:18" x14ac:dyDescent="0.2">
      <c r="A277" s="52"/>
      <c r="B277" s="27"/>
      <c r="C277" s="27"/>
      <c r="D277" s="27"/>
      <c r="E277" s="28"/>
      <c r="F277" s="28"/>
      <c r="G277" s="28"/>
      <c r="H277" s="28"/>
      <c r="I277" s="28"/>
      <c r="J277" s="229"/>
      <c r="K277" s="229"/>
      <c r="L277" s="229"/>
      <c r="M277" s="53"/>
      <c r="N277" s="53"/>
    </row>
    <row r="278" spans="1:18" x14ac:dyDescent="0.2">
      <c r="A278" s="52"/>
      <c r="B278" s="27"/>
      <c r="C278" s="27"/>
      <c r="D278" s="27"/>
      <c r="E278" s="28"/>
      <c r="F278" s="28"/>
      <c r="G278" s="28"/>
      <c r="H278" s="28"/>
      <c r="I278" s="28"/>
      <c r="J278" s="229"/>
      <c r="K278" s="229"/>
      <c r="L278" s="229"/>
      <c r="M278" s="53"/>
      <c r="N278" s="53"/>
    </row>
    <row r="279" spans="1:18" x14ac:dyDescent="0.2">
      <c r="A279" s="52"/>
      <c r="B279" s="27"/>
      <c r="C279" s="27"/>
      <c r="D279" s="27"/>
      <c r="E279" s="28"/>
      <c r="F279" s="28"/>
      <c r="G279" s="28"/>
      <c r="H279" s="28"/>
      <c r="I279" s="28"/>
      <c r="J279" s="229"/>
      <c r="K279" s="229"/>
      <c r="L279" s="229"/>
      <c r="M279" s="53"/>
      <c r="N279" s="53"/>
    </row>
    <row r="280" spans="1:18" x14ac:dyDescent="0.2">
      <c r="A280" s="52"/>
      <c r="B280" s="27"/>
      <c r="C280" s="27"/>
      <c r="D280" s="27"/>
      <c r="E280" s="28"/>
      <c r="F280" s="28"/>
      <c r="G280" s="28"/>
      <c r="H280" s="28"/>
      <c r="I280" s="28"/>
      <c r="J280" s="229"/>
      <c r="K280" s="229"/>
      <c r="L280" s="229"/>
      <c r="M280" s="53"/>
      <c r="N280" s="53"/>
    </row>
    <row r="281" spans="1:18" x14ac:dyDescent="0.2">
      <c r="A281" s="52"/>
      <c r="B281" s="27"/>
      <c r="C281" s="27"/>
      <c r="D281" s="27"/>
      <c r="E281" s="28"/>
      <c r="F281" s="28"/>
      <c r="G281" s="28"/>
      <c r="H281" s="28"/>
      <c r="I281" s="28"/>
      <c r="J281" s="53"/>
      <c r="K281" s="53"/>
      <c r="L281" s="53"/>
      <c r="M281" s="53"/>
      <c r="N281" s="53"/>
    </row>
    <row r="283" spans="1:18" ht="13.5" thickBot="1" x14ac:dyDescent="0.25">
      <c r="P283" s="60"/>
      <c r="Q283" s="60"/>
      <c r="R283" s="60"/>
    </row>
    <row r="284" spans="1:18" x14ac:dyDescent="0.2">
      <c r="A284" s="20"/>
      <c r="B284" s="21"/>
      <c r="C284" s="21"/>
      <c r="D284" s="21"/>
      <c r="E284" s="22"/>
      <c r="F284" s="22"/>
      <c r="G284" s="22"/>
      <c r="H284" s="22"/>
      <c r="I284" s="22"/>
      <c r="J284" s="22"/>
      <c r="K284" s="22"/>
      <c r="L284" s="22"/>
      <c r="M284" s="22"/>
      <c r="N284" s="23"/>
      <c r="P284" s="60"/>
      <c r="Q284" s="60"/>
      <c r="R284" s="60"/>
    </row>
    <row r="285" spans="1:18" ht="15" x14ac:dyDescent="0.2">
      <c r="A285" s="24"/>
      <c r="B285" s="440" t="s">
        <v>268</v>
      </c>
      <c r="C285" s="441"/>
      <c r="D285" s="441"/>
      <c r="E285" s="441"/>
      <c r="F285" s="441"/>
      <c r="G285" s="441"/>
      <c r="H285" s="441"/>
      <c r="I285" s="441"/>
      <c r="J285" s="441"/>
      <c r="K285" s="441"/>
      <c r="L285" s="441"/>
      <c r="M285" s="442"/>
      <c r="N285" s="25" t="s">
        <v>904</v>
      </c>
      <c r="P285" s="60"/>
      <c r="Q285" s="60"/>
      <c r="R285" s="60"/>
    </row>
    <row r="286" spans="1:18" x14ac:dyDescent="0.2">
      <c r="A286" s="24"/>
      <c r="B286" s="26" t="s">
        <v>428</v>
      </c>
      <c r="C286" s="27" t="s">
        <v>767</v>
      </c>
      <c r="D286" s="27"/>
      <c r="E286" s="28"/>
      <c r="F286" s="28"/>
      <c r="G286" s="28"/>
      <c r="H286" s="28"/>
      <c r="I286" s="28"/>
      <c r="J286" s="28"/>
      <c r="K286" s="28"/>
      <c r="L286" s="28"/>
      <c r="M286" s="28"/>
      <c r="N286" s="29"/>
      <c r="P286" s="60"/>
      <c r="Q286" s="60"/>
      <c r="R286" s="60"/>
    </row>
    <row r="287" spans="1:18" x14ac:dyDescent="0.2">
      <c r="A287" s="24"/>
      <c r="B287" s="26" t="s">
        <v>429</v>
      </c>
      <c r="C287" s="27" t="s">
        <v>768</v>
      </c>
      <c r="D287" s="27"/>
      <c r="E287" s="28"/>
      <c r="F287" s="28"/>
      <c r="G287" s="28"/>
      <c r="H287" s="28"/>
      <c r="I287" s="28"/>
      <c r="J287" s="28"/>
      <c r="K287" s="28"/>
      <c r="L287" s="28"/>
      <c r="M287" s="28"/>
      <c r="N287" s="29"/>
      <c r="P287" s="60"/>
      <c r="Q287" s="60"/>
      <c r="R287" s="60"/>
    </row>
    <row r="288" spans="1:18" x14ac:dyDescent="0.2">
      <c r="A288" s="24"/>
      <c r="B288" s="26" t="s">
        <v>427</v>
      </c>
      <c r="C288" s="436" t="s">
        <v>1201</v>
      </c>
      <c r="D288" s="436"/>
      <c r="E288" s="436"/>
      <c r="F288" s="436"/>
      <c r="G288" s="436"/>
      <c r="H288" s="436"/>
      <c r="I288" s="436"/>
      <c r="J288" s="436"/>
      <c r="K288" s="436"/>
      <c r="L288" s="436"/>
      <c r="M288" s="436"/>
      <c r="N288" s="437"/>
      <c r="P288" s="60"/>
      <c r="Q288" s="60"/>
      <c r="R288" s="60"/>
    </row>
    <row r="289" spans="1:18" x14ac:dyDescent="0.2">
      <c r="A289" s="24"/>
      <c r="C289" s="436"/>
      <c r="D289" s="436"/>
      <c r="E289" s="436"/>
      <c r="F289" s="436"/>
      <c r="G289" s="436"/>
      <c r="H289" s="436"/>
      <c r="I289" s="436"/>
      <c r="J289" s="436"/>
      <c r="K289" s="436"/>
      <c r="L289" s="436"/>
      <c r="M289" s="436"/>
      <c r="N289" s="437"/>
      <c r="P289" s="60"/>
      <c r="Q289" s="60"/>
      <c r="R289" s="60"/>
    </row>
    <row r="290" spans="1:18" x14ac:dyDescent="0.2">
      <c r="A290" s="24"/>
      <c r="C290" s="436"/>
      <c r="D290" s="436"/>
      <c r="E290" s="436"/>
      <c r="F290" s="436"/>
      <c r="G290" s="436"/>
      <c r="H290" s="436"/>
      <c r="I290" s="436"/>
      <c r="J290" s="436"/>
      <c r="K290" s="436"/>
      <c r="L290" s="436"/>
      <c r="M290" s="436"/>
      <c r="N290" s="437"/>
      <c r="P290" s="60"/>
      <c r="Q290" s="60"/>
      <c r="R290" s="60"/>
    </row>
    <row r="291" spans="1:18" x14ac:dyDescent="0.2">
      <c r="A291" s="24"/>
      <c r="C291" s="436"/>
      <c r="D291" s="436"/>
      <c r="E291" s="436"/>
      <c r="F291" s="436"/>
      <c r="G291" s="436"/>
      <c r="H291" s="436"/>
      <c r="I291" s="436"/>
      <c r="J291" s="436"/>
      <c r="K291" s="436"/>
      <c r="L291" s="436"/>
      <c r="M291" s="436"/>
      <c r="N291" s="437"/>
      <c r="P291" s="60"/>
      <c r="Q291" s="60"/>
      <c r="R291" s="60"/>
    </row>
    <row r="292" spans="1:18" x14ac:dyDescent="0.2">
      <c r="A292" s="24"/>
      <c r="B292" s="26" t="s">
        <v>426</v>
      </c>
      <c r="C292" s="61"/>
      <c r="D292" s="61"/>
      <c r="E292" s="61"/>
      <c r="F292" s="61"/>
      <c r="G292" s="61"/>
      <c r="H292" s="61"/>
      <c r="I292" s="61"/>
      <c r="J292" s="61"/>
      <c r="K292" s="61"/>
      <c r="L292" s="61"/>
      <c r="M292" s="61"/>
      <c r="N292" s="29"/>
    </row>
    <row r="293" spans="1:18" ht="13.5" thickBot="1" x14ac:dyDescent="0.25">
      <c r="A293" s="30"/>
      <c r="B293" s="26" t="s">
        <v>430</v>
      </c>
      <c r="C293" s="31"/>
      <c r="D293" s="31"/>
      <c r="E293" s="31"/>
      <c r="F293" s="31"/>
      <c r="G293" s="31"/>
      <c r="H293" s="31"/>
      <c r="I293" s="32"/>
      <c r="J293" s="32"/>
      <c r="K293" s="32"/>
      <c r="L293" s="32"/>
      <c r="M293" s="32"/>
      <c r="N293" s="33"/>
    </row>
    <row r="294" spans="1:18" x14ac:dyDescent="0.2">
      <c r="A294" s="20"/>
      <c r="B294" s="21" t="s">
        <v>263</v>
      </c>
      <c r="C294" s="21"/>
      <c r="D294" s="21"/>
      <c r="E294" s="22"/>
      <c r="F294" s="22"/>
      <c r="G294" s="22"/>
      <c r="H294" s="22"/>
      <c r="I294" s="22"/>
      <c r="J294" s="37" t="s">
        <v>753</v>
      </c>
      <c r="K294" s="37" t="s">
        <v>513</v>
      </c>
      <c r="L294" s="37"/>
      <c r="M294" s="37"/>
      <c r="N294" s="37"/>
    </row>
    <row r="295" spans="1:18" ht="13.5" thickBot="1" x14ac:dyDescent="0.25">
      <c r="A295" s="24"/>
      <c r="B295" s="27"/>
      <c r="C295" s="27"/>
      <c r="D295" s="27"/>
      <c r="E295" s="28"/>
      <c r="F295" s="28"/>
      <c r="G295" s="28"/>
      <c r="H295" s="28"/>
      <c r="I295" s="28"/>
      <c r="J295" s="40" t="s">
        <v>1341</v>
      </c>
      <c r="K295" s="40" t="s">
        <v>612</v>
      </c>
      <c r="L295" s="40" t="s">
        <v>123</v>
      </c>
      <c r="M295" s="40"/>
      <c r="N295" s="40"/>
    </row>
    <row r="296" spans="1:18" x14ac:dyDescent="0.2">
      <c r="A296" s="20"/>
      <c r="B296" s="434" t="s">
        <v>67</v>
      </c>
      <c r="C296" s="434"/>
      <c r="D296" s="434"/>
      <c r="E296" s="22"/>
      <c r="F296" s="22" t="s">
        <v>1180</v>
      </c>
      <c r="G296" s="22" t="s">
        <v>68</v>
      </c>
      <c r="H296" s="22" t="s">
        <v>702</v>
      </c>
      <c r="I296" s="22"/>
      <c r="J296" s="75">
        <f>113.5/O1*O2</f>
        <v>206.36363636363635</v>
      </c>
      <c r="K296" s="75">
        <f>147.5/O1*O2</f>
        <v>268.18181818181819</v>
      </c>
      <c r="L296" s="44">
        <f>96/O1*O2</f>
        <v>174.54545454545453</v>
      </c>
      <c r="M296" s="44"/>
      <c r="N296" s="42"/>
    </row>
    <row r="297" spans="1:18" x14ac:dyDescent="0.2">
      <c r="A297" s="24"/>
      <c r="B297" s="435" t="s">
        <v>67</v>
      </c>
      <c r="C297" s="435"/>
      <c r="D297" s="435"/>
      <c r="E297" s="28"/>
      <c r="F297" s="28" t="s">
        <v>1181</v>
      </c>
      <c r="G297" s="28" t="s">
        <v>68</v>
      </c>
      <c r="H297" s="28" t="s">
        <v>702</v>
      </c>
      <c r="I297" s="28"/>
      <c r="J297" s="75">
        <f>59.5/O1*O2</f>
        <v>108.18181818181817</v>
      </c>
      <c r="K297" s="75">
        <f>76.5/O1*O2</f>
        <v>139.09090909090909</v>
      </c>
      <c r="L297" s="44">
        <f>51/O1*O2</f>
        <v>92.72727272727272</v>
      </c>
      <c r="M297" s="44"/>
      <c r="N297" s="44"/>
    </row>
    <row r="298" spans="1:18" x14ac:dyDescent="0.2">
      <c r="A298" s="24"/>
      <c r="B298" s="435" t="s">
        <v>67</v>
      </c>
      <c r="C298" s="435"/>
      <c r="D298" s="435"/>
      <c r="E298" s="28"/>
      <c r="F298" s="28" t="s">
        <v>1182</v>
      </c>
      <c r="G298" s="28" t="s">
        <v>68</v>
      </c>
      <c r="H298" s="28" t="s">
        <v>702</v>
      </c>
      <c r="I298" s="29"/>
      <c r="J298" s="75">
        <f>44.9/O1*O2</f>
        <v>81.636363636363626</v>
      </c>
      <c r="K298" s="75">
        <f>58.9/O1*O2</f>
        <v>107.09090909090908</v>
      </c>
      <c r="L298" s="44">
        <f>41/O1*O2</f>
        <v>74.545454545454533</v>
      </c>
      <c r="M298" s="44"/>
      <c r="N298" s="44"/>
    </row>
    <row r="299" spans="1:18" ht="13.5" thickBot="1" x14ac:dyDescent="0.25">
      <c r="A299" s="30"/>
      <c r="B299" s="31" t="s">
        <v>1446</v>
      </c>
      <c r="C299" s="31"/>
      <c r="D299" s="31"/>
      <c r="E299" s="32"/>
      <c r="F299" s="32"/>
      <c r="G299" s="32"/>
      <c r="H299" s="32"/>
      <c r="I299" s="32"/>
      <c r="J299" s="76">
        <f>35/O1*O2</f>
        <v>63.636363636363633</v>
      </c>
      <c r="K299" s="76">
        <f>35/O1*O2</f>
        <v>63.636363636363633</v>
      </c>
      <c r="L299" s="44">
        <f>35/O1*O2</f>
        <v>63.636363636363633</v>
      </c>
      <c r="M299" s="44"/>
      <c r="N299" s="44"/>
    </row>
    <row r="300" spans="1:18" ht="13.5" thickBot="1" x14ac:dyDescent="0.25">
      <c r="A300" s="30"/>
      <c r="B300" s="31" t="s">
        <v>125</v>
      </c>
      <c r="C300" s="80"/>
      <c r="D300" s="80"/>
      <c r="E300" s="80"/>
      <c r="F300" s="80"/>
      <c r="G300" s="80"/>
      <c r="H300" s="80"/>
      <c r="I300" s="80"/>
      <c r="J300" s="80"/>
      <c r="K300" s="80"/>
      <c r="L300" s="81"/>
      <c r="M300" s="81"/>
      <c r="N300" s="82"/>
    </row>
    <row r="301" spans="1:18" ht="13.5" thickBot="1" x14ac:dyDescent="0.25"/>
    <row r="302" spans="1:18" x14ac:dyDescent="0.2">
      <c r="A302" s="20"/>
      <c r="B302" s="21"/>
      <c r="C302" s="21"/>
      <c r="D302" s="21"/>
      <c r="E302" s="22"/>
      <c r="F302" s="22"/>
      <c r="G302" s="22"/>
      <c r="H302" s="22"/>
      <c r="I302" s="22"/>
      <c r="J302" s="22"/>
      <c r="K302" s="22"/>
      <c r="L302" s="22"/>
      <c r="M302" s="22"/>
      <c r="N302" s="23"/>
    </row>
    <row r="303" spans="1:18" ht="15" x14ac:dyDescent="0.2">
      <c r="A303" s="24"/>
      <c r="B303" s="440" t="s">
        <v>727</v>
      </c>
      <c r="C303" s="441"/>
      <c r="D303" s="441"/>
      <c r="E303" s="441"/>
      <c r="F303" s="441"/>
      <c r="G303" s="441"/>
      <c r="H303" s="441"/>
      <c r="I303" s="441"/>
      <c r="J303" s="441"/>
      <c r="K303" s="441"/>
      <c r="L303" s="441"/>
      <c r="M303" s="442"/>
      <c r="N303" s="25" t="s">
        <v>91</v>
      </c>
    </row>
    <row r="304" spans="1:18" x14ac:dyDescent="0.2">
      <c r="A304" s="24"/>
      <c r="B304" s="26" t="s">
        <v>428</v>
      </c>
      <c r="C304" s="27" t="s">
        <v>728</v>
      </c>
      <c r="D304" s="27"/>
      <c r="E304" s="28"/>
      <c r="F304" s="28"/>
      <c r="G304" s="28"/>
      <c r="H304" s="28"/>
      <c r="I304" s="28"/>
      <c r="J304" s="28"/>
      <c r="K304" s="28"/>
      <c r="L304" s="28"/>
      <c r="M304" s="28"/>
      <c r="N304" s="29"/>
    </row>
    <row r="305" spans="1:14" x14ac:dyDescent="0.2">
      <c r="A305" s="24"/>
      <c r="B305" s="26" t="s">
        <v>429</v>
      </c>
      <c r="C305" s="27" t="s">
        <v>729</v>
      </c>
      <c r="D305" s="27"/>
      <c r="E305" s="28"/>
      <c r="F305" s="28"/>
      <c r="G305" s="28"/>
      <c r="H305" s="28"/>
      <c r="I305" s="28"/>
      <c r="J305" s="28"/>
      <c r="K305" s="28"/>
      <c r="L305" s="28"/>
      <c r="M305" s="28"/>
      <c r="N305" s="29"/>
    </row>
    <row r="306" spans="1:14" x14ac:dyDescent="0.2">
      <c r="A306" s="24"/>
      <c r="B306" s="26" t="s">
        <v>427</v>
      </c>
      <c r="C306" s="444" t="s">
        <v>1202</v>
      </c>
      <c r="D306" s="444"/>
      <c r="E306" s="444"/>
      <c r="F306" s="444"/>
      <c r="G306" s="444"/>
      <c r="H306" s="444"/>
      <c r="I306" s="444"/>
      <c r="J306" s="444"/>
      <c r="K306" s="444"/>
      <c r="L306" s="444"/>
      <c r="M306" s="444"/>
      <c r="N306" s="445"/>
    </row>
    <row r="307" spans="1:14" x14ac:dyDescent="0.2">
      <c r="A307" s="24"/>
      <c r="B307" s="26"/>
      <c r="C307" s="444"/>
      <c r="D307" s="444"/>
      <c r="E307" s="444"/>
      <c r="F307" s="444"/>
      <c r="G307" s="444"/>
      <c r="H307" s="444"/>
      <c r="I307" s="444"/>
      <c r="J307" s="444"/>
      <c r="K307" s="444"/>
      <c r="L307" s="444"/>
      <c r="M307" s="444"/>
      <c r="N307" s="445"/>
    </row>
    <row r="308" spans="1:14" x14ac:dyDescent="0.2">
      <c r="A308" s="24"/>
      <c r="C308" s="444"/>
      <c r="D308" s="444"/>
      <c r="E308" s="444"/>
      <c r="F308" s="444"/>
      <c r="G308" s="444"/>
      <c r="H308" s="444"/>
      <c r="I308" s="444"/>
      <c r="J308" s="444"/>
      <c r="K308" s="444"/>
      <c r="L308" s="444"/>
      <c r="M308" s="444"/>
      <c r="N308" s="445"/>
    </row>
    <row r="309" spans="1:14" x14ac:dyDescent="0.2">
      <c r="A309" s="24"/>
      <c r="B309" s="26" t="s">
        <v>426</v>
      </c>
      <c r="C309" s="27" t="s">
        <v>728</v>
      </c>
      <c r="D309" s="27"/>
      <c r="E309" s="28"/>
      <c r="F309" s="28"/>
      <c r="G309" s="28"/>
      <c r="H309" s="28"/>
      <c r="I309" s="28"/>
      <c r="J309" s="28"/>
      <c r="K309" s="28"/>
      <c r="L309" s="28"/>
      <c r="M309" s="28"/>
      <c r="N309" s="29"/>
    </row>
    <row r="310" spans="1:14" ht="13.5" thickBot="1" x14ac:dyDescent="0.25">
      <c r="A310" s="30"/>
      <c r="B310" s="26" t="s">
        <v>430</v>
      </c>
      <c r="C310" s="31"/>
      <c r="D310" s="31"/>
      <c r="E310" s="32"/>
      <c r="F310" s="32"/>
      <c r="G310" s="32"/>
      <c r="H310" s="32"/>
      <c r="I310" s="32"/>
      <c r="J310" s="32"/>
      <c r="K310" s="32"/>
      <c r="L310" s="32"/>
      <c r="M310" s="32"/>
      <c r="N310" s="33"/>
    </row>
    <row r="311" spans="1:14" x14ac:dyDescent="0.2">
      <c r="A311" s="20"/>
      <c r="B311" s="21" t="s">
        <v>263</v>
      </c>
      <c r="C311" s="21"/>
      <c r="D311" s="21"/>
      <c r="E311" s="22"/>
      <c r="F311" s="22"/>
      <c r="G311" s="22"/>
      <c r="H311" s="22"/>
      <c r="I311" s="22"/>
      <c r="J311" s="37"/>
      <c r="K311" s="37"/>
      <c r="L311" s="37"/>
      <c r="M311" s="37"/>
      <c r="N311" s="37"/>
    </row>
    <row r="312" spans="1:14" ht="13.5" thickBot="1" x14ac:dyDescent="0.25">
      <c r="A312" s="30"/>
      <c r="B312" s="31"/>
      <c r="C312" s="31"/>
      <c r="D312" s="31"/>
      <c r="E312" s="32"/>
      <c r="F312" s="32"/>
      <c r="G312" s="32"/>
      <c r="H312" s="32"/>
      <c r="I312" s="32"/>
      <c r="J312" s="40" t="s">
        <v>909</v>
      </c>
      <c r="K312" s="40"/>
      <c r="L312" s="40"/>
      <c r="M312" s="40"/>
      <c r="N312" s="40"/>
    </row>
    <row r="313" spans="1:14" x14ac:dyDescent="0.2">
      <c r="A313" s="20"/>
      <c r="B313" s="434" t="s">
        <v>760</v>
      </c>
      <c r="C313" s="434"/>
      <c r="D313" s="434"/>
      <c r="E313" s="22"/>
      <c r="F313" s="22" t="s">
        <v>1180</v>
      </c>
      <c r="G313" s="22" t="s">
        <v>68</v>
      </c>
      <c r="H313" s="22" t="s">
        <v>702</v>
      </c>
      <c r="I313" s="22"/>
      <c r="J313" s="74">
        <f>147.5/O1*O2</f>
        <v>268.18181818181819</v>
      </c>
      <c r="K313" s="74"/>
      <c r="L313" s="57"/>
      <c r="M313" s="42"/>
      <c r="N313" s="42"/>
    </row>
    <row r="314" spans="1:14" ht="13.5" thickBot="1" x14ac:dyDescent="0.25">
      <c r="A314" s="30"/>
      <c r="B314" s="443" t="s">
        <v>760</v>
      </c>
      <c r="C314" s="443"/>
      <c r="D314" s="443"/>
      <c r="E314" s="32"/>
      <c r="F314" s="32" t="s">
        <v>1181</v>
      </c>
      <c r="G314" s="32" t="s">
        <v>68</v>
      </c>
      <c r="H314" s="32" t="s">
        <v>702</v>
      </c>
      <c r="I314" s="32"/>
      <c r="J314" s="76">
        <f>73.8/O1*O2</f>
        <v>134.18181818181816</v>
      </c>
      <c r="K314" s="76"/>
      <c r="L314" s="46"/>
      <c r="M314" s="46"/>
      <c r="N314" s="46"/>
    </row>
    <row r="315" spans="1:14" ht="13.5" thickBot="1" x14ac:dyDescent="0.25"/>
    <row r="316" spans="1:14" x14ac:dyDescent="0.2">
      <c r="A316" s="20"/>
      <c r="B316" s="21"/>
      <c r="C316" s="21"/>
      <c r="D316" s="21"/>
      <c r="E316" s="22"/>
      <c r="F316" s="22"/>
      <c r="G316" s="22"/>
      <c r="H316" s="22"/>
      <c r="I316" s="22"/>
      <c r="J316" s="22"/>
      <c r="K316" s="22"/>
      <c r="L316" s="22"/>
      <c r="M316" s="22"/>
      <c r="N316" s="23"/>
    </row>
    <row r="317" spans="1:14" ht="15" x14ac:dyDescent="0.2">
      <c r="A317" s="24"/>
      <c r="B317" s="440" t="s">
        <v>613</v>
      </c>
      <c r="C317" s="441"/>
      <c r="D317" s="441"/>
      <c r="E317" s="441"/>
      <c r="F317" s="441"/>
      <c r="G317" s="441"/>
      <c r="H317" s="441"/>
      <c r="I317" s="441"/>
      <c r="J317" s="441"/>
      <c r="K317" s="441"/>
      <c r="L317" s="441"/>
      <c r="M317" s="442"/>
      <c r="N317" s="25" t="s">
        <v>905</v>
      </c>
    </row>
    <row r="318" spans="1:14" x14ac:dyDescent="0.2">
      <c r="A318" s="24"/>
      <c r="B318" s="26" t="s">
        <v>428</v>
      </c>
      <c r="C318" s="27" t="s">
        <v>614</v>
      </c>
      <c r="D318" s="27"/>
      <c r="E318" s="28"/>
      <c r="F318" s="28"/>
      <c r="G318" s="28"/>
      <c r="H318" s="28"/>
      <c r="I318" s="28"/>
      <c r="J318" s="28"/>
      <c r="K318" s="28"/>
      <c r="L318" s="28"/>
      <c r="M318" s="28"/>
      <c r="N318" s="29"/>
    </row>
    <row r="319" spans="1:14" x14ac:dyDescent="0.2">
      <c r="A319" s="24"/>
      <c r="B319" s="26" t="s">
        <v>429</v>
      </c>
      <c r="C319" s="27" t="s">
        <v>615</v>
      </c>
      <c r="D319" s="27"/>
      <c r="E319" s="28"/>
      <c r="F319" s="28"/>
      <c r="G319" s="28"/>
      <c r="H319" s="28"/>
      <c r="I319" s="28"/>
      <c r="J319" s="28"/>
      <c r="K319" s="28"/>
      <c r="L319" s="28"/>
      <c r="M319" s="28"/>
      <c r="N319" s="29"/>
    </row>
    <row r="320" spans="1:14" x14ac:dyDescent="0.2">
      <c r="A320" s="24"/>
      <c r="B320" s="26" t="s">
        <v>427</v>
      </c>
      <c r="C320" s="436" t="s">
        <v>1203</v>
      </c>
      <c r="D320" s="436"/>
      <c r="E320" s="436"/>
      <c r="F320" s="436"/>
      <c r="G320" s="436"/>
      <c r="H320" s="436"/>
      <c r="I320" s="436"/>
      <c r="J320" s="436"/>
      <c r="K320" s="436"/>
      <c r="L320" s="436"/>
      <c r="M320" s="436"/>
      <c r="N320" s="437"/>
    </row>
    <row r="321" spans="1:14" x14ac:dyDescent="0.2">
      <c r="A321" s="24"/>
      <c r="C321" s="436"/>
      <c r="D321" s="436"/>
      <c r="E321" s="436"/>
      <c r="F321" s="436"/>
      <c r="G321" s="436"/>
      <c r="H321" s="436"/>
      <c r="I321" s="436"/>
      <c r="J321" s="436"/>
      <c r="K321" s="436"/>
      <c r="L321" s="436"/>
      <c r="M321" s="436"/>
      <c r="N321" s="437"/>
    </row>
    <row r="322" spans="1:14" x14ac:dyDescent="0.2">
      <c r="A322" s="24"/>
      <c r="B322" s="26" t="s">
        <v>426</v>
      </c>
      <c r="C322" s="27"/>
      <c r="D322" s="27"/>
      <c r="E322" s="28"/>
      <c r="F322" s="28"/>
      <c r="G322" s="28"/>
      <c r="H322" s="27"/>
      <c r="I322" s="28"/>
      <c r="J322" s="27"/>
      <c r="K322" s="28"/>
      <c r="L322" s="28"/>
      <c r="M322" s="28"/>
      <c r="N322" s="29"/>
    </row>
    <row r="323" spans="1:14" ht="13.5" thickBot="1" x14ac:dyDescent="0.25">
      <c r="A323" s="30"/>
      <c r="B323" s="26" t="s">
        <v>430</v>
      </c>
      <c r="C323" s="31"/>
      <c r="D323" s="31"/>
      <c r="E323" s="32"/>
      <c r="F323" s="32"/>
      <c r="G323" s="32"/>
      <c r="H323" s="32"/>
      <c r="I323" s="32"/>
      <c r="J323" s="32"/>
      <c r="K323" s="32"/>
      <c r="L323" s="32"/>
      <c r="M323" s="32"/>
      <c r="N323" s="33"/>
    </row>
    <row r="324" spans="1:14" x14ac:dyDescent="0.2">
      <c r="A324" s="20"/>
      <c r="B324" s="21" t="s">
        <v>263</v>
      </c>
      <c r="C324" s="21"/>
      <c r="D324" s="21"/>
      <c r="E324" s="22"/>
      <c r="F324" s="22"/>
      <c r="G324" s="22"/>
      <c r="H324" s="22"/>
      <c r="I324" s="22"/>
      <c r="J324" s="48" t="s">
        <v>753</v>
      </c>
      <c r="K324" s="37" t="s">
        <v>758</v>
      </c>
      <c r="L324" s="37"/>
      <c r="M324" s="37"/>
      <c r="N324" s="37"/>
    </row>
    <row r="325" spans="1:14" ht="13.5" thickBot="1" x14ac:dyDescent="0.25">
      <c r="A325" s="30"/>
      <c r="B325" s="27"/>
      <c r="C325" s="31"/>
      <c r="D325" s="31"/>
      <c r="E325" s="32"/>
      <c r="F325" s="32"/>
      <c r="G325" s="32"/>
      <c r="H325" s="32"/>
      <c r="I325" s="32"/>
      <c r="J325" s="49" t="s">
        <v>481</v>
      </c>
      <c r="K325" s="40" t="s">
        <v>832</v>
      </c>
      <c r="L325" s="40" t="s">
        <v>1434</v>
      </c>
      <c r="M325" s="40" t="s">
        <v>1435</v>
      </c>
      <c r="N325" s="40"/>
    </row>
    <row r="326" spans="1:14" x14ac:dyDescent="0.2">
      <c r="A326" s="20"/>
      <c r="B326" s="434" t="s">
        <v>67</v>
      </c>
      <c r="C326" s="434"/>
      <c r="D326" s="434"/>
      <c r="E326" s="22"/>
      <c r="F326" s="22" t="s">
        <v>1180</v>
      </c>
      <c r="G326" s="22" t="s">
        <v>68</v>
      </c>
      <c r="H326" s="22" t="s">
        <v>702</v>
      </c>
      <c r="I326" s="22"/>
      <c r="J326" s="75">
        <f>92.5/O1*O2</f>
        <v>168.18181818181816</v>
      </c>
      <c r="K326" s="75">
        <f>110/O1*O2</f>
        <v>199.99999999999997</v>
      </c>
      <c r="L326" s="75">
        <f>127.6/O1*O2</f>
        <v>231.99999999999997</v>
      </c>
      <c r="M326" s="42">
        <f>136.5/O1*O2</f>
        <v>248.18181818181816</v>
      </c>
      <c r="N326" s="42"/>
    </row>
    <row r="327" spans="1:14" x14ac:dyDescent="0.2">
      <c r="A327" s="24"/>
      <c r="B327" s="435" t="s">
        <v>67</v>
      </c>
      <c r="C327" s="435"/>
      <c r="D327" s="435"/>
      <c r="E327" s="28"/>
      <c r="F327" s="28" t="s">
        <v>1181</v>
      </c>
      <c r="G327" s="28" t="s">
        <v>68</v>
      </c>
      <c r="H327" s="28" t="s">
        <v>702</v>
      </c>
      <c r="I327" s="28"/>
      <c r="J327" s="75">
        <f>55/O1*O2</f>
        <v>99.999999999999986</v>
      </c>
      <c r="K327" s="75">
        <f>63.8/O1*O2</f>
        <v>115.99999999999999</v>
      </c>
      <c r="L327" s="75">
        <f>70.5/O1*O2</f>
        <v>128.18181818181816</v>
      </c>
      <c r="M327" s="44">
        <f>75/O1*O2</f>
        <v>136.36363636363635</v>
      </c>
      <c r="N327" s="44"/>
    </row>
    <row r="328" spans="1:14" ht="13.5" thickBot="1" x14ac:dyDescent="0.25">
      <c r="A328" s="30"/>
      <c r="B328" s="443" t="s">
        <v>67</v>
      </c>
      <c r="C328" s="443"/>
      <c r="D328" s="443"/>
      <c r="E328" s="32"/>
      <c r="F328" s="32" t="s">
        <v>1182</v>
      </c>
      <c r="G328" s="32" t="s">
        <v>68</v>
      </c>
      <c r="H328" s="32" t="s">
        <v>702</v>
      </c>
      <c r="I328" s="32"/>
      <c r="J328" s="76">
        <f>42.5/O1*O2</f>
        <v>77.272727272727266</v>
      </c>
      <c r="K328" s="76">
        <f>48.5/O1*O2</f>
        <v>88.181818181818173</v>
      </c>
      <c r="L328" s="76">
        <f>52.8/O1*O2</f>
        <v>95.999999999999986</v>
      </c>
      <c r="M328" s="46">
        <f>56/O1*O2</f>
        <v>101.81818181818181</v>
      </c>
      <c r="N328" s="46"/>
    </row>
    <row r="332" spans="1:14" x14ac:dyDescent="0.2">
      <c r="A332" s="17"/>
      <c r="B332" s="17"/>
      <c r="C332" s="17"/>
      <c r="D332" s="17"/>
      <c r="E332" s="17"/>
      <c r="F332" s="17"/>
      <c r="G332" s="17"/>
      <c r="H332" s="17"/>
      <c r="I332" s="17"/>
      <c r="J332" s="17"/>
      <c r="K332" s="17"/>
      <c r="L332" s="17"/>
      <c r="M332" s="17"/>
      <c r="N332" s="17"/>
    </row>
    <row r="333" spans="1:14" ht="13.5" thickBot="1" x14ac:dyDescent="0.25">
      <c r="A333" s="17"/>
      <c r="B333" s="17"/>
      <c r="C333" s="17"/>
      <c r="D333" s="17"/>
      <c r="E333" s="17"/>
      <c r="F333" s="17"/>
      <c r="G333" s="17"/>
      <c r="H333" s="17"/>
      <c r="I333" s="17"/>
      <c r="J333" s="17"/>
      <c r="K333" s="17"/>
      <c r="L333" s="17"/>
      <c r="M333" s="17"/>
      <c r="N333" s="17"/>
    </row>
    <row r="334" spans="1:14" x14ac:dyDescent="0.2">
      <c r="A334" s="20"/>
      <c r="B334" s="21"/>
      <c r="C334" s="21"/>
      <c r="D334" s="21"/>
      <c r="E334" s="22"/>
      <c r="F334" s="22"/>
      <c r="G334" s="22"/>
      <c r="H334" s="22"/>
      <c r="I334" s="22"/>
      <c r="J334" s="22"/>
      <c r="K334" s="22"/>
      <c r="L334" s="22"/>
      <c r="M334" s="22"/>
      <c r="N334" s="23"/>
    </row>
    <row r="335" spans="1:14" ht="15" x14ac:dyDescent="0.2">
      <c r="A335" s="24"/>
      <c r="B335" s="440" t="s">
        <v>5</v>
      </c>
      <c r="C335" s="441"/>
      <c r="D335" s="441"/>
      <c r="E335" s="441"/>
      <c r="F335" s="441"/>
      <c r="G335" s="441"/>
      <c r="H335" s="441"/>
      <c r="I335" s="441"/>
      <c r="J335" s="441"/>
      <c r="K335" s="441"/>
      <c r="L335" s="441"/>
      <c r="M335" s="442"/>
      <c r="N335" s="25" t="s">
        <v>905</v>
      </c>
    </row>
    <row r="336" spans="1:14" x14ac:dyDescent="0.2">
      <c r="A336" s="24"/>
      <c r="B336" s="26" t="s">
        <v>428</v>
      </c>
      <c r="C336" s="27" t="s">
        <v>6</v>
      </c>
      <c r="D336" s="27"/>
      <c r="E336" s="28"/>
      <c r="F336" s="28"/>
      <c r="G336" s="28"/>
      <c r="H336" s="28"/>
      <c r="I336" s="28"/>
      <c r="J336" s="28"/>
      <c r="K336" s="28"/>
      <c r="L336" s="28"/>
      <c r="M336" s="28"/>
      <c r="N336" s="29"/>
    </row>
    <row r="337" spans="1:14" x14ac:dyDescent="0.2">
      <c r="A337" s="24"/>
      <c r="B337" s="26" t="s">
        <v>429</v>
      </c>
      <c r="C337" s="27" t="s">
        <v>7</v>
      </c>
      <c r="D337" s="27"/>
      <c r="E337" s="28"/>
      <c r="F337" s="28"/>
      <c r="G337" s="28"/>
      <c r="H337" s="28"/>
      <c r="I337" s="28"/>
      <c r="J337" s="28"/>
      <c r="K337" s="28"/>
      <c r="L337" s="28"/>
      <c r="M337" s="28"/>
      <c r="N337" s="29"/>
    </row>
    <row r="338" spans="1:14" x14ac:dyDescent="0.2">
      <c r="A338" s="24"/>
      <c r="B338" s="26" t="s">
        <v>427</v>
      </c>
      <c r="C338" s="436" t="s">
        <v>1133</v>
      </c>
      <c r="D338" s="436"/>
      <c r="E338" s="436"/>
      <c r="F338" s="436"/>
      <c r="G338" s="436"/>
      <c r="H338" s="436"/>
      <c r="I338" s="436"/>
      <c r="J338" s="436"/>
      <c r="K338" s="436"/>
      <c r="L338" s="436"/>
      <c r="M338" s="436"/>
      <c r="N338" s="437"/>
    </row>
    <row r="339" spans="1:14" x14ac:dyDescent="0.2">
      <c r="A339" s="24"/>
      <c r="C339" s="436"/>
      <c r="D339" s="436"/>
      <c r="E339" s="436"/>
      <c r="F339" s="436"/>
      <c r="G339" s="436"/>
      <c r="H339" s="436"/>
      <c r="I339" s="436"/>
      <c r="J339" s="436"/>
      <c r="K339" s="436"/>
      <c r="L339" s="436"/>
      <c r="M339" s="436"/>
      <c r="N339" s="437"/>
    </row>
    <row r="340" spans="1:14" x14ac:dyDescent="0.2">
      <c r="A340" s="24"/>
      <c r="B340" s="26" t="s">
        <v>426</v>
      </c>
      <c r="C340" s="27"/>
      <c r="D340" s="27"/>
      <c r="E340" s="28"/>
      <c r="F340" s="28"/>
      <c r="G340" s="28"/>
      <c r="H340" s="28"/>
      <c r="I340" s="28"/>
      <c r="J340" s="28"/>
      <c r="K340" s="28"/>
      <c r="L340" s="28"/>
      <c r="M340" s="28"/>
      <c r="N340" s="29"/>
    </row>
    <row r="341" spans="1:14" ht="13.5" thickBot="1" x14ac:dyDescent="0.25">
      <c r="A341" s="30"/>
      <c r="B341" s="47" t="s">
        <v>430</v>
      </c>
      <c r="C341" s="31" t="s">
        <v>589</v>
      </c>
      <c r="D341" s="31"/>
      <c r="E341" s="32"/>
      <c r="F341" s="32"/>
      <c r="G341" s="32"/>
      <c r="H341" s="32"/>
      <c r="I341" s="32"/>
      <c r="J341" s="32"/>
      <c r="K341" s="32"/>
      <c r="L341" s="32"/>
      <c r="M341" s="32"/>
      <c r="N341" s="33"/>
    </row>
    <row r="342" spans="1:14" x14ac:dyDescent="0.2">
      <c r="A342" s="20"/>
      <c r="B342" s="21" t="s">
        <v>263</v>
      </c>
      <c r="C342" s="21"/>
      <c r="D342" s="21"/>
      <c r="E342" s="22"/>
      <c r="F342" s="22"/>
      <c r="G342" s="22"/>
      <c r="H342" s="22"/>
      <c r="I342" s="22"/>
      <c r="J342" s="37" t="s">
        <v>94</v>
      </c>
      <c r="K342" s="37" t="s">
        <v>1855</v>
      </c>
      <c r="L342" s="227"/>
      <c r="M342" s="37" t="s">
        <v>513</v>
      </c>
      <c r="N342" s="37"/>
    </row>
    <row r="343" spans="1:14" ht="13.5" thickBot="1" x14ac:dyDescent="0.25">
      <c r="A343" s="30"/>
      <c r="B343" s="31"/>
      <c r="C343" s="31"/>
      <c r="D343" s="31"/>
      <c r="E343" s="32"/>
      <c r="F343" s="32"/>
      <c r="G343" s="32"/>
      <c r="H343" s="32"/>
      <c r="I343" s="32"/>
      <c r="J343" s="40" t="s">
        <v>76</v>
      </c>
      <c r="K343" s="83" t="s">
        <v>77</v>
      </c>
      <c r="L343" s="40" t="s">
        <v>753</v>
      </c>
      <c r="M343" s="40" t="s">
        <v>612</v>
      </c>
      <c r="N343" s="40" t="s">
        <v>514</v>
      </c>
    </row>
    <row r="344" spans="1:14" x14ac:dyDescent="0.2">
      <c r="A344" s="20"/>
      <c r="B344" s="434" t="s">
        <v>67</v>
      </c>
      <c r="C344" s="434"/>
      <c r="D344" s="434"/>
      <c r="E344" s="22"/>
      <c r="F344" s="22" t="s">
        <v>1180</v>
      </c>
      <c r="G344" s="22" t="s">
        <v>68</v>
      </c>
      <c r="H344" s="22" t="s">
        <v>702</v>
      </c>
      <c r="I344" s="22"/>
      <c r="J344" s="74">
        <f>70/O1*O2</f>
        <v>127.27272727272727</v>
      </c>
      <c r="K344" s="74">
        <f>78/O1*O2</f>
        <v>141.81818181818181</v>
      </c>
      <c r="L344" s="74">
        <f>82/O1*O2</f>
        <v>149.09090909090907</v>
      </c>
      <c r="M344" s="74">
        <f>95/O1*O2</f>
        <v>172.72727272727272</v>
      </c>
      <c r="N344" s="74">
        <f>66/O1*O2</f>
        <v>119.99999999999999</v>
      </c>
    </row>
    <row r="345" spans="1:14" x14ac:dyDescent="0.2">
      <c r="A345" s="24"/>
      <c r="B345" s="435" t="s">
        <v>67</v>
      </c>
      <c r="C345" s="435"/>
      <c r="D345" s="435"/>
      <c r="E345" s="28"/>
      <c r="F345" s="28" t="s">
        <v>1181</v>
      </c>
      <c r="G345" s="28" t="s">
        <v>68</v>
      </c>
      <c r="H345" s="28" t="s">
        <v>702</v>
      </c>
      <c r="I345" s="28"/>
      <c r="J345" s="75">
        <f>37/O1*O2</f>
        <v>67.272727272727266</v>
      </c>
      <c r="K345" s="75">
        <f>41/O1*O2</f>
        <v>74.545454545454533</v>
      </c>
      <c r="L345" s="75">
        <f>43/O1*O2</f>
        <v>78.181818181818173</v>
      </c>
      <c r="M345" s="75">
        <f>49.5/O1*O2</f>
        <v>89.999999999999986</v>
      </c>
      <c r="N345" s="75">
        <f>35/O1*O2</f>
        <v>63.636363636363633</v>
      </c>
    </row>
    <row r="346" spans="1:14" x14ac:dyDescent="0.2">
      <c r="A346" s="24"/>
      <c r="B346" s="435" t="s">
        <v>67</v>
      </c>
      <c r="C346" s="435"/>
      <c r="D346" s="435"/>
      <c r="E346" s="28"/>
      <c r="F346" s="28" t="s">
        <v>1182</v>
      </c>
      <c r="G346" s="28" t="s">
        <v>68</v>
      </c>
      <c r="H346" s="28" t="s">
        <v>702</v>
      </c>
      <c r="I346" s="28"/>
      <c r="J346" s="75">
        <f>30/O1*O2</f>
        <v>54.54545454545454</v>
      </c>
      <c r="K346" s="75">
        <f>33/O1*O2</f>
        <v>59.999999999999993</v>
      </c>
      <c r="L346" s="75">
        <f>34.5/O1*O2</f>
        <v>62.72727272727272</v>
      </c>
      <c r="M346" s="75">
        <f>39/O1*O2</f>
        <v>70.909090909090907</v>
      </c>
      <c r="N346" s="75">
        <f>28.6/O1*O2</f>
        <v>52</v>
      </c>
    </row>
    <row r="347" spans="1:14" ht="13.5" thickBot="1" x14ac:dyDescent="0.25">
      <c r="A347" s="30"/>
      <c r="B347" s="443" t="s">
        <v>902</v>
      </c>
      <c r="C347" s="443"/>
      <c r="D347" s="443"/>
      <c r="E347" s="32"/>
      <c r="F347" s="32"/>
      <c r="G347" s="32"/>
      <c r="H347" s="32" t="s">
        <v>702</v>
      </c>
      <c r="I347" s="32"/>
      <c r="J347" s="76">
        <f>11/O1*O2</f>
        <v>20</v>
      </c>
      <c r="K347" s="76">
        <f>11/O1*O2</f>
        <v>20</v>
      </c>
      <c r="L347" s="76">
        <f>11/O1*O2</f>
        <v>20</v>
      </c>
      <c r="M347" s="76">
        <f>11/O1*O2</f>
        <v>20</v>
      </c>
      <c r="N347" s="76">
        <f>11/O1*O2</f>
        <v>20</v>
      </c>
    </row>
    <row r="348" spans="1:14" ht="13.5" thickBot="1" x14ac:dyDescent="0.25">
      <c r="A348" s="17"/>
      <c r="B348" s="17"/>
      <c r="C348" s="17"/>
      <c r="D348" s="17"/>
      <c r="E348" s="17"/>
      <c r="F348" s="17"/>
      <c r="G348" s="17"/>
      <c r="H348" s="17"/>
      <c r="I348" s="17"/>
      <c r="J348" s="17"/>
      <c r="K348" s="17"/>
      <c r="L348" s="17"/>
      <c r="M348" s="17"/>
      <c r="N348" s="17"/>
    </row>
    <row r="349" spans="1:14" x14ac:dyDescent="0.2">
      <c r="A349" s="20"/>
      <c r="B349" s="21"/>
      <c r="C349" s="21"/>
      <c r="D349" s="21"/>
      <c r="E349" s="22"/>
      <c r="F349" s="22"/>
      <c r="G349" s="22"/>
      <c r="H349" s="22"/>
      <c r="I349" s="22"/>
      <c r="J349" s="22"/>
      <c r="K349" s="22"/>
      <c r="L349" s="22"/>
      <c r="M349" s="22"/>
      <c r="N349" s="23"/>
    </row>
    <row r="350" spans="1:14" ht="15" x14ac:dyDescent="0.2">
      <c r="A350" s="24"/>
      <c r="B350" s="440" t="s">
        <v>903</v>
      </c>
      <c r="C350" s="441"/>
      <c r="D350" s="441"/>
      <c r="E350" s="441"/>
      <c r="F350" s="441"/>
      <c r="G350" s="441"/>
      <c r="H350" s="441"/>
      <c r="I350" s="441"/>
      <c r="J350" s="441"/>
      <c r="K350" s="441"/>
      <c r="L350" s="441"/>
      <c r="M350" s="442"/>
      <c r="N350" s="25" t="s">
        <v>905</v>
      </c>
    </row>
    <row r="351" spans="1:14" x14ac:dyDescent="0.2">
      <c r="A351" s="24"/>
      <c r="B351" s="26" t="s">
        <v>428</v>
      </c>
      <c r="C351" s="27" t="s">
        <v>906</v>
      </c>
      <c r="D351" s="27"/>
      <c r="E351" s="28"/>
      <c r="F351" s="28"/>
      <c r="G351" s="28"/>
      <c r="H351" s="28"/>
      <c r="I351" s="28"/>
      <c r="J351" s="28"/>
      <c r="K351" s="28"/>
      <c r="L351" s="28"/>
      <c r="M351" s="28"/>
      <c r="N351" s="29"/>
    </row>
    <row r="352" spans="1:14" x14ac:dyDescent="0.2">
      <c r="A352" s="24"/>
      <c r="B352" s="26" t="s">
        <v>429</v>
      </c>
      <c r="C352" s="27" t="s">
        <v>1360</v>
      </c>
      <c r="D352" s="27"/>
      <c r="E352" s="28"/>
      <c r="F352" s="28"/>
      <c r="G352" s="28"/>
      <c r="H352" s="28"/>
      <c r="I352" s="28"/>
      <c r="J352" s="28"/>
      <c r="K352" s="28"/>
      <c r="L352" s="28"/>
      <c r="M352" s="28"/>
      <c r="N352" s="29"/>
    </row>
    <row r="353" spans="1:14" x14ac:dyDescent="0.2">
      <c r="A353" s="24"/>
      <c r="B353" s="26" t="s">
        <v>427</v>
      </c>
      <c r="C353" s="436" t="s">
        <v>1134</v>
      </c>
      <c r="D353" s="436"/>
      <c r="E353" s="436"/>
      <c r="F353" s="436"/>
      <c r="G353" s="436"/>
      <c r="H353" s="436"/>
      <c r="I353" s="436"/>
      <c r="J353" s="436"/>
      <c r="K353" s="436"/>
      <c r="L353" s="436"/>
      <c r="M353" s="436"/>
      <c r="N353" s="437"/>
    </row>
    <row r="354" spans="1:14" x14ac:dyDescent="0.2">
      <c r="A354" s="24"/>
      <c r="B354" s="26"/>
      <c r="C354" s="436"/>
      <c r="D354" s="436"/>
      <c r="E354" s="436"/>
      <c r="F354" s="436"/>
      <c r="G354" s="436"/>
      <c r="H354" s="436"/>
      <c r="I354" s="436"/>
      <c r="J354" s="436"/>
      <c r="K354" s="436"/>
      <c r="L354" s="436"/>
      <c r="M354" s="436"/>
      <c r="N354" s="437"/>
    </row>
    <row r="355" spans="1:14" x14ac:dyDescent="0.2">
      <c r="A355" s="24"/>
      <c r="B355" s="26"/>
      <c r="C355" s="436"/>
      <c r="D355" s="436"/>
      <c r="E355" s="436"/>
      <c r="F355" s="436"/>
      <c r="G355" s="436"/>
      <c r="H355" s="436"/>
      <c r="I355" s="436"/>
      <c r="J355" s="436"/>
      <c r="K355" s="436"/>
      <c r="L355" s="436"/>
      <c r="M355" s="436"/>
      <c r="N355" s="437"/>
    </row>
    <row r="356" spans="1:14" x14ac:dyDescent="0.2">
      <c r="A356" s="24"/>
      <c r="B356" s="26"/>
      <c r="C356" s="436"/>
      <c r="D356" s="436"/>
      <c r="E356" s="436"/>
      <c r="F356" s="436"/>
      <c r="G356" s="436"/>
      <c r="H356" s="436"/>
      <c r="I356" s="436"/>
      <c r="J356" s="436"/>
      <c r="K356" s="436"/>
      <c r="L356" s="436"/>
      <c r="M356" s="436"/>
      <c r="N356" s="437"/>
    </row>
    <row r="357" spans="1:14" x14ac:dyDescent="0.2">
      <c r="A357" s="24"/>
      <c r="B357" s="26"/>
      <c r="C357" s="436"/>
      <c r="D357" s="436"/>
      <c r="E357" s="436"/>
      <c r="F357" s="436"/>
      <c r="G357" s="436"/>
      <c r="H357" s="436"/>
      <c r="I357" s="436"/>
      <c r="J357" s="436"/>
      <c r="K357" s="436"/>
      <c r="L357" s="436"/>
      <c r="M357" s="436"/>
      <c r="N357" s="437"/>
    </row>
    <row r="358" spans="1:14" x14ac:dyDescent="0.2">
      <c r="A358" s="24"/>
      <c r="C358" s="436"/>
      <c r="D358" s="436"/>
      <c r="E358" s="436"/>
      <c r="F358" s="436"/>
      <c r="G358" s="436"/>
      <c r="H358" s="436"/>
      <c r="I358" s="436"/>
      <c r="J358" s="436"/>
      <c r="K358" s="436"/>
      <c r="L358" s="436"/>
      <c r="M358" s="436"/>
      <c r="N358" s="437"/>
    </row>
    <row r="359" spans="1:14" x14ac:dyDescent="0.2">
      <c r="A359" s="24"/>
      <c r="B359" s="26" t="s">
        <v>426</v>
      </c>
      <c r="C359" s="27" t="s">
        <v>1357</v>
      </c>
      <c r="D359" s="27"/>
      <c r="E359" s="28"/>
      <c r="F359" s="28"/>
      <c r="G359" s="28"/>
      <c r="H359" s="28"/>
      <c r="I359" s="28"/>
      <c r="J359" s="28"/>
      <c r="K359" s="28"/>
      <c r="L359" s="28"/>
      <c r="M359" s="28"/>
      <c r="N359" s="29"/>
    </row>
    <row r="360" spans="1:14" ht="13.5" thickBot="1" x14ac:dyDescent="0.25">
      <c r="A360" s="30"/>
      <c r="B360" s="47" t="s">
        <v>430</v>
      </c>
      <c r="C360" s="31"/>
      <c r="D360" s="31"/>
      <c r="E360" s="32"/>
      <c r="F360" s="32"/>
      <c r="G360" s="32"/>
      <c r="H360" s="32"/>
      <c r="I360" s="32"/>
      <c r="J360" s="32"/>
      <c r="K360" s="32"/>
      <c r="L360" s="32"/>
      <c r="M360" s="32"/>
      <c r="N360" s="33"/>
    </row>
    <row r="361" spans="1:14" ht="13.5" thickBot="1" x14ac:dyDescent="0.25">
      <c r="A361" s="20"/>
      <c r="B361" s="21" t="s">
        <v>263</v>
      </c>
      <c r="C361" s="21"/>
      <c r="D361" s="21"/>
      <c r="E361" s="22"/>
      <c r="F361" s="22"/>
      <c r="G361" s="22"/>
      <c r="H361" s="22"/>
      <c r="I361" s="22"/>
      <c r="J361" s="51" t="s">
        <v>907</v>
      </c>
      <c r="K361" s="37" t="s">
        <v>753</v>
      </c>
      <c r="L361" s="37" t="s">
        <v>206</v>
      </c>
      <c r="M361" s="37"/>
      <c r="N361" s="37"/>
    </row>
    <row r="362" spans="1:14" x14ac:dyDescent="0.2">
      <c r="A362" s="20"/>
      <c r="B362" s="434" t="s">
        <v>67</v>
      </c>
      <c r="C362" s="434"/>
      <c r="D362" s="434"/>
      <c r="E362" s="22"/>
      <c r="F362" s="22" t="s">
        <v>1180</v>
      </c>
      <c r="G362" s="22" t="s">
        <v>68</v>
      </c>
      <c r="H362" s="22" t="s">
        <v>702</v>
      </c>
      <c r="I362" s="22"/>
      <c r="J362" s="74">
        <f>79/O1*O2</f>
        <v>143.63636363636363</v>
      </c>
      <c r="K362" s="74">
        <f>103/O1*O2</f>
        <v>187.27272727272725</v>
      </c>
      <c r="L362" s="74">
        <f>111/O1*O2</f>
        <v>201.81818181818181</v>
      </c>
      <c r="M362" s="42"/>
      <c r="N362" s="42"/>
    </row>
    <row r="363" spans="1:14" x14ac:dyDescent="0.2">
      <c r="A363" s="24"/>
      <c r="B363" s="435" t="s">
        <v>67</v>
      </c>
      <c r="C363" s="435"/>
      <c r="D363" s="435"/>
      <c r="E363" s="28"/>
      <c r="F363" s="28" t="s">
        <v>1181</v>
      </c>
      <c r="G363" s="28" t="s">
        <v>68</v>
      </c>
      <c r="H363" s="28" t="s">
        <v>702</v>
      </c>
      <c r="I363" s="28"/>
      <c r="J363" s="75">
        <f>42/O1*O2</f>
        <v>76.36363636363636</v>
      </c>
      <c r="K363" s="75">
        <f>55.5/O1*O2</f>
        <v>100.90909090909091</v>
      </c>
      <c r="L363" s="75">
        <f>62/O1*O2</f>
        <v>112.72727272727272</v>
      </c>
      <c r="M363" s="44"/>
      <c r="N363" s="44"/>
    </row>
    <row r="364" spans="1:14" ht="13.5" thickBot="1" x14ac:dyDescent="0.25">
      <c r="A364" s="30"/>
      <c r="B364" s="31" t="s">
        <v>67</v>
      </c>
      <c r="C364" s="31"/>
      <c r="D364" s="31"/>
      <c r="E364" s="32"/>
      <c r="F364" s="32" t="s">
        <v>1182</v>
      </c>
      <c r="G364" s="32" t="s">
        <v>68</v>
      </c>
      <c r="H364" s="32" t="s">
        <v>702</v>
      </c>
      <c r="I364" s="32"/>
      <c r="J364" s="76">
        <f>33.5/O1*O2</f>
        <v>60.909090909090907</v>
      </c>
      <c r="K364" s="76">
        <f>42.5/O1*O2</f>
        <v>77.272727272727266</v>
      </c>
      <c r="L364" s="76">
        <f>46.66/O1*O2</f>
        <v>84.836363636363629</v>
      </c>
      <c r="M364" s="46"/>
      <c r="N364" s="46"/>
    </row>
    <row r="365" spans="1:14" x14ac:dyDescent="0.2">
      <c r="A365" s="17"/>
      <c r="B365" s="17"/>
      <c r="C365" s="17"/>
      <c r="D365" s="17"/>
      <c r="E365" s="17"/>
      <c r="F365" s="17"/>
      <c r="G365" s="17"/>
      <c r="H365" s="17"/>
      <c r="I365" s="17"/>
      <c r="J365" s="17"/>
      <c r="K365" s="17"/>
      <c r="L365" s="17"/>
      <c r="M365" s="17"/>
      <c r="N365" s="17"/>
    </row>
    <row r="366" spans="1:14" x14ac:dyDescent="0.2">
      <c r="A366" s="17"/>
      <c r="B366" s="17"/>
      <c r="C366" s="17"/>
      <c r="D366" s="17"/>
      <c r="E366" s="17"/>
      <c r="F366" s="17"/>
      <c r="G366" s="17"/>
      <c r="H366" s="17"/>
      <c r="I366" s="17"/>
      <c r="J366" s="17"/>
      <c r="K366" s="17"/>
      <c r="L366" s="17"/>
      <c r="M366" s="17"/>
      <c r="N366" s="17"/>
    </row>
    <row r="367" spans="1:14" x14ac:dyDescent="0.2">
      <c r="A367" s="17"/>
      <c r="B367" s="17"/>
      <c r="C367" s="17"/>
      <c r="D367" s="17"/>
      <c r="E367" s="17"/>
      <c r="F367" s="17"/>
      <c r="G367" s="17"/>
      <c r="H367" s="17"/>
      <c r="I367" s="17"/>
      <c r="J367" s="17"/>
      <c r="K367" s="17"/>
      <c r="L367" s="17"/>
      <c r="M367" s="17"/>
      <c r="N367" s="17"/>
    </row>
    <row r="368" spans="1:14" x14ac:dyDescent="0.2">
      <c r="A368" s="17"/>
      <c r="B368" s="17"/>
      <c r="C368" s="17"/>
      <c r="D368" s="17"/>
      <c r="E368" s="17"/>
      <c r="F368" s="17"/>
      <c r="G368" s="17"/>
      <c r="H368" s="17"/>
      <c r="I368" s="17"/>
      <c r="J368" s="17"/>
      <c r="K368" s="17"/>
      <c r="L368" s="17"/>
      <c r="M368" s="17"/>
      <c r="N368" s="17"/>
    </row>
    <row r="371" spans="1:14" x14ac:dyDescent="0.2">
      <c r="A371" s="17"/>
      <c r="B371" s="17"/>
      <c r="C371" s="17"/>
      <c r="D371" s="17"/>
      <c r="E371" s="17"/>
      <c r="F371" s="17"/>
      <c r="G371" s="17"/>
      <c r="H371" s="17"/>
      <c r="I371" s="17"/>
      <c r="J371" s="17"/>
      <c r="K371" s="17"/>
      <c r="L371" s="17"/>
      <c r="M371" s="17"/>
      <c r="N371" s="17"/>
    </row>
    <row r="372" spans="1:14" ht="13.5" thickBot="1" x14ac:dyDescent="0.25">
      <c r="A372" s="17"/>
      <c r="B372" s="17"/>
      <c r="C372" s="17"/>
      <c r="D372" s="17"/>
      <c r="E372" s="17"/>
      <c r="F372" s="17"/>
      <c r="G372" s="17"/>
      <c r="H372" s="17"/>
      <c r="I372" s="17"/>
      <c r="J372" s="17"/>
      <c r="K372" s="17"/>
      <c r="L372" s="17"/>
      <c r="M372" s="17"/>
      <c r="N372" s="17"/>
    </row>
    <row r="373" spans="1:14" x14ac:dyDescent="0.2">
      <c r="A373" s="20"/>
      <c r="B373" s="21"/>
      <c r="C373" s="21"/>
      <c r="D373" s="21"/>
      <c r="E373" s="22"/>
      <c r="F373" s="22"/>
      <c r="G373" s="22"/>
      <c r="H373" s="22"/>
      <c r="I373" s="22"/>
      <c r="J373" s="22"/>
      <c r="K373" s="22"/>
      <c r="L373" s="22"/>
      <c r="M373" s="22"/>
      <c r="N373" s="23"/>
    </row>
    <row r="374" spans="1:14" ht="15" x14ac:dyDescent="0.2">
      <c r="A374" s="24"/>
      <c r="B374" s="440" t="s">
        <v>515</v>
      </c>
      <c r="C374" s="441"/>
      <c r="D374" s="441"/>
      <c r="E374" s="441"/>
      <c r="F374" s="441"/>
      <c r="G374" s="441"/>
      <c r="H374" s="441"/>
      <c r="I374" s="441"/>
      <c r="J374" s="441"/>
      <c r="K374" s="441"/>
      <c r="L374" s="441"/>
      <c r="M374" s="442"/>
      <c r="N374" s="25" t="s">
        <v>905</v>
      </c>
    </row>
    <row r="375" spans="1:14" x14ac:dyDescent="0.2">
      <c r="A375" s="24"/>
      <c r="B375" s="26" t="s">
        <v>428</v>
      </c>
      <c r="C375" s="27" t="s">
        <v>516</v>
      </c>
      <c r="D375" s="27"/>
      <c r="E375" s="28"/>
      <c r="F375" s="28"/>
      <c r="G375" s="28"/>
      <c r="H375" s="28"/>
      <c r="I375" s="28"/>
      <c r="J375" s="28"/>
      <c r="K375" s="28"/>
      <c r="L375" s="28"/>
      <c r="M375" s="28"/>
      <c r="N375" s="29"/>
    </row>
    <row r="376" spans="1:14" x14ac:dyDescent="0.2">
      <c r="A376" s="24"/>
      <c r="B376" s="26" t="s">
        <v>429</v>
      </c>
      <c r="C376" s="27" t="s">
        <v>517</v>
      </c>
      <c r="D376" s="27"/>
      <c r="E376" s="28"/>
      <c r="F376" s="28"/>
      <c r="G376" s="28"/>
      <c r="H376" s="28"/>
      <c r="I376" s="28"/>
      <c r="J376" s="28"/>
      <c r="K376" s="28"/>
      <c r="L376" s="28"/>
      <c r="M376" s="28"/>
      <c r="N376" s="29"/>
    </row>
    <row r="377" spans="1:14" x14ac:dyDescent="0.2">
      <c r="A377" s="24"/>
      <c r="B377" s="26" t="s">
        <v>427</v>
      </c>
      <c r="C377" s="436" t="s">
        <v>1135</v>
      </c>
      <c r="D377" s="436"/>
      <c r="E377" s="436"/>
      <c r="F377" s="436"/>
      <c r="G377" s="436"/>
      <c r="H377" s="436"/>
      <c r="I377" s="436"/>
      <c r="J377" s="436"/>
      <c r="K377" s="436"/>
      <c r="L377" s="436"/>
      <c r="M377" s="436"/>
      <c r="N377" s="437"/>
    </row>
    <row r="378" spans="1:14" x14ac:dyDescent="0.2">
      <c r="A378" s="24"/>
      <c r="C378" s="436"/>
      <c r="D378" s="436"/>
      <c r="E378" s="436"/>
      <c r="F378" s="436"/>
      <c r="G378" s="436"/>
      <c r="H378" s="436"/>
      <c r="I378" s="436"/>
      <c r="J378" s="436"/>
      <c r="K378" s="436"/>
      <c r="L378" s="436"/>
      <c r="M378" s="436"/>
      <c r="N378" s="437"/>
    </row>
    <row r="379" spans="1:14" x14ac:dyDescent="0.2">
      <c r="A379" s="24"/>
      <c r="B379" s="26" t="s">
        <v>426</v>
      </c>
      <c r="C379" s="27" t="s">
        <v>1361</v>
      </c>
      <c r="D379" s="27"/>
      <c r="E379" s="28"/>
      <c r="F379" s="28"/>
      <c r="G379" s="28"/>
      <c r="H379" s="28"/>
      <c r="I379" s="28"/>
      <c r="J379" s="28"/>
      <c r="K379" s="28"/>
      <c r="L379" s="28"/>
      <c r="M379" s="28"/>
      <c r="N379" s="29"/>
    </row>
    <row r="380" spans="1:14" ht="13.5" thickBot="1" x14ac:dyDescent="0.25">
      <c r="A380" s="30"/>
      <c r="B380" s="47" t="s">
        <v>430</v>
      </c>
      <c r="C380" s="31"/>
      <c r="D380" s="31"/>
      <c r="E380" s="32"/>
      <c r="F380" s="32"/>
      <c r="G380" s="32"/>
      <c r="H380" s="32"/>
      <c r="I380" s="32"/>
      <c r="J380" s="32"/>
      <c r="K380" s="32"/>
      <c r="L380" s="32"/>
      <c r="M380" s="32"/>
      <c r="N380" s="33"/>
    </row>
    <row r="381" spans="1:14" x14ac:dyDescent="0.2">
      <c r="A381" s="20"/>
      <c r="B381" s="21" t="s">
        <v>263</v>
      </c>
      <c r="C381" s="21"/>
      <c r="D381" s="21"/>
      <c r="E381" s="22"/>
      <c r="F381" s="22"/>
      <c r="G381" s="22"/>
      <c r="H381" s="22"/>
      <c r="I381" s="23"/>
      <c r="J381" s="37" t="s">
        <v>909</v>
      </c>
      <c r="K381" s="37" t="s">
        <v>1753</v>
      </c>
      <c r="L381" s="37"/>
      <c r="M381" s="37"/>
      <c r="N381" s="37"/>
    </row>
    <row r="382" spans="1:14" ht="13.5" thickBot="1" x14ac:dyDescent="0.25">
      <c r="A382" s="24"/>
      <c r="B382" s="80"/>
      <c r="C382" s="31"/>
      <c r="D382" s="31"/>
      <c r="E382" s="32"/>
      <c r="F382" s="32"/>
      <c r="G382" s="32"/>
      <c r="H382" s="32"/>
      <c r="I382" s="32"/>
      <c r="J382" s="40" t="s">
        <v>1435</v>
      </c>
      <c r="K382" s="40" t="s">
        <v>612</v>
      </c>
      <c r="L382" s="40"/>
      <c r="M382" s="40"/>
      <c r="N382" s="40"/>
    </row>
    <row r="383" spans="1:14" x14ac:dyDescent="0.2">
      <c r="A383" s="20"/>
      <c r="B383" s="435" t="s">
        <v>67</v>
      </c>
      <c r="C383" s="435"/>
      <c r="D383" s="435"/>
      <c r="E383" s="28"/>
      <c r="F383" s="28" t="s">
        <v>1180</v>
      </c>
      <c r="G383" s="28" t="s">
        <v>68</v>
      </c>
      <c r="H383" s="28" t="s">
        <v>702</v>
      </c>
      <c r="I383" s="28"/>
      <c r="J383" s="75">
        <f>65/O1*O2</f>
        <v>118.18181818181817</v>
      </c>
      <c r="K383" s="75">
        <f>95/O1*O2</f>
        <v>172.72727272727272</v>
      </c>
      <c r="L383" s="57"/>
      <c r="M383" s="44"/>
      <c r="N383" s="44"/>
    </row>
    <row r="384" spans="1:14" x14ac:dyDescent="0.2">
      <c r="A384" s="24"/>
      <c r="B384" s="435" t="s">
        <v>67</v>
      </c>
      <c r="C384" s="435"/>
      <c r="D384" s="435"/>
      <c r="E384" s="28"/>
      <c r="F384" s="28" t="s">
        <v>1181</v>
      </c>
      <c r="G384" s="28" t="s">
        <v>68</v>
      </c>
      <c r="H384" s="28" t="s">
        <v>702</v>
      </c>
      <c r="I384" s="28"/>
      <c r="J384" s="75">
        <f>39.5/O1*O2</f>
        <v>71.818181818181813</v>
      </c>
      <c r="K384" s="75">
        <f>53/O1*O2</f>
        <v>96.36363636363636</v>
      </c>
      <c r="L384" s="44"/>
      <c r="M384" s="44"/>
      <c r="N384" s="44"/>
    </row>
    <row r="385" spans="1:14" x14ac:dyDescent="0.2">
      <c r="A385" s="24"/>
      <c r="B385" s="435" t="s">
        <v>67</v>
      </c>
      <c r="C385" s="435"/>
      <c r="D385" s="435"/>
      <c r="E385" s="28"/>
      <c r="F385" s="28" t="s">
        <v>1182</v>
      </c>
      <c r="G385" s="28" t="s">
        <v>68</v>
      </c>
      <c r="H385" s="28" t="s">
        <v>702</v>
      </c>
      <c r="I385" s="28"/>
      <c r="J385" s="75">
        <f>30.5/O1*O2</f>
        <v>55.454545454545453</v>
      </c>
      <c r="K385" s="75">
        <f>41/O1*O2</f>
        <v>74.545454545454533</v>
      </c>
      <c r="L385" s="44"/>
      <c r="M385" s="44"/>
      <c r="N385" s="44"/>
    </row>
    <row r="386" spans="1:14" x14ac:dyDescent="0.2">
      <c r="A386" s="24"/>
      <c r="B386" s="27" t="s">
        <v>67</v>
      </c>
      <c r="C386" s="27"/>
      <c r="D386" s="27"/>
      <c r="E386" s="28"/>
      <c r="F386" s="28" t="s">
        <v>257</v>
      </c>
      <c r="G386" s="28" t="s">
        <v>68</v>
      </c>
      <c r="H386" s="28" t="s">
        <v>702</v>
      </c>
      <c r="I386" s="28"/>
      <c r="J386" s="75">
        <f>26.5/O1*O2</f>
        <v>48.18181818181818</v>
      </c>
      <c r="K386" s="75">
        <f>34/O1*O2</f>
        <v>61.818181818181813</v>
      </c>
      <c r="L386" s="44"/>
      <c r="M386" s="44"/>
      <c r="N386" s="44"/>
    </row>
    <row r="387" spans="1:14" ht="13.5" thickBot="1" x14ac:dyDescent="0.25">
      <c r="A387" s="30"/>
      <c r="B387" s="443"/>
      <c r="C387" s="443"/>
      <c r="D387" s="443"/>
      <c r="E387" s="32"/>
      <c r="F387" s="32"/>
      <c r="G387" s="32"/>
      <c r="H387" s="32"/>
      <c r="I387" s="32"/>
      <c r="J387" s="76"/>
      <c r="K387" s="76"/>
      <c r="L387" s="46"/>
      <c r="M387" s="46"/>
      <c r="N387" s="46"/>
    </row>
    <row r="388" spans="1:14" ht="13.5" thickBot="1" x14ac:dyDescent="0.25">
      <c r="A388" s="17"/>
      <c r="B388" s="17"/>
      <c r="C388" s="17"/>
      <c r="D388" s="17"/>
      <c r="E388" s="17"/>
      <c r="F388" s="17"/>
      <c r="G388" s="17"/>
      <c r="H388" s="17"/>
      <c r="I388" s="17"/>
      <c r="J388" s="17"/>
      <c r="K388" s="17"/>
      <c r="L388" s="17"/>
      <c r="M388" s="17"/>
      <c r="N388" s="17"/>
    </row>
    <row r="389" spans="1:14" x14ac:dyDescent="0.2">
      <c r="A389" s="20"/>
      <c r="B389" s="21"/>
      <c r="C389" s="21"/>
      <c r="D389" s="21"/>
      <c r="E389" s="22"/>
      <c r="F389" s="22"/>
      <c r="G389" s="22"/>
      <c r="H389" s="22"/>
      <c r="I389" s="22"/>
      <c r="J389" s="22"/>
      <c r="K389" s="22"/>
      <c r="L389" s="22"/>
      <c r="M389" s="22"/>
      <c r="N389" s="23"/>
    </row>
    <row r="390" spans="1:14" ht="15" x14ac:dyDescent="0.2">
      <c r="A390" s="24"/>
      <c r="B390" s="440" t="s">
        <v>92</v>
      </c>
      <c r="C390" s="441"/>
      <c r="D390" s="441"/>
      <c r="E390" s="441"/>
      <c r="F390" s="441"/>
      <c r="G390" s="441"/>
      <c r="H390" s="441"/>
      <c r="I390" s="441"/>
      <c r="J390" s="441"/>
      <c r="K390" s="441"/>
      <c r="L390" s="441"/>
      <c r="M390" s="442"/>
      <c r="N390" s="25" t="s">
        <v>905</v>
      </c>
    </row>
    <row r="391" spans="1:14" x14ac:dyDescent="0.2">
      <c r="A391" s="24"/>
      <c r="B391" s="26" t="s">
        <v>428</v>
      </c>
      <c r="C391" s="27" t="s">
        <v>366</v>
      </c>
      <c r="D391" s="27"/>
      <c r="E391" s="28"/>
      <c r="F391" s="28"/>
      <c r="G391" s="28"/>
      <c r="H391" s="28"/>
      <c r="I391" s="28"/>
      <c r="J391" s="28"/>
      <c r="K391" s="28"/>
      <c r="L391" s="28"/>
      <c r="M391" s="28"/>
      <c r="N391" s="29"/>
    </row>
    <row r="392" spans="1:14" x14ac:dyDescent="0.2">
      <c r="A392" s="24"/>
      <c r="B392" s="26" t="s">
        <v>429</v>
      </c>
      <c r="C392" s="27" t="s">
        <v>93</v>
      </c>
      <c r="D392" s="27"/>
      <c r="E392" s="28"/>
      <c r="F392" s="28"/>
      <c r="G392" s="28"/>
      <c r="H392" s="28"/>
      <c r="I392" s="28"/>
      <c r="J392" s="28"/>
      <c r="K392" s="28"/>
      <c r="L392" s="28"/>
      <c r="M392" s="28"/>
      <c r="N392" s="29"/>
    </row>
    <row r="393" spans="1:14" x14ac:dyDescent="0.2">
      <c r="A393" s="24"/>
      <c r="B393" s="26" t="s">
        <v>427</v>
      </c>
      <c r="C393" s="436" t="s">
        <v>1136</v>
      </c>
      <c r="D393" s="436"/>
      <c r="E393" s="436"/>
      <c r="F393" s="436"/>
      <c r="G393" s="436"/>
      <c r="H393" s="436"/>
      <c r="I393" s="436"/>
      <c r="J393" s="436"/>
      <c r="K393" s="436"/>
      <c r="L393" s="436"/>
      <c r="M393" s="436"/>
      <c r="N393" s="437"/>
    </row>
    <row r="394" spans="1:14" x14ac:dyDescent="0.2">
      <c r="A394" s="24"/>
      <c r="B394" s="26"/>
      <c r="C394" s="436"/>
      <c r="D394" s="436"/>
      <c r="E394" s="436"/>
      <c r="F394" s="436"/>
      <c r="G394" s="436"/>
      <c r="H394" s="436"/>
      <c r="I394" s="436"/>
      <c r="J394" s="436"/>
      <c r="K394" s="436"/>
      <c r="L394" s="436"/>
      <c r="M394" s="436"/>
      <c r="N394" s="437"/>
    </row>
    <row r="395" spans="1:14" x14ac:dyDescent="0.2">
      <c r="A395" s="24"/>
      <c r="B395" s="26"/>
      <c r="C395" s="436"/>
      <c r="D395" s="436"/>
      <c r="E395" s="436"/>
      <c r="F395" s="436"/>
      <c r="G395" s="436"/>
      <c r="H395" s="436"/>
      <c r="I395" s="436"/>
      <c r="J395" s="436"/>
      <c r="K395" s="436"/>
      <c r="L395" s="436"/>
      <c r="M395" s="436"/>
      <c r="N395" s="437"/>
    </row>
    <row r="396" spans="1:14" x14ac:dyDescent="0.2">
      <c r="A396" s="24"/>
      <c r="C396" s="436"/>
      <c r="D396" s="436"/>
      <c r="E396" s="436"/>
      <c r="F396" s="436"/>
      <c r="G396" s="436"/>
      <c r="H396" s="436"/>
      <c r="I396" s="436"/>
      <c r="J396" s="436"/>
      <c r="K396" s="436"/>
      <c r="L396" s="436"/>
      <c r="M396" s="436"/>
      <c r="N396" s="437"/>
    </row>
    <row r="397" spans="1:14" x14ac:dyDescent="0.2">
      <c r="A397" s="24"/>
      <c r="B397" s="26" t="s">
        <v>426</v>
      </c>
      <c r="C397" s="27" t="s">
        <v>1362</v>
      </c>
      <c r="D397" s="27"/>
      <c r="E397" s="28"/>
      <c r="F397" s="28"/>
      <c r="G397" s="28"/>
      <c r="H397" s="28"/>
      <c r="I397" s="28"/>
      <c r="J397" s="28"/>
      <c r="K397" s="28"/>
      <c r="L397" s="28"/>
      <c r="M397" s="28"/>
      <c r="N397" s="29"/>
    </row>
    <row r="398" spans="1:14" ht="13.5" thickBot="1" x14ac:dyDescent="0.25">
      <c r="A398" s="30"/>
      <c r="B398" s="47" t="s">
        <v>430</v>
      </c>
      <c r="C398" s="31"/>
      <c r="D398" s="31"/>
      <c r="E398" s="32"/>
      <c r="F398" s="32"/>
      <c r="G398" s="32"/>
      <c r="H398" s="32"/>
      <c r="I398" s="32"/>
      <c r="J398" s="32"/>
      <c r="K398" s="32"/>
      <c r="L398" s="32"/>
      <c r="M398" s="32"/>
      <c r="N398" s="33"/>
    </row>
    <row r="399" spans="1:14" x14ac:dyDescent="0.2">
      <c r="A399" s="20"/>
      <c r="B399" s="21" t="s">
        <v>263</v>
      </c>
      <c r="C399" s="21"/>
      <c r="D399" s="21"/>
      <c r="E399" s="22"/>
      <c r="F399" s="22"/>
      <c r="G399" s="22"/>
      <c r="H399" s="22"/>
      <c r="I399" s="22"/>
      <c r="J399" s="48" t="s">
        <v>907</v>
      </c>
      <c r="K399" s="37" t="s">
        <v>753</v>
      </c>
      <c r="L399" s="37" t="s">
        <v>513</v>
      </c>
      <c r="M399" s="37"/>
      <c r="N399" s="37"/>
    </row>
    <row r="400" spans="1:14" ht="13.5" thickBot="1" x14ac:dyDescent="0.25">
      <c r="A400" s="30"/>
      <c r="B400" s="31"/>
      <c r="C400" s="31"/>
      <c r="D400" s="31"/>
      <c r="E400" s="32"/>
      <c r="F400" s="32"/>
      <c r="G400" s="32"/>
      <c r="H400" s="32"/>
      <c r="I400" s="32"/>
      <c r="J400" s="87"/>
      <c r="K400" s="17" t="s">
        <v>514</v>
      </c>
      <c r="L400" s="40" t="s">
        <v>612</v>
      </c>
      <c r="M400" s="40"/>
      <c r="N400" s="40"/>
    </row>
    <row r="401" spans="1:14" x14ac:dyDescent="0.2">
      <c r="A401" s="20"/>
      <c r="B401" s="434" t="s">
        <v>67</v>
      </c>
      <c r="C401" s="434"/>
      <c r="D401" s="434"/>
      <c r="E401" s="22"/>
      <c r="F401" s="22" t="s">
        <v>1180</v>
      </c>
      <c r="G401" s="22" t="s">
        <v>68</v>
      </c>
      <c r="H401" s="22" t="s">
        <v>702</v>
      </c>
      <c r="I401" s="22"/>
      <c r="J401" s="74">
        <f>74/O1*O2</f>
        <v>134.54545454545453</v>
      </c>
      <c r="K401" s="74">
        <f>90/O1*O2</f>
        <v>163.63636363636363</v>
      </c>
      <c r="L401" s="74">
        <f>106/O1*O2</f>
        <v>192.72727272727272</v>
      </c>
      <c r="M401" s="71"/>
      <c r="N401" s="42"/>
    </row>
    <row r="402" spans="1:14" x14ac:dyDescent="0.2">
      <c r="A402" s="24"/>
      <c r="B402" s="435" t="s">
        <v>67</v>
      </c>
      <c r="C402" s="435"/>
      <c r="D402" s="435"/>
      <c r="E402" s="28"/>
      <c r="F402" s="28" t="s">
        <v>1181</v>
      </c>
      <c r="G402" s="28" t="s">
        <v>68</v>
      </c>
      <c r="H402" s="28" t="s">
        <v>702</v>
      </c>
      <c r="I402" s="28"/>
      <c r="J402" s="75">
        <f>40/O1*O2</f>
        <v>72.72727272727272</v>
      </c>
      <c r="K402" s="75">
        <f>48/O1*O2</f>
        <v>87.272727272727266</v>
      </c>
      <c r="L402" s="75">
        <f>56/O1*O2</f>
        <v>101.81818181818181</v>
      </c>
      <c r="M402" s="72"/>
      <c r="N402" s="44"/>
    </row>
    <row r="403" spans="1:14" x14ac:dyDescent="0.2">
      <c r="A403" s="24"/>
      <c r="B403" s="27" t="s">
        <v>67</v>
      </c>
      <c r="C403" s="27"/>
      <c r="D403" s="27"/>
      <c r="E403" s="28"/>
      <c r="F403" s="28" t="s">
        <v>1182</v>
      </c>
      <c r="G403" s="28" t="s">
        <v>68</v>
      </c>
      <c r="H403" s="28" t="s">
        <v>702</v>
      </c>
      <c r="I403" s="28"/>
      <c r="J403" s="75">
        <f>38.5/O1*O2</f>
        <v>70</v>
      </c>
      <c r="K403" s="75">
        <f>43.6/O1*O2</f>
        <v>79.272727272727266</v>
      </c>
      <c r="L403" s="75">
        <f>49/O1*O2</f>
        <v>89.090909090909079</v>
      </c>
      <c r="M403" s="72"/>
      <c r="N403" s="44"/>
    </row>
    <row r="404" spans="1:14" ht="13.5" thickBot="1" x14ac:dyDescent="0.25">
      <c r="A404" s="30"/>
      <c r="B404" s="443" t="s">
        <v>902</v>
      </c>
      <c r="C404" s="443"/>
      <c r="D404" s="443"/>
      <c r="E404" s="32"/>
      <c r="F404" s="32"/>
      <c r="G404" s="32" t="s">
        <v>1484</v>
      </c>
      <c r="H404" s="32" t="s">
        <v>702</v>
      </c>
      <c r="I404" s="32"/>
      <c r="J404" s="76">
        <f>21/O1*O2</f>
        <v>38.18181818181818</v>
      </c>
      <c r="K404" s="76">
        <f>21/O1*O2</f>
        <v>38.18181818181818</v>
      </c>
      <c r="L404" s="76">
        <f>21/O1*O2</f>
        <v>38.18181818181818</v>
      </c>
      <c r="M404" s="73"/>
      <c r="N404" s="46"/>
    </row>
    <row r="405" spans="1:14" ht="13.5" thickBot="1" x14ac:dyDescent="0.25">
      <c r="A405" s="52"/>
      <c r="B405" s="27"/>
      <c r="C405" s="27"/>
      <c r="D405" s="27"/>
      <c r="E405" s="28"/>
      <c r="F405" s="28"/>
      <c r="G405" s="28"/>
      <c r="H405" s="28"/>
      <c r="I405" s="28"/>
      <c r="J405" s="229"/>
      <c r="K405" s="229"/>
      <c r="L405" s="229"/>
      <c r="M405" s="229"/>
      <c r="N405" s="53"/>
    </row>
    <row r="406" spans="1:14" x14ac:dyDescent="0.2">
      <c r="A406" s="20"/>
      <c r="B406" s="21"/>
      <c r="C406" s="21"/>
      <c r="D406" s="21"/>
      <c r="E406" s="22"/>
      <c r="F406" s="22"/>
      <c r="G406" s="22"/>
      <c r="H406" s="22"/>
      <c r="I406" s="22"/>
      <c r="J406" s="22"/>
      <c r="K406" s="22"/>
      <c r="L406" s="22"/>
      <c r="M406" s="22"/>
      <c r="N406" s="23"/>
    </row>
    <row r="407" spans="1:14" ht="15" x14ac:dyDescent="0.2">
      <c r="A407" s="24"/>
      <c r="B407" s="440" t="s">
        <v>126</v>
      </c>
      <c r="C407" s="441"/>
      <c r="D407" s="441"/>
      <c r="E407" s="441"/>
      <c r="F407" s="441"/>
      <c r="G407" s="441"/>
      <c r="H407" s="441"/>
      <c r="I407" s="441"/>
      <c r="J407" s="441"/>
      <c r="K407" s="441"/>
      <c r="L407" s="441"/>
      <c r="M407" s="442"/>
      <c r="N407" s="25" t="s">
        <v>96</v>
      </c>
    </row>
    <row r="408" spans="1:14" x14ac:dyDescent="0.2">
      <c r="A408" s="24"/>
      <c r="B408" s="26" t="s">
        <v>428</v>
      </c>
      <c r="C408" s="27" t="s">
        <v>336</v>
      </c>
      <c r="D408" s="27"/>
      <c r="E408" s="28"/>
      <c r="F408" s="28"/>
      <c r="G408" s="28"/>
      <c r="H408" s="28"/>
      <c r="I408" s="28"/>
      <c r="J408" s="28"/>
      <c r="K408" s="28"/>
      <c r="L408" s="28"/>
      <c r="M408" s="28"/>
      <c r="N408" s="29"/>
    </row>
    <row r="409" spans="1:14" x14ac:dyDescent="0.2">
      <c r="A409" s="24"/>
      <c r="B409" s="26" t="s">
        <v>429</v>
      </c>
      <c r="C409" s="68" t="s">
        <v>1366</v>
      </c>
      <c r="D409" s="27"/>
      <c r="E409" s="28"/>
      <c r="F409" s="28"/>
      <c r="G409" s="28"/>
      <c r="H409" s="28"/>
      <c r="I409" s="28"/>
      <c r="J409" s="28"/>
      <c r="K409" s="28"/>
      <c r="L409" s="28"/>
      <c r="M409" s="28"/>
      <c r="N409" s="29"/>
    </row>
    <row r="410" spans="1:14" x14ac:dyDescent="0.2">
      <c r="A410" s="24"/>
      <c r="B410" s="26" t="s">
        <v>427</v>
      </c>
      <c r="C410" s="444" t="s">
        <v>1227</v>
      </c>
      <c r="D410" s="444"/>
      <c r="E410" s="444"/>
      <c r="F410" s="444"/>
      <c r="G410" s="444"/>
      <c r="H410" s="444"/>
      <c r="I410" s="444"/>
      <c r="J410" s="444"/>
      <c r="K410" s="444"/>
      <c r="L410" s="444"/>
      <c r="M410" s="444"/>
      <c r="N410" s="445"/>
    </row>
    <row r="411" spans="1:14" x14ac:dyDescent="0.2">
      <c r="A411" s="24"/>
      <c r="C411" s="444"/>
      <c r="D411" s="444"/>
      <c r="E411" s="444"/>
      <c r="F411" s="444"/>
      <c r="G411" s="444"/>
      <c r="H411" s="444"/>
      <c r="I411" s="444"/>
      <c r="J411" s="444"/>
      <c r="K411" s="444"/>
      <c r="L411" s="444"/>
      <c r="M411" s="444"/>
      <c r="N411" s="445"/>
    </row>
    <row r="412" spans="1:14" x14ac:dyDescent="0.2">
      <c r="A412" s="24"/>
      <c r="B412" s="26" t="s">
        <v>426</v>
      </c>
      <c r="C412" s="68" t="s">
        <v>1365</v>
      </c>
      <c r="D412" s="27"/>
      <c r="E412" s="28"/>
      <c r="F412" s="28"/>
      <c r="G412" s="28"/>
      <c r="H412" s="28"/>
      <c r="I412" s="28"/>
      <c r="J412" s="28"/>
      <c r="K412" s="28"/>
      <c r="L412" s="28"/>
      <c r="M412" s="28"/>
      <c r="N412" s="29"/>
    </row>
    <row r="413" spans="1:14" ht="13.5" thickBot="1" x14ac:dyDescent="0.25">
      <c r="A413" s="30"/>
      <c r="B413" s="26" t="s">
        <v>430</v>
      </c>
      <c r="C413" s="31"/>
      <c r="D413" s="31"/>
      <c r="E413" s="32"/>
      <c r="F413" s="32"/>
      <c r="G413" s="32"/>
      <c r="H413" s="32"/>
      <c r="I413" s="32"/>
      <c r="J413" s="32"/>
      <c r="K413" s="32"/>
      <c r="L413" s="32"/>
      <c r="M413" s="32"/>
      <c r="N413" s="33"/>
    </row>
    <row r="414" spans="1:14" ht="13.5" thickBot="1" x14ac:dyDescent="0.25">
      <c r="A414" s="20"/>
      <c r="B414" s="55" t="s">
        <v>263</v>
      </c>
      <c r="C414" s="55"/>
      <c r="D414" s="55"/>
      <c r="E414" s="64"/>
      <c r="F414" s="64"/>
      <c r="G414" s="64"/>
      <c r="H414" s="64"/>
      <c r="I414" s="64"/>
      <c r="J414" s="69" t="s">
        <v>907</v>
      </c>
      <c r="K414" s="56" t="s">
        <v>753</v>
      </c>
      <c r="L414" s="56" t="s">
        <v>1090</v>
      </c>
      <c r="M414" s="56" t="s">
        <v>123</v>
      </c>
      <c r="N414" s="56"/>
    </row>
    <row r="415" spans="1:14" ht="13.5" thickBot="1" x14ac:dyDescent="0.25">
      <c r="A415" s="20"/>
      <c r="B415" s="27" t="s">
        <v>263</v>
      </c>
      <c r="C415" s="27"/>
      <c r="D415" s="27"/>
      <c r="E415" s="28"/>
      <c r="F415" s="28"/>
      <c r="G415" s="28"/>
      <c r="H415" s="28"/>
      <c r="I415" s="28"/>
      <c r="J415" s="67"/>
      <c r="K415" s="63"/>
      <c r="L415" s="63" t="s">
        <v>612</v>
      </c>
      <c r="M415" s="63"/>
      <c r="N415" s="63"/>
    </row>
    <row r="416" spans="1:14" x14ac:dyDescent="0.2">
      <c r="A416" s="20"/>
      <c r="B416" s="435" t="s">
        <v>67</v>
      </c>
      <c r="C416" s="435"/>
      <c r="D416" s="435"/>
      <c r="E416" s="28"/>
      <c r="F416" s="28" t="s">
        <v>1180</v>
      </c>
      <c r="G416" s="28" t="s">
        <v>68</v>
      </c>
      <c r="H416" s="28" t="s">
        <v>702</v>
      </c>
      <c r="I416" s="28"/>
      <c r="J416" s="75">
        <f>78/O1*O2</f>
        <v>141.81818181818181</v>
      </c>
      <c r="K416" s="75">
        <f>80/O1*O2</f>
        <v>145.45454545454544</v>
      </c>
      <c r="L416" s="75">
        <f>87/O1*O2</f>
        <v>158.18181818181816</v>
      </c>
      <c r="M416" s="75">
        <f>83/O1*O2</f>
        <v>150.90909090909091</v>
      </c>
      <c r="N416" s="44"/>
    </row>
    <row r="417" spans="1:14" x14ac:dyDescent="0.2">
      <c r="A417" s="24"/>
      <c r="B417" s="435" t="s">
        <v>67</v>
      </c>
      <c r="C417" s="435"/>
      <c r="D417" s="435"/>
      <c r="E417" s="28"/>
      <c r="F417" s="28" t="s">
        <v>1181</v>
      </c>
      <c r="G417" s="28" t="s">
        <v>68</v>
      </c>
      <c r="H417" s="28" t="s">
        <v>702</v>
      </c>
      <c r="I417" s="28"/>
      <c r="J417" s="75">
        <f>45/O1*O2</f>
        <v>81.818181818181813</v>
      </c>
      <c r="K417" s="75">
        <f>46/O1*O2</f>
        <v>83.636363636363626</v>
      </c>
      <c r="L417" s="75">
        <f>54/O1*O2</f>
        <v>98.181818181818173</v>
      </c>
      <c r="M417" s="75">
        <f>51/O1*O2</f>
        <v>92.72727272727272</v>
      </c>
      <c r="N417" s="44"/>
    </row>
    <row r="418" spans="1:14" x14ac:dyDescent="0.2">
      <c r="A418" s="24"/>
      <c r="B418" s="435" t="s">
        <v>67</v>
      </c>
      <c r="C418" s="435"/>
      <c r="D418" s="435"/>
      <c r="E418" s="28"/>
      <c r="F418" s="28" t="s">
        <v>1182</v>
      </c>
      <c r="G418" s="28" t="s">
        <v>68</v>
      </c>
      <c r="H418" s="28" t="s">
        <v>702</v>
      </c>
      <c r="I418" s="28"/>
      <c r="J418" s="75">
        <f>39.5/O1*O2</f>
        <v>71.818181818181813</v>
      </c>
      <c r="K418" s="75">
        <f>40/O1*O2</f>
        <v>72.72727272727272</v>
      </c>
      <c r="L418" s="75">
        <f>46.6/O1*O2</f>
        <v>84.72727272727272</v>
      </c>
      <c r="M418" s="75">
        <f>45.6/O1*O2</f>
        <v>82.909090909090907</v>
      </c>
      <c r="N418" s="44"/>
    </row>
    <row r="419" spans="1:14" ht="13.5" thickBot="1" x14ac:dyDescent="0.25">
      <c r="A419" s="30"/>
      <c r="B419" s="443" t="s">
        <v>67</v>
      </c>
      <c r="C419" s="443"/>
      <c r="D419" s="443"/>
      <c r="E419" s="32"/>
      <c r="F419" s="32" t="s">
        <v>257</v>
      </c>
      <c r="G419" s="32" t="s">
        <v>68</v>
      </c>
      <c r="H419" s="32" t="s">
        <v>702</v>
      </c>
      <c r="I419" s="32"/>
      <c r="J419" s="76">
        <f>45/O1*O2</f>
        <v>81.818181818181813</v>
      </c>
      <c r="K419" s="76">
        <f>46/O1*O2</f>
        <v>83.636363636363626</v>
      </c>
      <c r="L419" s="76">
        <f>54/O1*O2</f>
        <v>98.181818181818173</v>
      </c>
      <c r="M419" s="76">
        <f>51/O1*O2</f>
        <v>92.72727272727272</v>
      </c>
      <c r="N419" s="46"/>
    </row>
    <row r="420" spans="1:14" x14ac:dyDescent="0.2">
      <c r="A420" s="52"/>
      <c r="B420" s="27"/>
      <c r="C420" s="27"/>
      <c r="D420" s="27"/>
      <c r="E420" s="28"/>
      <c r="F420" s="28"/>
      <c r="G420" s="28"/>
      <c r="H420" s="28"/>
      <c r="I420" s="28"/>
      <c r="J420" s="229"/>
      <c r="K420" s="229"/>
      <c r="L420" s="229"/>
      <c r="M420" s="229"/>
      <c r="N420" s="53"/>
    </row>
    <row r="421" spans="1:14" x14ac:dyDescent="0.2">
      <c r="A421" s="52"/>
      <c r="B421" s="27"/>
      <c r="C421" s="27"/>
      <c r="D421" s="27"/>
      <c r="E421" s="28"/>
      <c r="F421" s="28"/>
      <c r="G421" s="28"/>
      <c r="H421" s="28"/>
      <c r="I421" s="28"/>
      <c r="J421" s="229"/>
      <c r="K421" s="229"/>
      <c r="L421" s="229"/>
      <c r="M421" s="229"/>
      <c r="N421" s="53"/>
    </row>
    <row r="422" spans="1:14" x14ac:dyDescent="0.2">
      <c r="A422" s="52"/>
      <c r="B422" s="27"/>
      <c r="C422" s="27"/>
      <c r="D422" s="27"/>
      <c r="E422" s="28"/>
      <c r="F422" s="28"/>
      <c r="G422" s="28"/>
      <c r="H422" s="28"/>
      <c r="I422" s="28"/>
      <c r="J422" s="229"/>
      <c r="K422" s="229"/>
      <c r="L422" s="229"/>
      <c r="M422" s="229"/>
      <c r="N422" s="53"/>
    </row>
    <row r="423" spans="1:14" x14ac:dyDescent="0.2">
      <c r="A423" s="52"/>
      <c r="B423" s="27"/>
      <c r="C423" s="27"/>
      <c r="D423" s="27"/>
      <c r="E423" s="28"/>
      <c r="F423" s="28"/>
      <c r="G423" s="28"/>
      <c r="H423" s="28"/>
      <c r="I423" s="28"/>
      <c r="J423" s="229"/>
      <c r="K423" s="229"/>
      <c r="L423" s="229"/>
      <c r="M423" s="229"/>
      <c r="N423" s="53"/>
    </row>
    <row r="424" spans="1:14" x14ac:dyDescent="0.2">
      <c r="A424" s="52"/>
      <c r="B424" s="27"/>
      <c r="C424" s="27"/>
      <c r="D424" s="27"/>
      <c r="E424" s="28"/>
      <c r="F424" s="28"/>
      <c r="G424" s="28"/>
      <c r="H424" s="28"/>
      <c r="I424" s="28"/>
      <c r="J424" s="229"/>
      <c r="K424" s="229"/>
      <c r="L424" s="229"/>
      <c r="M424" s="229"/>
      <c r="N424" s="53"/>
    </row>
    <row r="425" spans="1:14" x14ac:dyDescent="0.2">
      <c r="A425" s="52"/>
      <c r="B425" s="27"/>
      <c r="C425" s="27"/>
      <c r="D425" s="27"/>
      <c r="E425" s="28"/>
      <c r="F425" s="28"/>
      <c r="G425" s="28"/>
      <c r="H425" s="28"/>
      <c r="I425" s="28"/>
      <c r="J425" s="229"/>
      <c r="K425" s="229"/>
      <c r="L425" s="229"/>
      <c r="M425" s="229"/>
      <c r="N425" s="53"/>
    </row>
    <row r="426" spans="1:14" x14ac:dyDescent="0.2">
      <c r="A426" s="52"/>
      <c r="B426" s="27"/>
      <c r="C426" s="27"/>
      <c r="D426" s="27"/>
      <c r="E426" s="28"/>
      <c r="F426" s="28"/>
      <c r="G426" s="28"/>
      <c r="H426" s="28"/>
      <c r="I426" s="28"/>
      <c r="J426" s="229"/>
      <c r="K426" s="229"/>
      <c r="L426" s="229"/>
      <c r="M426" s="229"/>
      <c r="N426" s="53"/>
    </row>
    <row r="427" spans="1:14" x14ac:dyDescent="0.2">
      <c r="A427" s="52"/>
      <c r="B427" s="27"/>
      <c r="C427" s="27"/>
      <c r="D427" s="27"/>
      <c r="E427" s="28"/>
      <c r="F427" s="28"/>
      <c r="G427" s="28"/>
      <c r="H427" s="28"/>
      <c r="I427" s="28"/>
      <c r="J427" s="229"/>
      <c r="K427" s="229"/>
      <c r="L427" s="229"/>
      <c r="M427" s="229"/>
      <c r="N427" s="53"/>
    </row>
    <row r="428" spans="1:14" x14ac:dyDescent="0.2">
      <c r="A428" s="52"/>
      <c r="B428" s="27"/>
      <c r="C428" s="27"/>
      <c r="D428" s="27"/>
      <c r="E428" s="28"/>
      <c r="F428" s="28"/>
      <c r="G428" s="28"/>
      <c r="H428" s="28"/>
      <c r="I428" s="28"/>
      <c r="J428" s="229"/>
      <c r="K428" s="229"/>
      <c r="L428" s="229"/>
      <c r="M428" s="229"/>
      <c r="N428" s="53"/>
    </row>
    <row r="429" spans="1:14" x14ac:dyDescent="0.2">
      <c r="A429" s="17"/>
      <c r="B429" s="17"/>
      <c r="C429" s="17"/>
      <c r="D429" s="17"/>
      <c r="E429" s="17"/>
      <c r="F429" s="17"/>
      <c r="G429" s="17"/>
      <c r="H429" s="17"/>
      <c r="I429" s="17"/>
      <c r="J429" s="17"/>
      <c r="K429" s="17"/>
      <c r="L429" s="17"/>
      <c r="M429" s="17"/>
      <c r="N429" s="17"/>
    </row>
    <row r="430" spans="1:14" ht="13.5" thickBot="1" x14ac:dyDescent="0.25">
      <c r="A430" s="17"/>
      <c r="B430" s="17"/>
      <c r="C430" s="17"/>
      <c r="D430" s="17"/>
      <c r="E430" s="17"/>
      <c r="F430" s="17"/>
      <c r="G430" s="17"/>
      <c r="H430" s="17"/>
      <c r="I430" s="17"/>
      <c r="J430" s="17"/>
      <c r="K430" s="17"/>
      <c r="L430" s="17"/>
      <c r="M430" s="17"/>
      <c r="N430" s="17"/>
    </row>
    <row r="431" spans="1:14" x14ac:dyDescent="0.2">
      <c r="A431" s="20"/>
      <c r="B431" s="21"/>
      <c r="C431" s="21"/>
      <c r="D431" s="21"/>
      <c r="E431" s="22"/>
      <c r="F431" s="22"/>
      <c r="G431" s="22"/>
      <c r="H431" s="22"/>
      <c r="I431" s="22"/>
      <c r="J431" s="22"/>
      <c r="K431" s="22"/>
      <c r="L431" s="22"/>
      <c r="M431" s="22"/>
      <c r="N431" s="23"/>
    </row>
    <row r="432" spans="1:14" ht="15" x14ac:dyDescent="0.2">
      <c r="A432" s="24"/>
      <c r="B432" s="440" t="s">
        <v>360</v>
      </c>
      <c r="C432" s="441"/>
      <c r="D432" s="441"/>
      <c r="E432" s="441"/>
      <c r="F432" s="441"/>
      <c r="G432" s="441"/>
      <c r="H432" s="441"/>
      <c r="I432" s="441"/>
      <c r="J432" s="441"/>
      <c r="K432" s="441"/>
      <c r="L432" s="441"/>
      <c r="M432" s="442"/>
      <c r="N432" s="25" t="s">
        <v>96</v>
      </c>
    </row>
    <row r="433" spans="1:14" x14ac:dyDescent="0.2">
      <c r="A433" s="24"/>
      <c r="B433" s="26" t="s">
        <v>428</v>
      </c>
      <c r="C433" s="27" t="s">
        <v>258</v>
      </c>
      <c r="D433" s="27"/>
      <c r="E433" s="28"/>
      <c r="F433" s="28"/>
      <c r="G433" s="28"/>
      <c r="H433" s="28"/>
      <c r="I433" s="28"/>
      <c r="J433" s="28"/>
      <c r="K433" s="28"/>
      <c r="L433" s="28"/>
      <c r="M433" s="28"/>
      <c r="N433" s="29"/>
    </row>
    <row r="434" spans="1:14" x14ac:dyDescent="0.2">
      <c r="A434" s="24"/>
      <c r="B434" s="26" t="s">
        <v>429</v>
      </c>
      <c r="C434" s="27" t="s">
        <v>259</v>
      </c>
      <c r="D434" s="27"/>
      <c r="E434" s="28"/>
      <c r="F434" s="28"/>
      <c r="G434" s="28"/>
      <c r="H434" s="28"/>
      <c r="I434" s="28"/>
      <c r="J434" s="28"/>
      <c r="K434" s="28"/>
      <c r="L434" s="28"/>
      <c r="M434" s="28"/>
      <c r="N434" s="29"/>
    </row>
    <row r="435" spans="1:14" x14ac:dyDescent="0.2">
      <c r="A435" s="24"/>
      <c r="B435" s="26" t="s">
        <v>427</v>
      </c>
      <c r="C435" s="444" t="s">
        <v>1598</v>
      </c>
      <c r="D435" s="444"/>
      <c r="E435" s="444"/>
      <c r="F435" s="444"/>
      <c r="G435" s="444"/>
      <c r="H435" s="444"/>
      <c r="I435" s="444"/>
      <c r="J435" s="444"/>
      <c r="K435" s="444"/>
      <c r="L435" s="444"/>
      <c r="M435" s="444"/>
      <c r="N435" s="445"/>
    </row>
    <row r="436" spans="1:14" x14ac:dyDescent="0.2">
      <c r="A436" s="24"/>
      <c r="C436" s="444"/>
      <c r="D436" s="444"/>
      <c r="E436" s="444"/>
      <c r="F436" s="444"/>
      <c r="G436" s="444"/>
      <c r="H436" s="444"/>
      <c r="I436" s="444"/>
      <c r="J436" s="444"/>
      <c r="K436" s="444"/>
      <c r="L436" s="444"/>
      <c r="M436" s="444"/>
      <c r="N436" s="445"/>
    </row>
    <row r="437" spans="1:14" x14ac:dyDescent="0.2">
      <c r="A437" s="24"/>
      <c r="B437" s="26" t="s">
        <v>426</v>
      </c>
      <c r="C437" s="27"/>
      <c r="D437" s="27"/>
      <c r="E437" s="28"/>
      <c r="F437" s="28"/>
      <c r="G437" s="28"/>
      <c r="H437" s="28"/>
      <c r="I437" s="28"/>
      <c r="J437" s="28"/>
      <c r="K437" s="28"/>
      <c r="L437" s="28"/>
      <c r="M437" s="28"/>
      <c r="N437" s="29"/>
    </row>
    <row r="438" spans="1:14" ht="13.5" thickBot="1" x14ac:dyDescent="0.25">
      <c r="A438" s="30"/>
      <c r="B438" s="26" t="s">
        <v>430</v>
      </c>
      <c r="C438" s="31"/>
      <c r="D438" s="31"/>
      <c r="E438" s="32"/>
      <c r="F438" s="32"/>
      <c r="G438" s="32"/>
      <c r="H438" s="32"/>
      <c r="I438" s="32"/>
      <c r="J438" s="32"/>
      <c r="K438" s="32"/>
      <c r="L438" s="32"/>
      <c r="M438" s="32"/>
      <c r="N438" s="33"/>
    </row>
    <row r="439" spans="1:14" x14ac:dyDescent="0.2">
      <c r="A439" s="20"/>
      <c r="B439" s="21" t="s">
        <v>263</v>
      </c>
      <c r="C439" s="21"/>
      <c r="D439" s="21"/>
      <c r="E439" s="22"/>
      <c r="F439" s="22"/>
      <c r="G439" s="22"/>
      <c r="H439" s="22"/>
      <c r="I439" s="22"/>
      <c r="J439" s="48"/>
      <c r="K439" s="37"/>
      <c r="L439" s="37" t="s">
        <v>1901</v>
      </c>
      <c r="M439" s="37"/>
      <c r="N439" s="37"/>
    </row>
    <row r="440" spans="1:14" ht="13.5" thickBot="1" x14ac:dyDescent="0.25">
      <c r="A440" s="30"/>
      <c r="B440" s="31"/>
      <c r="C440" s="31"/>
      <c r="D440" s="31"/>
      <c r="E440" s="32"/>
      <c r="F440" s="32"/>
      <c r="G440" s="32"/>
      <c r="H440" s="32"/>
      <c r="I440" s="32"/>
      <c r="J440" s="65" t="s">
        <v>858</v>
      </c>
      <c r="K440" s="40" t="s">
        <v>759</v>
      </c>
      <c r="L440" s="40" t="s">
        <v>1902</v>
      </c>
      <c r="M440" s="40" t="s">
        <v>1903</v>
      </c>
      <c r="N440" s="40"/>
    </row>
    <row r="441" spans="1:14" x14ac:dyDescent="0.2">
      <c r="A441" s="20"/>
      <c r="B441" s="434" t="s">
        <v>67</v>
      </c>
      <c r="C441" s="434"/>
      <c r="D441" s="434"/>
      <c r="E441" s="22"/>
      <c r="F441" s="22" t="s">
        <v>1180</v>
      </c>
      <c r="G441" s="22" t="s">
        <v>68</v>
      </c>
      <c r="H441" s="22" t="s">
        <v>702</v>
      </c>
      <c r="I441" s="22"/>
      <c r="J441" s="74">
        <f>85/O1*O2</f>
        <v>154.54545454545453</v>
      </c>
      <c r="K441" s="74">
        <f>115/O1*O2</f>
        <v>209.09090909090907</v>
      </c>
      <c r="L441" s="77">
        <f>135/O1*O2</f>
        <v>245.45454545454544</v>
      </c>
      <c r="M441" s="42">
        <f>195/O1*O2</f>
        <v>354.5454545454545</v>
      </c>
      <c r="N441" s="42"/>
    </row>
    <row r="442" spans="1:14" x14ac:dyDescent="0.2">
      <c r="A442" s="24"/>
      <c r="B442" s="435" t="s">
        <v>67</v>
      </c>
      <c r="C442" s="435"/>
      <c r="D442" s="435"/>
      <c r="E442" s="28"/>
      <c r="F442" s="28" t="s">
        <v>1181</v>
      </c>
      <c r="G442" s="28" t="s">
        <v>68</v>
      </c>
      <c r="H442" s="28" t="s">
        <v>702</v>
      </c>
      <c r="I442" s="28"/>
      <c r="J442" s="75">
        <f>45/O1*O2</f>
        <v>81.818181818181813</v>
      </c>
      <c r="K442" s="75">
        <f>62.5/O1*O2</f>
        <v>113.63636363636363</v>
      </c>
      <c r="L442" s="75">
        <f>72.5/O1*O2</f>
        <v>131.81818181818181</v>
      </c>
      <c r="M442" s="44">
        <f>105/O1*O2</f>
        <v>190.90909090909091</v>
      </c>
      <c r="N442" s="44"/>
    </row>
    <row r="443" spans="1:14" ht="13.5" thickBot="1" x14ac:dyDescent="0.25">
      <c r="A443" s="30"/>
      <c r="B443" s="443" t="s">
        <v>67</v>
      </c>
      <c r="C443" s="443"/>
      <c r="D443" s="443"/>
      <c r="E443" s="32"/>
      <c r="F443" s="32" t="s">
        <v>1182</v>
      </c>
      <c r="G443" s="32" t="s">
        <v>68</v>
      </c>
      <c r="H443" s="32" t="s">
        <v>702</v>
      </c>
      <c r="I443" s="32"/>
      <c r="J443" s="76">
        <f>41.66/O1*O2</f>
        <v>75.745454545454535</v>
      </c>
      <c r="K443" s="76">
        <f>55/O1*O2</f>
        <v>99.999999999999986</v>
      </c>
      <c r="L443" s="76">
        <f>61.6/O1*O2</f>
        <v>112</v>
      </c>
      <c r="M443" s="46">
        <f>84/O1*O2</f>
        <v>152.72727272727272</v>
      </c>
      <c r="N443" s="46"/>
    </row>
    <row r="444" spans="1:14" ht="13.5" thickBot="1" x14ac:dyDescent="0.25">
      <c r="A444" s="54"/>
      <c r="B444" s="21"/>
      <c r="C444" s="21"/>
      <c r="D444" s="21"/>
      <c r="E444" s="22"/>
      <c r="F444" s="22"/>
      <c r="G444" s="22"/>
      <c r="H444" s="22"/>
      <c r="I444" s="22"/>
      <c r="J444" s="22"/>
      <c r="K444" s="22"/>
      <c r="L444" s="22"/>
      <c r="M444" s="22"/>
      <c r="N444" s="22"/>
    </row>
    <row r="445" spans="1:14" x14ac:dyDescent="0.2">
      <c r="A445" s="20"/>
      <c r="B445" s="21"/>
      <c r="C445" s="21"/>
      <c r="D445" s="21"/>
      <c r="E445" s="22"/>
      <c r="F445" s="22"/>
      <c r="G445" s="22"/>
      <c r="H445" s="22"/>
      <c r="I445" s="22"/>
      <c r="J445" s="22"/>
      <c r="K445" s="22"/>
      <c r="L445" s="22"/>
      <c r="M445" s="22"/>
      <c r="N445" s="23"/>
    </row>
    <row r="446" spans="1:14" ht="15" x14ac:dyDescent="0.2">
      <c r="A446" s="24"/>
      <c r="B446" s="440" t="s">
        <v>69</v>
      </c>
      <c r="C446" s="441"/>
      <c r="D446" s="441"/>
      <c r="E446" s="441"/>
      <c r="F446" s="441"/>
      <c r="G446" s="441"/>
      <c r="H446" s="441"/>
      <c r="I446" s="441"/>
      <c r="J446" s="441"/>
      <c r="K446" s="441"/>
      <c r="L446" s="441"/>
      <c r="M446" s="442"/>
      <c r="N446" s="25" t="s">
        <v>96</v>
      </c>
    </row>
    <row r="447" spans="1:14" x14ac:dyDescent="0.2">
      <c r="A447" s="24"/>
      <c r="B447" s="26" t="s">
        <v>428</v>
      </c>
      <c r="C447" s="27" t="s">
        <v>888</v>
      </c>
      <c r="D447" s="27"/>
      <c r="E447" s="28"/>
      <c r="F447" s="28"/>
      <c r="G447" s="28"/>
      <c r="H447" s="28"/>
      <c r="I447" s="28"/>
      <c r="J447" s="28"/>
      <c r="K447" s="28"/>
      <c r="L447" s="28"/>
      <c r="M447" s="28"/>
      <c r="N447" s="29"/>
    </row>
    <row r="448" spans="1:14" x14ac:dyDescent="0.2">
      <c r="A448" s="24"/>
      <c r="B448" s="26" t="s">
        <v>429</v>
      </c>
      <c r="C448" s="27" t="s">
        <v>71</v>
      </c>
      <c r="D448" s="27"/>
      <c r="E448" s="28"/>
      <c r="F448" s="28"/>
      <c r="G448" s="28"/>
      <c r="H448" s="28"/>
      <c r="I448" s="28"/>
      <c r="J448" s="28"/>
      <c r="K448" s="28"/>
      <c r="L448" s="28"/>
      <c r="M448" s="28"/>
      <c r="N448" s="29"/>
    </row>
    <row r="449" spans="1:14" x14ac:dyDescent="0.2">
      <c r="A449" s="24"/>
      <c r="B449" s="26" t="s">
        <v>427</v>
      </c>
      <c r="C449" s="444" t="s">
        <v>1599</v>
      </c>
      <c r="D449" s="444"/>
      <c r="E449" s="444"/>
      <c r="F449" s="444"/>
      <c r="G449" s="444"/>
      <c r="H449" s="444"/>
      <c r="I449" s="444"/>
      <c r="J449" s="444"/>
      <c r="K449" s="444"/>
      <c r="L449" s="444"/>
      <c r="M449" s="444"/>
      <c r="N449" s="445"/>
    </row>
    <row r="450" spans="1:14" x14ac:dyDescent="0.2">
      <c r="A450" s="24"/>
      <c r="C450" s="444"/>
      <c r="D450" s="444"/>
      <c r="E450" s="444"/>
      <c r="F450" s="444"/>
      <c r="G450" s="444"/>
      <c r="H450" s="444"/>
      <c r="I450" s="444"/>
      <c r="J450" s="444"/>
      <c r="K450" s="444"/>
      <c r="L450" s="444"/>
      <c r="M450" s="444"/>
      <c r="N450" s="445"/>
    </row>
    <row r="451" spans="1:14" x14ac:dyDescent="0.2">
      <c r="A451" s="24"/>
      <c r="B451" s="26" t="s">
        <v>426</v>
      </c>
      <c r="C451" s="27" t="s">
        <v>70</v>
      </c>
      <c r="D451" s="27"/>
      <c r="E451" s="28"/>
      <c r="F451" s="28"/>
      <c r="G451" s="28"/>
      <c r="H451" s="28"/>
      <c r="I451" s="28"/>
      <c r="J451" s="28"/>
      <c r="K451" s="28"/>
      <c r="L451" s="28"/>
      <c r="M451" s="28"/>
      <c r="N451" s="29"/>
    </row>
    <row r="452" spans="1:14" ht="13.5" thickBot="1" x14ac:dyDescent="0.25">
      <c r="A452" s="30"/>
      <c r="B452" s="26" t="s">
        <v>430</v>
      </c>
      <c r="C452" s="31"/>
      <c r="D452" s="31"/>
      <c r="E452" s="32"/>
      <c r="F452" s="32"/>
      <c r="G452" s="32"/>
      <c r="H452" s="32"/>
      <c r="I452" s="32"/>
      <c r="J452" s="32"/>
      <c r="K452" s="32"/>
      <c r="L452" s="32"/>
      <c r="M452" s="32"/>
      <c r="N452" s="33"/>
    </row>
    <row r="453" spans="1:14" ht="13.5" thickBot="1" x14ac:dyDescent="0.25">
      <c r="A453" s="20"/>
      <c r="B453" s="21" t="s">
        <v>263</v>
      </c>
      <c r="C453" s="21"/>
      <c r="D453" s="21"/>
      <c r="E453" s="22"/>
      <c r="F453" s="22"/>
      <c r="G453" s="22"/>
      <c r="H453" s="22"/>
      <c r="I453" s="22"/>
      <c r="J453" s="48" t="s">
        <v>907</v>
      </c>
      <c r="K453" s="37" t="s">
        <v>611</v>
      </c>
      <c r="L453" s="56"/>
      <c r="M453" s="37"/>
      <c r="N453" s="37"/>
    </row>
    <row r="454" spans="1:14" x14ac:dyDescent="0.2">
      <c r="A454" s="20"/>
      <c r="B454" s="434" t="s">
        <v>67</v>
      </c>
      <c r="C454" s="434"/>
      <c r="D454" s="434"/>
      <c r="E454" s="22"/>
      <c r="F454" s="22" t="s">
        <v>1180</v>
      </c>
      <c r="G454" s="22" t="s">
        <v>68</v>
      </c>
      <c r="H454" s="22" t="s">
        <v>702</v>
      </c>
      <c r="I454" s="22"/>
      <c r="J454" s="74">
        <f>40/O1*O2</f>
        <v>72.72727272727272</v>
      </c>
      <c r="K454" s="74">
        <f>50/O1*O2</f>
        <v>90.909090909090907</v>
      </c>
      <c r="L454" s="77"/>
      <c r="M454" s="42"/>
      <c r="N454" s="42"/>
    </row>
    <row r="455" spans="1:14" x14ac:dyDescent="0.2">
      <c r="A455" s="24"/>
      <c r="B455" s="435" t="s">
        <v>67</v>
      </c>
      <c r="C455" s="435"/>
      <c r="D455" s="435"/>
      <c r="E455" s="28"/>
      <c r="F455" s="28" t="s">
        <v>1181</v>
      </c>
      <c r="G455" s="28" t="s">
        <v>68</v>
      </c>
      <c r="H455" s="28" t="s">
        <v>702</v>
      </c>
      <c r="I455" s="28"/>
      <c r="J455" s="75">
        <f>27.5/O1*O2</f>
        <v>49.999999999999993</v>
      </c>
      <c r="K455" s="75">
        <f>32.5/O1*O2</f>
        <v>59.090909090909086</v>
      </c>
      <c r="L455" s="75"/>
      <c r="M455" s="44"/>
      <c r="N455" s="44"/>
    </row>
    <row r="456" spans="1:14" ht="13.5" thickBot="1" x14ac:dyDescent="0.25">
      <c r="A456" s="30"/>
      <c r="B456" s="443" t="s">
        <v>67</v>
      </c>
      <c r="C456" s="443"/>
      <c r="D456" s="443"/>
      <c r="E456" s="32"/>
      <c r="F456" s="32" t="s">
        <v>1182</v>
      </c>
      <c r="G456" s="32" t="s">
        <v>68</v>
      </c>
      <c r="H456" s="32" t="s">
        <v>702</v>
      </c>
      <c r="I456" s="32"/>
      <c r="J456" s="76">
        <f>23.5/O1*O2</f>
        <v>42.727272727272727</v>
      </c>
      <c r="K456" s="76">
        <f>26.6/O1*O2</f>
        <v>48.36363636363636</v>
      </c>
      <c r="L456" s="76"/>
      <c r="M456" s="46"/>
      <c r="N456" s="46"/>
    </row>
    <row r="457" spans="1:14" ht="13.5" thickBot="1" x14ac:dyDescent="0.25">
      <c r="A457" s="17"/>
      <c r="B457" s="17"/>
      <c r="C457" s="17"/>
      <c r="D457" s="17"/>
      <c r="E457" s="17"/>
      <c r="F457" s="17"/>
      <c r="G457" s="17"/>
      <c r="H457" s="17"/>
      <c r="I457" s="17"/>
      <c r="J457" s="17"/>
      <c r="K457" s="17"/>
      <c r="L457" s="17"/>
      <c r="M457" s="17"/>
      <c r="N457" s="17"/>
    </row>
    <row r="458" spans="1:14" ht="13.5" thickBot="1" x14ac:dyDescent="0.25">
      <c r="A458" s="20"/>
      <c r="B458" s="21"/>
      <c r="C458" s="21"/>
      <c r="D458" s="21"/>
      <c r="E458" s="22"/>
      <c r="F458" s="22"/>
      <c r="G458" s="22"/>
      <c r="H458" s="22"/>
      <c r="I458" s="22"/>
      <c r="J458" s="22"/>
      <c r="K458" s="22"/>
      <c r="L458" s="22"/>
      <c r="M458" s="22"/>
      <c r="N458" s="23"/>
    </row>
    <row r="459" spans="1:14" x14ac:dyDescent="0.2">
      <c r="A459" s="20"/>
      <c r="B459" s="21"/>
      <c r="C459" s="21"/>
      <c r="D459" s="21"/>
      <c r="E459" s="22"/>
      <c r="F459" s="22"/>
      <c r="G459" s="22"/>
      <c r="H459" s="22"/>
      <c r="I459" s="22"/>
      <c r="J459" s="22"/>
      <c r="K459" s="22"/>
      <c r="L459" s="22"/>
      <c r="M459" s="22"/>
      <c r="N459" s="23"/>
    </row>
    <row r="460" spans="1:14" ht="15" x14ac:dyDescent="0.2">
      <c r="A460" s="24"/>
      <c r="B460" s="440" t="s">
        <v>1393</v>
      </c>
      <c r="C460" s="441"/>
      <c r="D460" s="441"/>
      <c r="E460" s="441"/>
      <c r="F460" s="441"/>
      <c r="G460" s="441"/>
      <c r="H460" s="441"/>
      <c r="I460" s="441"/>
      <c r="J460" s="441"/>
      <c r="K460" s="441"/>
      <c r="L460" s="441"/>
      <c r="M460" s="442"/>
      <c r="N460" s="25" t="s">
        <v>96</v>
      </c>
    </row>
    <row r="461" spans="1:14" x14ac:dyDescent="0.2">
      <c r="A461" s="24"/>
      <c r="B461" s="26" t="s">
        <v>428</v>
      </c>
      <c r="C461" s="27" t="s">
        <v>1488</v>
      </c>
      <c r="D461" s="27"/>
      <c r="E461" s="28"/>
      <c r="F461" s="28"/>
      <c r="G461" s="28"/>
      <c r="H461" s="28"/>
      <c r="I461" s="28"/>
      <c r="J461" s="28"/>
      <c r="K461" s="28"/>
      <c r="L461" s="28"/>
      <c r="M461" s="28"/>
      <c r="N461" s="29"/>
    </row>
    <row r="462" spans="1:14" x14ac:dyDescent="0.2">
      <c r="A462" s="24"/>
      <c r="B462" s="26" t="s">
        <v>429</v>
      </c>
      <c r="C462" s="27" t="s">
        <v>1489</v>
      </c>
      <c r="D462" s="27"/>
      <c r="E462" s="28"/>
      <c r="F462" s="28"/>
      <c r="G462" s="28"/>
      <c r="H462" s="28"/>
      <c r="I462" s="28"/>
      <c r="J462" s="28"/>
      <c r="K462" s="28"/>
      <c r="L462" s="28"/>
      <c r="M462" s="28"/>
      <c r="N462" s="29"/>
    </row>
    <row r="463" spans="1:14" x14ac:dyDescent="0.2">
      <c r="A463" s="24"/>
      <c r="B463" s="26" t="s">
        <v>427</v>
      </c>
      <c r="C463" s="444" t="s">
        <v>1600</v>
      </c>
      <c r="D463" s="444"/>
      <c r="E463" s="444"/>
      <c r="F463" s="444"/>
      <c r="G463" s="444"/>
      <c r="H463" s="444"/>
      <c r="I463" s="444"/>
      <c r="J463" s="444"/>
      <c r="K463" s="444"/>
      <c r="L463" s="444"/>
      <c r="M463" s="444"/>
      <c r="N463" s="445"/>
    </row>
    <row r="464" spans="1:14" x14ac:dyDescent="0.2">
      <c r="A464" s="24"/>
      <c r="B464" s="27"/>
      <c r="C464" s="444"/>
      <c r="D464" s="444"/>
      <c r="E464" s="444"/>
      <c r="F464" s="444"/>
      <c r="G464" s="444"/>
      <c r="H464" s="444"/>
      <c r="I464" s="444"/>
      <c r="J464" s="444"/>
      <c r="K464" s="444"/>
      <c r="L464" s="444"/>
      <c r="M464" s="444"/>
      <c r="N464" s="445"/>
    </row>
    <row r="465" spans="1:14" x14ac:dyDescent="0.2">
      <c r="A465" s="24"/>
      <c r="B465" s="27"/>
      <c r="C465" s="444"/>
      <c r="D465" s="444"/>
      <c r="E465" s="444"/>
      <c r="F465" s="444"/>
      <c r="G465" s="444"/>
      <c r="H465" s="444"/>
      <c r="I465" s="444"/>
      <c r="J465" s="444"/>
      <c r="K465" s="444"/>
      <c r="L465" s="444"/>
      <c r="M465" s="444"/>
      <c r="N465" s="445"/>
    </row>
    <row r="466" spans="1:14" x14ac:dyDescent="0.2">
      <c r="A466" s="24"/>
      <c r="B466" s="26" t="s">
        <v>426</v>
      </c>
      <c r="C466" s="27" t="s">
        <v>222</v>
      </c>
      <c r="D466" s="27"/>
      <c r="E466" s="28"/>
      <c r="F466" s="28"/>
      <c r="G466" s="28"/>
      <c r="H466" s="28"/>
      <c r="I466" s="28"/>
      <c r="J466" s="28"/>
      <c r="K466" s="28"/>
      <c r="L466" s="28"/>
      <c r="M466" s="28"/>
      <c r="N466" s="29"/>
    </row>
    <row r="467" spans="1:14" ht="13.5" thickBot="1" x14ac:dyDescent="0.25">
      <c r="A467" s="30"/>
      <c r="B467" s="47" t="s">
        <v>430</v>
      </c>
      <c r="C467" s="31"/>
      <c r="D467" s="31"/>
      <c r="E467" s="32"/>
      <c r="F467" s="32"/>
      <c r="G467" s="32"/>
      <c r="H467" s="32"/>
      <c r="I467" s="32"/>
      <c r="J467" s="32"/>
      <c r="K467" s="32"/>
      <c r="L467" s="32"/>
      <c r="M467" s="32"/>
      <c r="N467" s="33"/>
    </row>
    <row r="468" spans="1:14" ht="13.5" thickBot="1" x14ac:dyDescent="0.25">
      <c r="A468" s="30"/>
      <c r="B468" s="55" t="s">
        <v>263</v>
      </c>
      <c r="C468" s="31"/>
      <c r="D468" s="31"/>
      <c r="E468" s="32"/>
      <c r="F468" s="32"/>
      <c r="G468" s="32"/>
      <c r="H468" s="32"/>
      <c r="I468" s="32"/>
      <c r="J468" s="49" t="s">
        <v>907</v>
      </c>
      <c r="K468" s="40" t="s">
        <v>611</v>
      </c>
      <c r="L468" s="40"/>
      <c r="M468" s="40"/>
      <c r="N468" s="40"/>
    </row>
    <row r="469" spans="1:14" x14ac:dyDescent="0.2">
      <c r="A469" s="20"/>
      <c r="B469" s="434" t="s">
        <v>67</v>
      </c>
      <c r="C469" s="434"/>
      <c r="D469" s="434"/>
      <c r="E469" s="22"/>
      <c r="F469" s="22" t="s">
        <v>1180</v>
      </c>
      <c r="G469" s="22" t="s">
        <v>68</v>
      </c>
      <c r="H469" s="22" t="s">
        <v>702</v>
      </c>
      <c r="I469" s="22"/>
      <c r="J469" s="74">
        <f>53/O1*O2</f>
        <v>96.36363636363636</v>
      </c>
      <c r="K469" s="74">
        <f>70/O1*O2</f>
        <v>127.27272727272727</v>
      </c>
      <c r="L469" s="53"/>
      <c r="M469" s="42"/>
      <c r="N469" s="42"/>
    </row>
    <row r="470" spans="1:14" x14ac:dyDescent="0.2">
      <c r="A470" s="24"/>
      <c r="B470" s="435" t="s">
        <v>67</v>
      </c>
      <c r="C470" s="435"/>
      <c r="D470" s="435"/>
      <c r="E470" s="28"/>
      <c r="F470" s="28" t="s">
        <v>1181</v>
      </c>
      <c r="G470" s="28" t="s">
        <v>68</v>
      </c>
      <c r="H470" s="28" t="s">
        <v>702</v>
      </c>
      <c r="I470" s="28"/>
      <c r="J470" s="75">
        <f>31.5/O1*O2</f>
        <v>57.272727272727266</v>
      </c>
      <c r="K470" s="75">
        <f>40/O1*O2</f>
        <v>72.72727272727272</v>
      </c>
      <c r="L470" s="44"/>
      <c r="M470" s="44"/>
      <c r="N470" s="44"/>
    </row>
    <row r="471" spans="1:14" x14ac:dyDescent="0.2">
      <c r="A471" s="24"/>
      <c r="B471" s="435" t="s">
        <v>67</v>
      </c>
      <c r="C471" s="435"/>
      <c r="D471" s="435"/>
      <c r="E471" s="28"/>
      <c r="F471" s="28" t="s">
        <v>1182</v>
      </c>
      <c r="G471" s="28" t="s">
        <v>68</v>
      </c>
      <c r="H471" s="28" t="s">
        <v>702</v>
      </c>
      <c r="I471" s="28"/>
      <c r="J471" s="75">
        <f>27/O1*O2</f>
        <v>49.090909090909086</v>
      </c>
      <c r="K471" s="75">
        <f>30.6/O1*O2</f>
        <v>55.636363636363633</v>
      </c>
      <c r="L471" s="44"/>
      <c r="M471" s="44"/>
      <c r="N471" s="44"/>
    </row>
    <row r="472" spans="1:14" ht="13.5" thickBot="1" x14ac:dyDescent="0.25">
      <c r="A472" s="30"/>
      <c r="B472" s="443"/>
      <c r="C472" s="443"/>
      <c r="D472" s="443"/>
      <c r="E472" s="32"/>
      <c r="F472" s="32"/>
      <c r="G472" s="32"/>
      <c r="H472" s="32"/>
      <c r="I472" s="32"/>
      <c r="J472" s="76"/>
      <c r="K472" s="76"/>
      <c r="L472" s="46"/>
      <c r="M472" s="46"/>
      <c r="N472" s="46"/>
    </row>
    <row r="473" spans="1:14" ht="13.5" thickBot="1" x14ac:dyDescent="0.25">
      <c r="A473" s="84"/>
      <c r="B473" s="55" t="s">
        <v>447</v>
      </c>
      <c r="C473" s="55"/>
      <c r="D473" s="55"/>
      <c r="E473" s="64"/>
      <c r="F473" s="64"/>
      <c r="G473" s="64"/>
      <c r="H473" s="64"/>
      <c r="I473" s="64"/>
      <c r="J473" s="64"/>
      <c r="K473" s="64"/>
      <c r="L473" s="64"/>
      <c r="M473" s="64"/>
      <c r="N473" s="66"/>
    </row>
    <row r="474" spans="1:14" x14ac:dyDescent="0.2">
      <c r="B474" s="14"/>
      <c r="E474" s="15"/>
    </row>
    <row r="475" spans="1:14" x14ac:dyDescent="0.2">
      <c r="A475" s="17"/>
      <c r="B475" s="17"/>
      <c r="C475" s="17"/>
      <c r="D475" s="17"/>
      <c r="E475" s="17"/>
      <c r="F475" s="17"/>
      <c r="G475" s="17"/>
      <c r="H475" s="17"/>
      <c r="I475" s="17"/>
      <c r="J475" s="17"/>
      <c r="K475" s="17"/>
      <c r="L475" s="17"/>
      <c r="M475" s="17"/>
      <c r="N475" s="17"/>
    </row>
    <row r="476" spans="1:14" x14ac:dyDescent="0.2">
      <c r="A476" s="17"/>
      <c r="B476" s="17"/>
      <c r="C476" s="17"/>
      <c r="D476" s="17"/>
      <c r="E476" s="17"/>
      <c r="F476" s="17"/>
      <c r="G476" s="17"/>
      <c r="H476" s="17"/>
      <c r="I476" s="17"/>
      <c r="J476" s="17"/>
      <c r="K476" s="17"/>
      <c r="L476" s="17"/>
      <c r="M476" s="17"/>
      <c r="N476" s="17"/>
    </row>
    <row r="477" spans="1:14" x14ac:dyDescent="0.2">
      <c r="A477" s="17"/>
      <c r="B477" s="17"/>
      <c r="C477" s="17"/>
      <c r="D477" s="17"/>
      <c r="E477" s="17"/>
      <c r="F477" s="17"/>
      <c r="G477" s="17"/>
      <c r="H477" s="17"/>
      <c r="I477" s="17"/>
      <c r="J477" s="17"/>
      <c r="K477" s="17"/>
      <c r="L477" s="17"/>
      <c r="M477" s="17"/>
      <c r="N477" s="17"/>
    </row>
    <row r="478" spans="1:14" x14ac:dyDescent="0.2">
      <c r="A478" s="17"/>
      <c r="B478" s="17"/>
      <c r="C478" s="17"/>
      <c r="D478" s="17"/>
      <c r="E478" s="17"/>
      <c r="F478" s="17"/>
      <c r="G478" s="17"/>
      <c r="H478" s="17"/>
      <c r="I478" s="17"/>
      <c r="J478" s="17"/>
      <c r="K478" s="17"/>
      <c r="L478" s="17"/>
      <c r="M478" s="17"/>
      <c r="N478" s="17"/>
    </row>
    <row r="479" spans="1:14" x14ac:dyDescent="0.2">
      <c r="A479" s="17"/>
      <c r="B479" s="17"/>
      <c r="C479" s="17"/>
      <c r="D479" s="17"/>
      <c r="E479" s="17"/>
      <c r="F479" s="17"/>
      <c r="G479" s="17"/>
      <c r="H479" s="17"/>
      <c r="I479" s="17"/>
      <c r="J479" s="17"/>
      <c r="K479" s="17"/>
      <c r="L479" s="17"/>
      <c r="M479" s="17"/>
      <c r="N479" s="17"/>
    </row>
    <row r="480" spans="1:14" x14ac:dyDescent="0.2">
      <c r="A480" s="17"/>
      <c r="B480" s="17"/>
      <c r="C480" s="17"/>
      <c r="D480" s="17"/>
      <c r="E480" s="17"/>
      <c r="F480" s="17"/>
      <c r="G480" s="17"/>
      <c r="H480" s="17"/>
      <c r="I480" s="17"/>
      <c r="J480" s="17"/>
      <c r="K480" s="17"/>
      <c r="L480" s="17"/>
      <c r="M480" s="17"/>
      <c r="N480" s="17"/>
    </row>
    <row r="481" spans="1:15" x14ac:dyDescent="0.2">
      <c r="A481" s="17"/>
      <c r="B481" s="17"/>
      <c r="C481" s="17"/>
      <c r="D481" s="17"/>
      <c r="E481" s="17"/>
      <c r="F481" s="17"/>
      <c r="G481" s="17"/>
      <c r="H481" s="17"/>
      <c r="I481" s="17"/>
      <c r="J481" s="17"/>
      <c r="K481" s="17"/>
      <c r="L481" s="17"/>
      <c r="M481" s="17"/>
      <c r="N481" s="17"/>
    </row>
    <row r="482" spans="1:15" ht="13.5" thickBot="1" x14ac:dyDescent="0.25">
      <c r="A482" s="17"/>
      <c r="B482" s="17"/>
      <c r="C482" s="17"/>
      <c r="D482" s="17"/>
      <c r="E482" s="17"/>
      <c r="F482" s="17"/>
      <c r="G482" s="17"/>
      <c r="H482" s="17"/>
      <c r="I482" s="17"/>
      <c r="J482" s="17"/>
      <c r="K482" s="17"/>
      <c r="L482" s="17"/>
      <c r="M482" s="17"/>
      <c r="N482" s="17"/>
    </row>
    <row r="483" spans="1:15" x14ac:dyDescent="0.2">
      <c r="A483" s="20"/>
      <c r="B483" s="21"/>
      <c r="C483" s="21"/>
      <c r="D483" s="21"/>
      <c r="E483" s="22"/>
      <c r="F483" s="22"/>
      <c r="G483" s="22"/>
      <c r="H483" s="22"/>
      <c r="I483" s="22"/>
      <c r="J483" s="22"/>
      <c r="K483" s="22"/>
      <c r="L483" s="22"/>
      <c r="M483" s="22"/>
      <c r="N483" s="23"/>
    </row>
    <row r="484" spans="1:15" ht="15" x14ac:dyDescent="0.2">
      <c r="A484" s="24"/>
      <c r="B484" s="440" t="s">
        <v>1447</v>
      </c>
      <c r="C484" s="441"/>
      <c r="D484" s="441"/>
      <c r="E484" s="441"/>
      <c r="F484" s="441"/>
      <c r="G484" s="441"/>
      <c r="H484" s="441"/>
      <c r="I484" s="441"/>
      <c r="J484" s="441"/>
      <c r="K484" s="441"/>
      <c r="L484" s="441"/>
      <c r="M484" s="442"/>
      <c r="N484" s="25" t="s">
        <v>905</v>
      </c>
    </row>
    <row r="485" spans="1:15" x14ac:dyDescent="0.2">
      <c r="A485" s="24"/>
      <c r="B485" s="26" t="s">
        <v>428</v>
      </c>
      <c r="C485" s="27" t="s">
        <v>1448</v>
      </c>
      <c r="D485" s="27"/>
      <c r="E485" s="28"/>
      <c r="F485" s="28"/>
      <c r="G485" s="28"/>
      <c r="H485" s="28"/>
      <c r="I485" s="28"/>
      <c r="J485" s="28"/>
      <c r="K485" s="28"/>
      <c r="L485" s="28"/>
      <c r="M485" s="28"/>
      <c r="N485" s="29"/>
    </row>
    <row r="486" spans="1:15" x14ac:dyDescent="0.2">
      <c r="A486" s="24"/>
      <c r="B486" s="26" t="s">
        <v>429</v>
      </c>
      <c r="C486" s="27" t="s">
        <v>1449</v>
      </c>
      <c r="D486" s="27"/>
      <c r="E486" s="28"/>
      <c r="F486" s="28"/>
      <c r="G486" s="28"/>
      <c r="H486" s="28"/>
      <c r="I486" s="28"/>
      <c r="J486" s="28"/>
      <c r="K486" s="28"/>
      <c r="L486" s="28"/>
      <c r="M486" s="28"/>
      <c r="N486" s="29"/>
    </row>
    <row r="487" spans="1:15" x14ac:dyDescent="0.2">
      <c r="A487" s="24"/>
      <c r="B487" s="26" t="s">
        <v>427</v>
      </c>
      <c r="C487" s="436" t="s">
        <v>1601</v>
      </c>
      <c r="D487" s="436"/>
      <c r="E487" s="436"/>
      <c r="F487" s="436"/>
      <c r="G487" s="436"/>
      <c r="H487" s="436"/>
      <c r="I487" s="436"/>
      <c r="J487" s="436"/>
      <c r="K487" s="436"/>
      <c r="L487" s="436"/>
      <c r="M487" s="436"/>
      <c r="N487" s="437"/>
    </row>
    <row r="488" spans="1:15" x14ac:dyDescent="0.2">
      <c r="A488" s="24"/>
      <c r="C488" s="436"/>
      <c r="D488" s="436"/>
      <c r="E488" s="436"/>
      <c r="F488" s="436"/>
      <c r="G488" s="436"/>
      <c r="H488" s="436"/>
      <c r="I488" s="436"/>
      <c r="J488" s="436"/>
      <c r="K488" s="436"/>
      <c r="L488" s="436"/>
      <c r="M488" s="436"/>
      <c r="N488" s="437"/>
    </row>
    <row r="489" spans="1:15" x14ac:dyDescent="0.2">
      <c r="A489" s="24"/>
      <c r="B489" s="26" t="s">
        <v>426</v>
      </c>
      <c r="C489" s="27"/>
      <c r="D489" s="27"/>
      <c r="E489" s="28"/>
      <c r="F489" s="28"/>
      <c r="G489" s="28"/>
      <c r="H489" s="28"/>
      <c r="I489" s="28"/>
      <c r="J489" s="28"/>
      <c r="K489" s="28"/>
      <c r="L489" s="28"/>
      <c r="M489" s="28"/>
      <c r="N489" s="29"/>
    </row>
    <row r="490" spans="1:15" ht="13.5" thickBot="1" x14ac:dyDescent="0.25">
      <c r="A490" s="30"/>
      <c r="B490" s="47" t="s">
        <v>430</v>
      </c>
      <c r="C490" s="31"/>
      <c r="D490" s="31"/>
      <c r="E490" s="32"/>
      <c r="F490" s="32"/>
      <c r="G490" s="32"/>
      <c r="H490" s="32"/>
      <c r="I490" s="32"/>
      <c r="J490" s="32"/>
      <c r="K490" s="28"/>
      <c r="L490" s="32"/>
      <c r="M490" s="32"/>
      <c r="N490" s="33"/>
    </row>
    <row r="491" spans="1:15" x14ac:dyDescent="0.2">
      <c r="A491" s="20"/>
      <c r="B491" s="21" t="s">
        <v>263</v>
      </c>
      <c r="C491" s="21"/>
      <c r="D491" s="21"/>
      <c r="E491" s="22"/>
      <c r="F491" s="22"/>
      <c r="G491" s="22"/>
      <c r="H491" s="22"/>
      <c r="I491" s="23"/>
      <c r="J491" s="37"/>
      <c r="K491" s="37" t="s">
        <v>1754</v>
      </c>
      <c r="L491" s="37"/>
      <c r="M491" s="48"/>
      <c r="N491" s="37"/>
    </row>
    <row r="492" spans="1:15" ht="13.5" thickBot="1" x14ac:dyDescent="0.25">
      <c r="A492" s="24"/>
      <c r="B492" s="27"/>
      <c r="C492" s="27"/>
      <c r="D492" s="27"/>
      <c r="E492" s="28"/>
      <c r="F492" s="28"/>
      <c r="G492" s="28"/>
      <c r="H492" s="28"/>
      <c r="I492" s="28"/>
      <c r="J492" s="40" t="s">
        <v>909</v>
      </c>
      <c r="K492" s="40" t="s">
        <v>612</v>
      </c>
      <c r="L492" s="40" t="s">
        <v>123</v>
      </c>
      <c r="M492" s="63"/>
      <c r="N492" s="63"/>
    </row>
    <row r="493" spans="1:15" x14ac:dyDescent="0.2">
      <c r="A493" s="20"/>
      <c r="B493" s="434" t="s">
        <v>67</v>
      </c>
      <c r="C493" s="434"/>
      <c r="D493" s="434"/>
      <c r="E493" s="22"/>
      <c r="F493" s="22" t="s">
        <v>1180</v>
      </c>
      <c r="G493" s="22" t="s">
        <v>68</v>
      </c>
      <c r="H493" s="22" t="s">
        <v>702</v>
      </c>
      <c r="I493" s="22"/>
      <c r="J493" s="75">
        <f>100/O1*O2</f>
        <v>181.81818181818181</v>
      </c>
      <c r="K493" s="75">
        <f>130/O1*O2</f>
        <v>236.36363636363635</v>
      </c>
      <c r="L493" s="77">
        <f>110/O1*O2</f>
        <v>199.99999999999997</v>
      </c>
      <c r="M493" s="42"/>
      <c r="N493" s="42"/>
    </row>
    <row r="494" spans="1:15" x14ac:dyDescent="0.2">
      <c r="A494" s="24"/>
      <c r="B494" s="435" t="s">
        <v>67</v>
      </c>
      <c r="C494" s="435"/>
      <c r="D494" s="435"/>
      <c r="E494" s="28"/>
      <c r="F494" s="28" t="s">
        <v>1181</v>
      </c>
      <c r="G494" s="28" t="s">
        <v>68</v>
      </c>
      <c r="H494" s="28" t="s">
        <v>702</v>
      </c>
      <c r="I494" s="28"/>
      <c r="J494" s="75">
        <f>57.5/O1*O2</f>
        <v>104.54545454545453</v>
      </c>
      <c r="K494" s="75">
        <f>75/O1*O2</f>
        <v>136.36363636363635</v>
      </c>
      <c r="L494" s="75">
        <f>65/O1*O2</f>
        <v>118.18181818181817</v>
      </c>
      <c r="M494" s="44"/>
      <c r="N494" s="44"/>
    </row>
    <row r="495" spans="1:15" x14ac:dyDescent="0.2">
      <c r="A495" s="24"/>
      <c r="B495" s="435" t="s">
        <v>67</v>
      </c>
      <c r="C495" s="435"/>
      <c r="D495" s="435"/>
      <c r="E495" s="28"/>
      <c r="F495" s="28" t="s">
        <v>1182</v>
      </c>
      <c r="G495" s="28" t="s">
        <v>68</v>
      </c>
      <c r="H495" s="28" t="s">
        <v>702</v>
      </c>
      <c r="I495" s="28"/>
      <c r="J495" s="75">
        <f>43.5/O1*O2</f>
        <v>79.090909090909079</v>
      </c>
      <c r="K495" s="75">
        <f>87.5/O1*O2</f>
        <v>159.09090909090907</v>
      </c>
      <c r="L495" s="75">
        <f>77.5/O1*O2</f>
        <v>140.90909090909091</v>
      </c>
      <c r="M495" s="44"/>
      <c r="N495" s="44"/>
      <c r="O495" s="16"/>
    </row>
    <row r="496" spans="1:15" ht="13.5" thickBot="1" x14ac:dyDescent="0.25">
      <c r="A496" s="30"/>
      <c r="B496" s="443" t="s">
        <v>902</v>
      </c>
      <c r="C496" s="443"/>
      <c r="D496" s="443"/>
      <c r="E496" s="32"/>
      <c r="F496" s="32"/>
      <c r="G496" s="32" t="s">
        <v>1484</v>
      </c>
      <c r="H496" s="32" t="s">
        <v>702</v>
      </c>
      <c r="I496" s="32"/>
      <c r="J496" s="76">
        <f>28/O1*O2</f>
        <v>50.909090909090907</v>
      </c>
      <c r="K496" s="76">
        <f>30/O1*O2</f>
        <v>54.54545454545454</v>
      </c>
      <c r="L496" s="76">
        <f>30/O1*O2</f>
        <v>54.54545454545454</v>
      </c>
      <c r="M496" s="46"/>
      <c r="N496" s="46"/>
      <c r="O496" s="16"/>
    </row>
    <row r="497" spans="1:15" ht="13.5" thickBot="1" x14ac:dyDescent="0.25">
      <c r="O497" s="16"/>
    </row>
    <row r="498" spans="1:15" x14ac:dyDescent="0.2">
      <c r="A498" s="20"/>
      <c r="B498" s="21"/>
      <c r="C498" s="21"/>
      <c r="D498" s="21"/>
      <c r="E498" s="22"/>
      <c r="F498" s="22"/>
      <c r="G498" s="22"/>
      <c r="H498" s="22"/>
      <c r="I498" s="22"/>
      <c r="J498" s="22"/>
      <c r="K498" s="22"/>
      <c r="L498" s="22"/>
      <c r="M498" s="22"/>
      <c r="N498" s="23"/>
      <c r="O498" s="16"/>
    </row>
    <row r="499" spans="1:15" ht="15" x14ac:dyDescent="0.2">
      <c r="A499" s="24"/>
      <c r="B499" s="440" t="s">
        <v>808</v>
      </c>
      <c r="C499" s="441"/>
      <c r="D499" s="441"/>
      <c r="E499" s="441"/>
      <c r="F499" s="441"/>
      <c r="G499" s="441"/>
      <c r="H499" s="441"/>
      <c r="I499" s="441"/>
      <c r="J499" s="441"/>
      <c r="K499" s="441"/>
      <c r="L499" s="441"/>
      <c r="M499" s="442"/>
      <c r="N499" s="25" t="s">
        <v>905</v>
      </c>
      <c r="O499" s="16"/>
    </row>
    <row r="500" spans="1:15" x14ac:dyDescent="0.2">
      <c r="A500" s="24"/>
      <c r="B500" s="26" t="s">
        <v>428</v>
      </c>
      <c r="C500" s="27" t="s">
        <v>809</v>
      </c>
      <c r="D500" s="27"/>
      <c r="E500" s="28"/>
      <c r="F500" s="28"/>
      <c r="G500" s="28"/>
      <c r="H500" s="28"/>
      <c r="I500" s="28"/>
      <c r="J500" s="28"/>
      <c r="K500" s="28"/>
      <c r="L500" s="28"/>
      <c r="M500" s="28"/>
      <c r="N500" s="29"/>
      <c r="O500" s="16"/>
    </row>
    <row r="501" spans="1:15" x14ac:dyDescent="0.2">
      <c r="A501" s="24"/>
      <c r="B501" s="26" t="s">
        <v>429</v>
      </c>
      <c r="C501" s="27" t="s">
        <v>810</v>
      </c>
      <c r="D501" s="27"/>
      <c r="E501" s="28"/>
      <c r="F501" s="28"/>
      <c r="G501" s="28"/>
      <c r="H501" s="28"/>
      <c r="I501" s="28"/>
      <c r="J501" s="28"/>
      <c r="K501" s="28"/>
      <c r="L501" s="28"/>
      <c r="M501" s="28"/>
      <c r="N501" s="29"/>
      <c r="O501" s="16"/>
    </row>
    <row r="502" spans="1:15" x14ac:dyDescent="0.2">
      <c r="A502" s="24"/>
      <c r="B502" s="26" t="s">
        <v>427</v>
      </c>
      <c r="C502" s="436" t="s">
        <v>1602</v>
      </c>
      <c r="D502" s="436"/>
      <c r="E502" s="436"/>
      <c r="F502" s="436"/>
      <c r="G502" s="436"/>
      <c r="H502" s="436"/>
      <c r="I502" s="436"/>
      <c r="J502" s="436"/>
      <c r="K502" s="436"/>
      <c r="L502" s="436"/>
      <c r="M502" s="436"/>
      <c r="N502" s="437"/>
      <c r="O502" s="16"/>
    </row>
    <row r="503" spans="1:15" x14ac:dyDescent="0.2">
      <c r="A503" s="24"/>
      <c r="B503" s="26"/>
      <c r="C503" s="436"/>
      <c r="D503" s="436"/>
      <c r="E503" s="436"/>
      <c r="F503" s="436"/>
      <c r="G503" s="436"/>
      <c r="H503" s="436"/>
      <c r="I503" s="436"/>
      <c r="J503" s="436"/>
      <c r="K503" s="436"/>
      <c r="L503" s="436"/>
      <c r="M503" s="436"/>
      <c r="N503" s="437"/>
      <c r="O503" s="16"/>
    </row>
    <row r="504" spans="1:15" x14ac:dyDescent="0.2">
      <c r="A504" s="24"/>
      <c r="C504" s="436"/>
      <c r="D504" s="436"/>
      <c r="E504" s="436"/>
      <c r="F504" s="436"/>
      <c r="G504" s="436"/>
      <c r="H504" s="436"/>
      <c r="I504" s="436"/>
      <c r="J504" s="436"/>
      <c r="K504" s="436"/>
      <c r="L504" s="436"/>
      <c r="M504" s="436"/>
      <c r="N504" s="437"/>
      <c r="O504" s="16"/>
    </row>
    <row r="505" spans="1:15" x14ac:dyDescent="0.2">
      <c r="A505" s="24"/>
      <c r="C505" s="436"/>
      <c r="D505" s="436"/>
      <c r="E505" s="436"/>
      <c r="F505" s="436"/>
      <c r="G505" s="436"/>
      <c r="H505" s="436"/>
      <c r="I505" s="436"/>
      <c r="J505" s="436"/>
      <c r="K505" s="436"/>
      <c r="L505" s="436"/>
      <c r="M505" s="436"/>
      <c r="N505" s="437"/>
      <c r="O505" s="16"/>
    </row>
    <row r="506" spans="1:15" x14ac:dyDescent="0.2">
      <c r="A506" s="24"/>
      <c r="B506" s="26" t="s">
        <v>426</v>
      </c>
      <c r="C506" s="27"/>
      <c r="D506" s="27"/>
      <c r="E506" s="28"/>
      <c r="F506" s="28"/>
      <c r="G506" s="28"/>
      <c r="H506" s="27"/>
      <c r="I506" s="28"/>
      <c r="J506" s="28"/>
      <c r="K506" s="28"/>
      <c r="L506" s="28"/>
      <c r="M506" s="28"/>
      <c r="N506" s="29"/>
      <c r="O506" s="16"/>
    </row>
    <row r="507" spans="1:15" ht="13.5" thickBot="1" x14ac:dyDescent="0.25">
      <c r="A507" s="30"/>
      <c r="B507" s="26" t="s">
        <v>430</v>
      </c>
      <c r="C507" s="31"/>
      <c r="D507" s="31"/>
      <c r="E507" s="32"/>
      <c r="F507" s="32"/>
      <c r="G507" s="32"/>
      <c r="H507" s="32"/>
      <c r="I507" s="32"/>
      <c r="J507" s="32"/>
      <c r="K507" s="32"/>
      <c r="L507" s="32"/>
      <c r="M507" s="32"/>
      <c r="N507" s="33"/>
      <c r="O507" s="16"/>
    </row>
    <row r="508" spans="1:15" ht="13.5" thickBot="1" x14ac:dyDescent="0.25">
      <c r="A508" s="24"/>
      <c r="B508" s="21" t="s">
        <v>263</v>
      </c>
      <c r="C508" s="27"/>
      <c r="D508" s="27"/>
      <c r="E508" s="28"/>
      <c r="F508" s="28"/>
      <c r="G508" s="28"/>
      <c r="H508" s="28"/>
      <c r="I508" s="28"/>
      <c r="J508" s="32"/>
      <c r="K508" s="32"/>
      <c r="L508" s="32"/>
      <c r="M508" s="32"/>
      <c r="N508" s="29"/>
      <c r="O508" s="16"/>
    </row>
    <row r="509" spans="1:15" ht="13.5" thickBot="1" x14ac:dyDescent="0.25">
      <c r="A509" s="20"/>
      <c r="B509" s="21" t="s">
        <v>263</v>
      </c>
      <c r="C509" s="21"/>
      <c r="D509" s="21"/>
      <c r="E509" s="22"/>
      <c r="F509" s="22"/>
      <c r="G509" s="22"/>
      <c r="H509" s="22"/>
      <c r="I509" s="22"/>
      <c r="J509" s="56" t="s">
        <v>753</v>
      </c>
      <c r="K509" s="56" t="s">
        <v>206</v>
      </c>
      <c r="L509" s="56"/>
      <c r="M509" s="56"/>
      <c r="N509" s="37"/>
      <c r="O509" s="16"/>
    </row>
    <row r="510" spans="1:15" x14ac:dyDescent="0.2">
      <c r="A510" s="20"/>
      <c r="B510" s="434" t="s">
        <v>67</v>
      </c>
      <c r="C510" s="434"/>
      <c r="D510" s="434"/>
      <c r="E510" s="22"/>
      <c r="F510" s="22" t="s">
        <v>1180</v>
      </c>
      <c r="G510" s="22" t="s">
        <v>68</v>
      </c>
      <c r="H510" s="22" t="s">
        <v>702</v>
      </c>
      <c r="I510" s="22"/>
      <c r="J510" s="75">
        <f>57.5/O1*O2</f>
        <v>104.54545454545453</v>
      </c>
      <c r="K510" s="75">
        <f>70.8/O1*O2</f>
        <v>128.72727272727272</v>
      </c>
      <c r="L510" s="44"/>
      <c r="M510" s="44"/>
      <c r="N510" s="42"/>
      <c r="O510" s="16"/>
    </row>
    <row r="511" spans="1:15" x14ac:dyDescent="0.2">
      <c r="A511" s="24"/>
      <c r="B511" s="435" t="s">
        <v>67</v>
      </c>
      <c r="C511" s="435"/>
      <c r="D511" s="435"/>
      <c r="E511" s="28"/>
      <c r="F511" s="28" t="s">
        <v>1181</v>
      </c>
      <c r="G511" s="28" t="s">
        <v>68</v>
      </c>
      <c r="H511" s="28" t="s">
        <v>702</v>
      </c>
      <c r="I511" s="28"/>
      <c r="J511" s="75">
        <f>31.5/O1*O2</f>
        <v>57.272727272727266</v>
      </c>
      <c r="K511" s="75">
        <f>39.8/O1*O2</f>
        <v>72.363636363636346</v>
      </c>
      <c r="L511" s="44"/>
      <c r="M511" s="44"/>
      <c r="N511" s="44"/>
      <c r="O511" s="16"/>
    </row>
    <row r="512" spans="1:15" x14ac:dyDescent="0.2">
      <c r="A512" s="24"/>
      <c r="B512" s="435" t="s">
        <v>67</v>
      </c>
      <c r="C512" s="435"/>
      <c r="D512" s="435"/>
      <c r="E512" s="28"/>
      <c r="F512" s="28" t="s">
        <v>1182</v>
      </c>
      <c r="G512" s="28" t="s">
        <v>68</v>
      </c>
      <c r="H512" s="28" t="s">
        <v>702</v>
      </c>
      <c r="I512" s="28"/>
      <c r="J512" s="75">
        <f>24.5/O1*O2</f>
        <v>44.54545454545454</v>
      </c>
      <c r="K512" s="75">
        <f>31.7/O1*O2</f>
        <v>57.636363636363633</v>
      </c>
      <c r="L512" s="44"/>
      <c r="M512" s="44"/>
      <c r="N512" s="44"/>
      <c r="O512" s="16"/>
    </row>
    <row r="513" spans="1:15" ht="13.5" thickBot="1" x14ac:dyDescent="0.25">
      <c r="A513" s="30"/>
      <c r="B513" s="443" t="s">
        <v>902</v>
      </c>
      <c r="C513" s="443"/>
      <c r="D513" s="443"/>
      <c r="E513" s="32"/>
      <c r="F513" s="32"/>
      <c r="G513" s="32"/>
      <c r="H513" s="32"/>
      <c r="I513" s="32"/>
      <c r="J513" s="76">
        <f>14/O1*O2</f>
        <v>25.454545454545453</v>
      </c>
      <c r="K513" s="76">
        <f>14/O1*O2</f>
        <v>25.454545454545453</v>
      </c>
      <c r="L513" s="46"/>
      <c r="M513" s="46"/>
      <c r="N513" s="46"/>
      <c r="O513" s="16"/>
    </row>
    <row r="514" spans="1:15" ht="13.5" thickBot="1" x14ac:dyDescent="0.25">
      <c r="O514" s="16"/>
    </row>
    <row r="515" spans="1:15" x14ac:dyDescent="0.2">
      <c r="A515" s="20"/>
      <c r="B515" s="21"/>
      <c r="C515" s="21"/>
      <c r="D515" s="21"/>
      <c r="E515" s="22"/>
      <c r="F515" s="22"/>
      <c r="G515" s="22"/>
      <c r="H515" s="22"/>
      <c r="I515" s="22"/>
      <c r="J515" s="22"/>
      <c r="K515" s="22"/>
      <c r="L515" s="22"/>
      <c r="M515" s="22"/>
      <c r="N515" s="23"/>
      <c r="O515" s="16"/>
    </row>
    <row r="516" spans="1:15" ht="15" x14ac:dyDescent="0.2">
      <c r="A516" s="24"/>
      <c r="B516" s="440" t="s">
        <v>1173</v>
      </c>
      <c r="C516" s="441"/>
      <c r="D516" s="441"/>
      <c r="E516" s="441"/>
      <c r="F516" s="441"/>
      <c r="G516" s="441"/>
      <c r="H516" s="441"/>
      <c r="I516" s="441"/>
      <c r="J516" s="441"/>
      <c r="K516" s="441"/>
      <c r="L516" s="441"/>
      <c r="M516" s="442"/>
      <c r="N516" s="25" t="s">
        <v>905</v>
      </c>
      <c r="O516" s="16"/>
    </row>
    <row r="517" spans="1:15" x14ac:dyDescent="0.2">
      <c r="A517" s="24"/>
      <c r="B517" s="26" t="s">
        <v>428</v>
      </c>
      <c r="C517" s="27" t="s">
        <v>1174</v>
      </c>
      <c r="D517" s="27"/>
      <c r="E517" s="28"/>
      <c r="F517" s="28"/>
      <c r="G517" s="28"/>
      <c r="H517" s="28"/>
      <c r="I517" s="28"/>
      <c r="J517" s="28"/>
      <c r="K517" s="28"/>
      <c r="L517" s="28"/>
      <c r="M517" s="28"/>
      <c r="N517" s="29"/>
      <c r="O517" s="16"/>
    </row>
    <row r="518" spans="1:15" x14ac:dyDescent="0.2">
      <c r="A518" s="24"/>
      <c r="B518" s="26" t="s">
        <v>429</v>
      </c>
      <c r="C518" s="27" t="s">
        <v>1175</v>
      </c>
      <c r="D518" s="27"/>
      <c r="E518" s="28"/>
      <c r="F518" s="28"/>
      <c r="G518" s="28"/>
      <c r="H518" s="28"/>
      <c r="I518" s="28"/>
      <c r="J518" s="28"/>
      <c r="K518" s="28"/>
      <c r="L518" s="28"/>
      <c r="M518" s="28"/>
      <c r="N518" s="29"/>
      <c r="O518" s="16"/>
    </row>
    <row r="519" spans="1:15" x14ac:dyDescent="0.2">
      <c r="A519" s="24"/>
      <c r="B519" s="26" t="s">
        <v>427</v>
      </c>
      <c r="C519" s="436" t="s">
        <v>1603</v>
      </c>
      <c r="D519" s="436"/>
      <c r="E519" s="436"/>
      <c r="F519" s="436"/>
      <c r="G519" s="436"/>
      <c r="H519" s="436"/>
      <c r="I519" s="436"/>
      <c r="J519" s="436"/>
      <c r="K519" s="436"/>
      <c r="L519" s="436"/>
      <c r="M519" s="436"/>
      <c r="N519" s="437"/>
      <c r="O519" s="16"/>
    </row>
    <row r="520" spans="1:15" x14ac:dyDescent="0.2">
      <c r="A520" s="24"/>
      <c r="C520" s="436"/>
      <c r="D520" s="436"/>
      <c r="E520" s="436"/>
      <c r="F520" s="436"/>
      <c r="G520" s="436"/>
      <c r="H520" s="436"/>
      <c r="I520" s="436"/>
      <c r="J520" s="436"/>
      <c r="K520" s="436"/>
      <c r="L520" s="436"/>
      <c r="M520" s="436"/>
      <c r="N520" s="437"/>
      <c r="O520" s="16"/>
    </row>
    <row r="521" spans="1:15" x14ac:dyDescent="0.2">
      <c r="A521" s="24"/>
      <c r="C521" s="436"/>
      <c r="D521" s="436"/>
      <c r="E521" s="436"/>
      <c r="F521" s="436"/>
      <c r="G521" s="436"/>
      <c r="H521" s="436"/>
      <c r="I521" s="436"/>
      <c r="J521" s="436"/>
      <c r="K521" s="436"/>
      <c r="L521" s="436"/>
      <c r="M521" s="436"/>
      <c r="N521" s="437"/>
      <c r="O521" s="16"/>
    </row>
    <row r="522" spans="1:15" x14ac:dyDescent="0.2">
      <c r="A522" s="24"/>
      <c r="B522" s="26" t="s">
        <v>426</v>
      </c>
      <c r="C522" s="27" t="s">
        <v>1363</v>
      </c>
      <c r="D522" s="27"/>
      <c r="E522" s="28"/>
      <c r="F522" s="28"/>
      <c r="G522" s="28"/>
      <c r="H522" s="27"/>
      <c r="I522" s="28"/>
      <c r="J522" s="28"/>
      <c r="K522" s="28"/>
      <c r="L522" s="28"/>
      <c r="M522" s="28"/>
      <c r="N522" s="29"/>
      <c r="O522" s="16"/>
    </row>
    <row r="523" spans="1:15" ht="13.5" thickBot="1" x14ac:dyDescent="0.25">
      <c r="A523" s="30"/>
      <c r="B523" s="26" t="s">
        <v>430</v>
      </c>
      <c r="C523" s="31"/>
      <c r="D523" s="31"/>
      <c r="E523" s="32"/>
      <c r="F523" s="32"/>
      <c r="G523" s="32"/>
      <c r="H523" s="32"/>
      <c r="I523" s="32"/>
      <c r="J523" s="32"/>
      <c r="K523" s="32"/>
      <c r="L523" s="32"/>
      <c r="M523" s="32"/>
      <c r="N523" s="33"/>
      <c r="O523" s="16"/>
    </row>
    <row r="524" spans="1:15" ht="13.5" thickBot="1" x14ac:dyDescent="0.25">
      <c r="A524" s="20"/>
      <c r="B524" s="21" t="s">
        <v>263</v>
      </c>
      <c r="C524" s="21"/>
      <c r="D524" s="21"/>
      <c r="E524" s="22"/>
      <c r="F524" s="22"/>
      <c r="G524" s="22"/>
      <c r="H524" s="22"/>
      <c r="I524" s="22"/>
      <c r="J524" s="37" t="s">
        <v>907</v>
      </c>
      <c r="K524" s="37" t="s">
        <v>753</v>
      </c>
      <c r="L524" s="37" t="s">
        <v>206</v>
      </c>
      <c r="M524" s="37"/>
      <c r="N524" s="37"/>
      <c r="O524" s="16"/>
    </row>
    <row r="525" spans="1:15" x14ac:dyDescent="0.2">
      <c r="A525" s="20"/>
      <c r="B525" s="434" t="s">
        <v>67</v>
      </c>
      <c r="C525" s="434"/>
      <c r="D525" s="434"/>
      <c r="E525" s="22"/>
      <c r="F525" s="22" t="s">
        <v>1180</v>
      </c>
      <c r="G525" s="22" t="s">
        <v>68</v>
      </c>
      <c r="H525" s="22" t="s">
        <v>702</v>
      </c>
      <c r="I525" s="22"/>
      <c r="J525" s="75">
        <f>53/O1*O2</f>
        <v>96.36363636363636</v>
      </c>
      <c r="K525" s="75">
        <f>57/O1*O2</f>
        <v>103.63636363636363</v>
      </c>
      <c r="L525" s="75">
        <f>64/O1*O2</f>
        <v>116.36363636363636</v>
      </c>
      <c r="M525" s="44"/>
      <c r="N525" s="42"/>
      <c r="O525" s="16"/>
    </row>
    <row r="526" spans="1:15" x14ac:dyDescent="0.2">
      <c r="A526" s="24"/>
      <c r="B526" s="435" t="s">
        <v>67</v>
      </c>
      <c r="C526" s="435"/>
      <c r="D526" s="435"/>
      <c r="E526" s="28"/>
      <c r="F526" s="28" t="s">
        <v>1181</v>
      </c>
      <c r="G526" s="28" t="s">
        <v>68</v>
      </c>
      <c r="H526" s="28" t="s">
        <v>702</v>
      </c>
      <c r="I526" s="28"/>
      <c r="J526" s="75">
        <f>28/O1*O2</f>
        <v>50.909090909090907</v>
      </c>
      <c r="K526" s="75">
        <f>31/O1*O2</f>
        <v>56.36363636363636</v>
      </c>
      <c r="L526" s="75">
        <f>34/O1*O2</f>
        <v>61.818181818181813</v>
      </c>
      <c r="M526" s="44"/>
      <c r="N526" s="44"/>
      <c r="O526" s="16"/>
    </row>
    <row r="527" spans="1:15" x14ac:dyDescent="0.2">
      <c r="A527" s="24"/>
      <c r="B527" s="435" t="s">
        <v>67</v>
      </c>
      <c r="C527" s="435"/>
      <c r="D527" s="435"/>
      <c r="E527" s="28"/>
      <c r="F527" s="28" t="s">
        <v>1182</v>
      </c>
      <c r="G527" s="28" t="s">
        <v>68</v>
      </c>
      <c r="H527" s="28" t="s">
        <v>702</v>
      </c>
      <c r="I527" s="28"/>
      <c r="J527" s="75">
        <f>22.5/O1*O2</f>
        <v>40.909090909090907</v>
      </c>
      <c r="K527" s="75">
        <f>24/O1*O2</f>
        <v>43.636363636363633</v>
      </c>
      <c r="L527" s="75">
        <f>25.66/O1*O2</f>
        <v>46.654545454545449</v>
      </c>
      <c r="M527" s="44"/>
      <c r="N527" s="44"/>
    </row>
    <row r="528" spans="1:15" ht="13.5" thickBot="1" x14ac:dyDescent="0.25">
      <c r="A528" s="30"/>
      <c r="B528" s="443" t="s">
        <v>902</v>
      </c>
      <c r="C528" s="443"/>
      <c r="D528" s="443"/>
      <c r="E528" s="32"/>
      <c r="F528" s="32"/>
      <c r="G528" s="32"/>
      <c r="H528" s="32"/>
      <c r="I528" s="33"/>
      <c r="J528" s="76">
        <f>15/O1*O2</f>
        <v>27.27272727272727</v>
      </c>
      <c r="K528" s="76">
        <f>15/O1*O2</f>
        <v>27.27272727272727</v>
      </c>
      <c r="L528" s="76">
        <f>16/O1*O2</f>
        <v>29.09090909090909</v>
      </c>
      <c r="M528" s="46"/>
      <c r="N528" s="46"/>
    </row>
    <row r="529" spans="1:14" x14ac:dyDescent="0.2">
      <c r="A529" s="52"/>
      <c r="B529" s="27"/>
      <c r="C529" s="27"/>
      <c r="D529" s="27"/>
      <c r="E529" s="28"/>
      <c r="F529" s="28"/>
      <c r="G529" s="28"/>
      <c r="H529" s="28"/>
      <c r="I529" s="28"/>
      <c r="J529" s="229"/>
      <c r="K529" s="229"/>
      <c r="L529" s="229"/>
      <c r="M529" s="53"/>
      <c r="N529" s="53"/>
    </row>
    <row r="530" spans="1:14" x14ac:dyDescent="0.2">
      <c r="A530" s="52"/>
      <c r="B530" s="27"/>
      <c r="C530" s="27"/>
      <c r="D530" s="27"/>
      <c r="E530" s="28"/>
      <c r="F530" s="28"/>
      <c r="G530" s="28"/>
      <c r="H530" s="28"/>
      <c r="I530" s="28"/>
      <c r="J530" s="229"/>
      <c r="K530" s="229"/>
      <c r="L530" s="229"/>
      <c r="M530" s="53"/>
      <c r="N530" s="53"/>
    </row>
    <row r="531" spans="1:14" x14ac:dyDescent="0.2">
      <c r="A531" s="52"/>
      <c r="B531" s="27"/>
      <c r="C531" s="27"/>
      <c r="D531" s="27"/>
      <c r="E531" s="28"/>
      <c r="F531" s="28"/>
      <c r="G531" s="28"/>
      <c r="H531" s="28"/>
      <c r="I531" s="28"/>
      <c r="J531" s="229"/>
      <c r="K531" s="229"/>
      <c r="L531" s="229"/>
      <c r="M531" s="53"/>
      <c r="N531" s="53"/>
    </row>
    <row r="532" spans="1:14" x14ac:dyDescent="0.2">
      <c r="A532" s="52"/>
      <c r="B532" s="27"/>
      <c r="C532" s="27"/>
      <c r="D532" s="27"/>
      <c r="E532" s="28"/>
      <c r="F532" s="28"/>
      <c r="G532" s="28"/>
      <c r="H532" s="28"/>
      <c r="I532" s="28"/>
      <c r="J532" s="229"/>
      <c r="K532" s="229"/>
      <c r="L532" s="229"/>
      <c r="M532" s="53"/>
      <c r="N532" s="53"/>
    </row>
    <row r="533" spans="1:14" x14ac:dyDescent="0.2">
      <c r="A533" s="52"/>
      <c r="B533" s="27"/>
      <c r="C533" s="27"/>
      <c r="D533" s="27"/>
      <c r="E533" s="28"/>
      <c r="F533" s="28"/>
      <c r="G533" s="28"/>
      <c r="H533" s="28"/>
      <c r="I533" s="28"/>
      <c r="J533" s="229"/>
      <c r="K533" s="229"/>
      <c r="L533" s="229"/>
      <c r="M533" s="53"/>
      <c r="N533" s="53"/>
    </row>
    <row r="534" spans="1:14" x14ac:dyDescent="0.2">
      <c r="A534" s="52"/>
      <c r="B534" s="27"/>
      <c r="C534" s="27"/>
      <c r="D534" s="27"/>
      <c r="E534" s="28"/>
      <c r="F534" s="28"/>
      <c r="G534" s="28"/>
      <c r="H534" s="28"/>
      <c r="I534" s="28"/>
      <c r="J534" s="229"/>
      <c r="K534" s="229"/>
      <c r="L534" s="229"/>
      <c r="M534" s="53"/>
      <c r="N534" s="53"/>
    </row>
    <row r="535" spans="1:14" x14ac:dyDescent="0.2">
      <c r="A535" s="52"/>
      <c r="B535" s="27"/>
      <c r="C535" s="27"/>
      <c r="D535" s="27"/>
      <c r="E535" s="28"/>
      <c r="F535" s="28"/>
      <c r="G535" s="28"/>
      <c r="H535" s="28"/>
      <c r="I535" s="28"/>
      <c r="J535" s="229"/>
      <c r="K535" s="229"/>
      <c r="L535" s="229"/>
      <c r="M535" s="53"/>
      <c r="N535" s="53"/>
    </row>
    <row r="536" spans="1:14" x14ac:dyDescent="0.2">
      <c r="A536" s="52"/>
      <c r="B536" s="27"/>
      <c r="C536" s="27"/>
      <c r="D536" s="27"/>
      <c r="E536" s="28"/>
      <c r="F536" s="28"/>
      <c r="G536" s="28"/>
      <c r="H536" s="28"/>
      <c r="I536" s="28"/>
      <c r="J536" s="229"/>
      <c r="K536" s="229"/>
      <c r="L536" s="229"/>
      <c r="M536" s="53"/>
      <c r="N536" s="53"/>
    </row>
    <row r="537" spans="1:14" x14ac:dyDescent="0.2">
      <c r="A537" s="52"/>
      <c r="B537" s="27"/>
      <c r="C537" s="27"/>
      <c r="D537" s="27"/>
      <c r="E537" s="28"/>
      <c r="F537" s="28"/>
      <c r="G537" s="28"/>
      <c r="H537" s="28"/>
      <c r="I537" s="28"/>
      <c r="J537" s="229"/>
      <c r="K537" s="229"/>
      <c r="L537" s="229"/>
      <c r="M537" s="53"/>
      <c r="N537" s="53"/>
    </row>
    <row r="538" spans="1:14" x14ac:dyDescent="0.2">
      <c r="A538" s="52"/>
      <c r="B538" s="27"/>
      <c r="C538" s="27"/>
      <c r="D538" s="27"/>
      <c r="E538" s="28"/>
      <c r="F538" s="28"/>
      <c r="G538" s="28"/>
      <c r="H538" s="28"/>
      <c r="I538" s="28"/>
      <c r="J538" s="229"/>
      <c r="K538" s="229"/>
      <c r="L538" s="229"/>
      <c r="M538" s="53"/>
      <c r="N538" s="53"/>
    </row>
    <row r="539" spans="1:14" ht="13.5" thickBot="1" x14ac:dyDescent="0.25"/>
    <row r="540" spans="1:14" x14ac:dyDescent="0.2">
      <c r="A540" s="20"/>
      <c r="B540" s="21"/>
      <c r="C540" s="21"/>
      <c r="D540" s="21"/>
      <c r="E540" s="22"/>
      <c r="F540" s="22"/>
      <c r="G540" s="22"/>
      <c r="H540" s="22"/>
      <c r="I540" s="22"/>
      <c r="J540" s="22"/>
      <c r="K540" s="22"/>
      <c r="L540" s="22"/>
      <c r="M540" s="22"/>
      <c r="N540" s="23"/>
    </row>
    <row r="541" spans="1:14" ht="15" x14ac:dyDescent="0.2">
      <c r="A541" s="24"/>
      <c r="B541" s="440" t="s">
        <v>274</v>
      </c>
      <c r="C541" s="441"/>
      <c r="D541" s="441"/>
      <c r="E541" s="441"/>
      <c r="F541" s="441"/>
      <c r="G541" s="441"/>
      <c r="H541" s="441"/>
      <c r="I541" s="441"/>
      <c r="J541" s="441"/>
      <c r="K541" s="441"/>
      <c r="L541" s="441"/>
      <c r="M541" s="442"/>
      <c r="N541" s="25" t="s">
        <v>96</v>
      </c>
    </row>
    <row r="542" spans="1:14" x14ac:dyDescent="0.2">
      <c r="A542" s="24"/>
      <c r="B542" s="26" t="s">
        <v>428</v>
      </c>
      <c r="C542" s="27" t="s">
        <v>275</v>
      </c>
      <c r="D542" s="27"/>
      <c r="E542" s="28"/>
      <c r="F542" s="28"/>
      <c r="G542" s="28"/>
      <c r="H542" s="28"/>
      <c r="I542" s="28"/>
      <c r="J542" s="28"/>
      <c r="K542" s="28"/>
      <c r="L542" s="28"/>
      <c r="M542" s="28"/>
      <c r="N542" s="29"/>
    </row>
    <row r="543" spans="1:14" x14ac:dyDescent="0.2">
      <c r="A543" s="24"/>
      <c r="B543" s="26" t="s">
        <v>429</v>
      </c>
      <c r="C543" s="27" t="s">
        <v>276</v>
      </c>
      <c r="D543" s="27"/>
      <c r="E543" s="28"/>
      <c r="F543" s="28"/>
      <c r="G543" s="28"/>
      <c r="H543" s="28"/>
      <c r="I543" s="28"/>
      <c r="J543" s="28"/>
      <c r="K543" s="28"/>
      <c r="L543" s="28"/>
      <c r="M543" s="28"/>
      <c r="N543" s="29"/>
    </row>
    <row r="544" spans="1:14" x14ac:dyDescent="0.2">
      <c r="A544" s="24"/>
      <c r="B544" s="26" t="s">
        <v>427</v>
      </c>
      <c r="C544" s="444" t="s">
        <v>1604</v>
      </c>
      <c r="D544" s="444"/>
      <c r="E544" s="444"/>
      <c r="F544" s="444"/>
      <c r="G544" s="444"/>
      <c r="H544" s="444"/>
      <c r="I544" s="444"/>
      <c r="J544" s="444"/>
      <c r="K544" s="444"/>
      <c r="L544" s="444"/>
      <c r="M544" s="444"/>
      <c r="N544" s="445"/>
    </row>
    <row r="545" spans="1:14" x14ac:dyDescent="0.2">
      <c r="A545" s="24"/>
      <c r="B545" s="26"/>
      <c r="C545" s="444"/>
      <c r="D545" s="444"/>
      <c r="E545" s="444"/>
      <c r="F545" s="444"/>
      <c r="G545" s="444"/>
      <c r="H545" s="444"/>
      <c r="I545" s="444"/>
      <c r="J545" s="444"/>
      <c r="K545" s="444"/>
      <c r="L545" s="444"/>
      <c r="M545" s="444"/>
      <c r="N545" s="445"/>
    </row>
    <row r="546" spans="1:14" x14ac:dyDescent="0.2">
      <c r="A546" s="24"/>
      <c r="C546" s="444"/>
      <c r="D546" s="444"/>
      <c r="E546" s="444"/>
      <c r="F546" s="444"/>
      <c r="G546" s="444"/>
      <c r="H546" s="444"/>
      <c r="I546" s="444"/>
      <c r="J546" s="444"/>
      <c r="K546" s="444"/>
      <c r="L546" s="444"/>
      <c r="M546" s="444"/>
      <c r="N546" s="445"/>
    </row>
    <row r="547" spans="1:14" x14ac:dyDescent="0.2">
      <c r="A547" s="24"/>
      <c r="B547" s="26" t="s">
        <v>426</v>
      </c>
      <c r="C547" s="27"/>
      <c r="D547" s="27"/>
      <c r="E547" s="28"/>
      <c r="F547" s="28"/>
      <c r="G547" s="28"/>
      <c r="H547" s="28"/>
      <c r="I547" s="28"/>
      <c r="J547" s="28"/>
      <c r="K547" s="28"/>
      <c r="L547" s="28"/>
      <c r="M547" s="28"/>
      <c r="N547" s="29"/>
    </row>
    <row r="548" spans="1:14" ht="13.5" thickBot="1" x14ac:dyDescent="0.25">
      <c r="A548" s="30"/>
      <c r="B548" s="47" t="s">
        <v>430</v>
      </c>
      <c r="C548" s="31" t="s">
        <v>589</v>
      </c>
      <c r="D548" s="31"/>
      <c r="E548" s="32"/>
      <c r="F548" s="32"/>
      <c r="G548" s="32"/>
      <c r="H548" s="32"/>
      <c r="I548" s="32"/>
      <c r="J548" s="32"/>
      <c r="K548" s="32"/>
      <c r="L548" s="32"/>
      <c r="M548" s="32"/>
      <c r="N548" s="33"/>
    </row>
    <row r="549" spans="1:14" x14ac:dyDescent="0.2">
      <c r="A549" s="20"/>
      <c r="B549" s="58" t="s">
        <v>263</v>
      </c>
      <c r="C549" s="21"/>
      <c r="D549" s="21"/>
      <c r="E549" s="22"/>
      <c r="F549" s="22"/>
      <c r="G549" s="22"/>
      <c r="H549" s="22"/>
      <c r="I549" s="22"/>
      <c r="J549" s="37" t="s">
        <v>909</v>
      </c>
      <c r="K549" s="85" t="s">
        <v>513</v>
      </c>
      <c r="L549" s="37" t="s">
        <v>514</v>
      </c>
      <c r="M549" s="37"/>
      <c r="N549" s="37"/>
    </row>
    <row r="550" spans="1:14" ht="13.5" thickBot="1" x14ac:dyDescent="0.25">
      <c r="A550" s="30"/>
      <c r="B550" s="31"/>
      <c r="C550" s="31"/>
      <c r="D550" s="31"/>
      <c r="E550" s="32"/>
      <c r="F550" s="32"/>
      <c r="G550" s="32"/>
      <c r="H550" s="32"/>
      <c r="I550" s="32"/>
      <c r="J550" s="40" t="s">
        <v>77</v>
      </c>
      <c r="K550" s="40" t="s">
        <v>612</v>
      </c>
      <c r="L550" s="40" t="s">
        <v>76</v>
      </c>
      <c r="M550" s="86"/>
      <c r="N550" s="40"/>
    </row>
    <row r="551" spans="1:14" x14ac:dyDescent="0.2">
      <c r="A551" s="20"/>
      <c r="B551" s="434" t="s">
        <v>67</v>
      </c>
      <c r="C551" s="434"/>
      <c r="D551" s="434"/>
      <c r="E551" s="22"/>
      <c r="F551" s="22" t="s">
        <v>1180</v>
      </c>
      <c r="G551" s="22" t="s">
        <v>68</v>
      </c>
      <c r="H551" s="22" t="s">
        <v>702</v>
      </c>
      <c r="I551" s="22"/>
      <c r="J551" s="75">
        <f>86/O1*O2</f>
        <v>156.36363636363635</v>
      </c>
      <c r="K551" s="75">
        <f>97/O1*O2</f>
        <v>176.36363636363635</v>
      </c>
      <c r="L551" s="75">
        <f>90/O1*O2</f>
        <v>163.63636363636363</v>
      </c>
      <c r="M551" s="17"/>
      <c r="N551" s="42"/>
    </row>
    <row r="552" spans="1:14" x14ac:dyDescent="0.2">
      <c r="A552" s="24"/>
      <c r="B552" s="435" t="s">
        <v>67</v>
      </c>
      <c r="C552" s="435"/>
      <c r="D552" s="435"/>
      <c r="E552" s="28"/>
      <c r="F552" s="28" t="s">
        <v>1181</v>
      </c>
      <c r="G552" s="28" t="s">
        <v>68</v>
      </c>
      <c r="H552" s="28" t="s">
        <v>702</v>
      </c>
      <c r="I552" s="28"/>
      <c r="J552" s="75">
        <f>45.5/O1*O2</f>
        <v>82.72727272727272</v>
      </c>
      <c r="K552" s="75">
        <f>51/O1*O2</f>
        <v>92.72727272727272</v>
      </c>
      <c r="L552" s="75">
        <f>47.5/O1*O2</f>
        <v>86.36363636363636</v>
      </c>
      <c r="M552" s="17"/>
      <c r="N552" s="44"/>
    </row>
    <row r="553" spans="1:14" x14ac:dyDescent="0.2">
      <c r="A553" s="24"/>
      <c r="B553" s="435" t="s">
        <v>67</v>
      </c>
      <c r="C553" s="435"/>
      <c r="D553" s="435"/>
      <c r="E553" s="28"/>
      <c r="F553" s="28" t="s">
        <v>1182</v>
      </c>
      <c r="G553" s="28" t="s">
        <v>68</v>
      </c>
      <c r="H553" s="28" t="s">
        <v>702</v>
      </c>
      <c r="I553" s="28"/>
      <c r="J553" s="75" t="s">
        <v>864</v>
      </c>
      <c r="K553" s="75">
        <f>41.5/O1*O2</f>
        <v>75.454545454545453</v>
      </c>
      <c r="L553" s="75">
        <f>39/O1*O2</f>
        <v>70.909090909090907</v>
      </c>
      <c r="M553" s="17"/>
      <c r="N553" s="44"/>
    </row>
    <row r="554" spans="1:14" ht="13.5" thickBot="1" x14ac:dyDescent="0.25">
      <c r="A554" s="30"/>
      <c r="B554" s="443"/>
      <c r="C554" s="443"/>
      <c r="D554" s="443"/>
      <c r="E554" s="32"/>
      <c r="F554" s="32"/>
      <c r="G554" s="32"/>
      <c r="H554" s="32"/>
      <c r="I554" s="32"/>
      <c r="J554" s="76"/>
      <c r="K554" s="76"/>
      <c r="L554" s="76"/>
      <c r="M554" s="86"/>
      <c r="N554" s="46"/>
    </row>
    <row r="555" spans="1:14" ht="13.5" thickBot="1" x14ac:dyDescent="0.25">
      <c r="A555" s="17"/>
      <c r="B555" s="17"/>
      <c r="C555" s="17"/>
      <c r="D555" s="17"/>
      <c r="E555" s="17"/>
      <c r="F555" s="17"/>
      <c r="G555" s="17"/>
      <c r="H555" s="17"/>
      <c r="I555" s="17"/>
      <c r="J555" s="17"/>
      <c r="K555" s="17"/>
      <c r="L555" s="17"/>
      <c r="M555" s="17"/>
      <c r="N555" s="17"/>
    </row>
    <row r="556" spans="1:14" x14ac:dyDescent="0.2">
      <c r="A556" s="20"/>
      <c r="B556" s="21"/>
      <c r="C556" s="21"/>
      <c r="D556" s="21"/>
      <c r="E556" s="22"/>
      <c r="F556" s="22"/>
      <c r="G556" s="22"/>
      <c r="H556" s="22"/>
      <c r="I556" s="22"/>
      <c r="J556" s="22"/>
      <c r="K556" s="22"/>
      <c r="L556" s="22"/>
      <c r="M556" s="22"/>
      <c r="N556" s="23"/>
    </row>
    <row r="557" spans="1:14" ht="15" x14ac:dyDescent="0.2">
      <c r="A557" s="24"/>
      <c r="B557" s="440" t="s">
        <v>1394</v>
      </c>
      <c r="C557" s="441"/>
      <c r="D557" s="441"/>
      <c r="E557" s="441"/>
      <c r="F557" s="441"/>
      <c r="G557" s="441"/>
      <c r="H557" s="441"/>
      <c r="I557" s="441"/>
      <c r="J557" s="441"/>
      <c r="K557" s="441"/>
      <c r="L557" s="441"/>
      <c r="M557" s="442"/>
      <c r="N557" s="25" t="s">
        <v>96</v>
      </c>
    </row>
    <row r="558" spans="1:14" x14ac:dyDescent="0.2">
      <c r="A558" s="24"/>
      <c r="B558" s="26" t="s">
        <v>428</v>
      </c>
      <c r="C558" s="27" t="s">
        <v>1165</v>
      </c>
      <c r="D558" s="27"/>
      <c r="E558" s="28"/>
      <c r="F558" s="28"/>
      <c r="G558" s="28"/>
      <c r="H558" s="28"/>
      <c r="I558" s="28"/>
      <c r="J558" s="28"/>
      <c r="K558" s="28"/>
      <c r="L558" s="28"/>
      <c r="M558" s="28"/>
      <c r="N558" s="29"/>
    </row>
    <row r="559" spans="1:14" x14ac:dyDescent="0.2">
      <c r="A559" s="24"/>
      <c r="B559" s="26" t="s">
        <v>429</v>
      </c>
      <c r="C559" s="27" t="s">
        <v>1166</v>
      </c>
      <c r="D559" s="27"/>
      <c r="E559" s="28"/>
      <c r="F559" s="28"/>
      <c r="G559" s="28"/>
      <c r="H559" s="28"/>
      <c r="I559" s="28"/>
      <c r="J559" s="28"/>
      <c r="K559" s="28"/>
      <c r="L559" s="28"/>
      <c r="M559" s="28"/>
      <c r="N559" s="29"/>
    </row>
    <row r="560" spans="1:14" x14ac:dyDescent="0.2">
      <c r="A560" s="24"/>
      <c r="B560" s="26" t="s">
        <v>427</v>
      </c>
      <c r="C560" s="444" t="s">
        <v>1605</v>
      </c>
      <c r="D560" s="444"/>
      <c r="E560" s="444"/>
      <c r="F560" s="444"/>
      <c r="G560" s="444"/>
      <c r="H560" s="444"/>
      <c r="I560" s="444"/>
      <c r="J560" s="444"/>
      <c r="K560" s="444"/>
      <c r="L560" s="444"/>
      <c r="M560" s="444"/>
      <c r="N560" s="445"/>
    </row>
    <row r="561" spans="1:14" x14ac:dyDescent="0.2">
      <c r="A561" s="24"/>
      <c r="C561" s="444"/>
      <c r="D561" s="444"/>
      <c r="E561" s="444"/>
      <c r="F561" s="444"/>
      <c r="G561" s="444"/>
      <c r="H561" s="444"/>
      <c r="I561" s="444"/>
      <c r="J561" s="444"/>
      <c r="K561" s="444"/>
      <c r="L561" s="444"/>
      <c r="M561" s="444"/>
      <c r="N561" s="445"/>
    </row>
    <row r="562" spans="1:14" x14ac:dyDescent="0.2">
      <c r="A562" s="24"/>
      <c r="C562" s="444"/>
      <c r="D562" s="444"/>
      <c r="E562" s="444"/>
      <c r="F562" s="444"/>
      <c r="G562" s="444"/>
      <c r="H562" s="444"/>
      <c r="I562" s="444"/>
      <c r="J562" s="444"/>
      <c r="K562" s="444"/>
      <c r="L562" s="444"/>
      <c r="M562" s="444"/>
      <c r="N562" s="445"/>
    </row>
    <row r="563" spans="1:14" x14ac:dyDescent="0.2">
      <c r="A563" s="24"/>
      <c r="B563" s="26" t="s">
        <v>426</v>
      </c>
      <c r="C563" s="27" t="s">
        <v>1167</v>
      </c>
      <c r="D563" s="27"/>
      <c r="E563" s="28"/>
      <c r="F563" s="28"/>
      <c r="G563" s="28"/>
      <c r="H563" s="28"/>
      <c r="I563" s="28"/>
      <c r="J563" s="27"/>
      <c r="K563" s="28"/>
      <c r="L563" s="28"/>
      <c r="M563" s="28"/>
      <c r="N563" s="29"/>
    </row>
    <row r="564" spans="1:14" ht="13.5" thickBot="1" x14ac:dyDescent="0.25">
      <c r="A564" s="30"/>
      <c r="B564" s="26" t="s">
        <v>430</v>
      </c>
      <c r="C564" s="31"/>
      <c r="D564" s="31"/>
      <c r="E564" s="32"/>
      <c r="F564" s="32"/>
      <c r="G564" s="32"/>
      <c r="H564" s="32"/>
      <c r="I564" s="32"/>
      <c r="J564" s="32"/>
      <c r="K564" s="32"/>
      <c r="L564" s="32"/>
      <c r="M564" s="32"/>
      <c r="N564" s="33"/>
    </row>
    <row r="565" spans="1:14" x14ac:dyDescent="0.2">
      <c r="A565" s="20"/>
      <c r="B565" s="21" t="s">
        <v>263</v>
      </c>
      <c r="C565" s="21"/>
      <c r="D565" s="21"/>
      <c r="E565" s="22"/>
      <c r="F565" s="22"/>
      <c r="G565" s="22"/>
      <c r="H565" s="22"/>
      <c r="I565" s="22"/>
      <c r="J565" s="37" t="s">
        <v>907</v>
      </c>
      <c r="K565" s="37" t="s">
        <v>753</v>
      </c>
      <c r="L565" s="37" t="s">
        <v>513</v>
      </c>
      <c r="M565" s="37" t="s">
        <v>1341</v>
      </c>
      <c r="N565" s="37"/>
    </row>
    <row r="566" spans="1:14" ht="13.5" thickBot="1" x14ac:dyDescent="0.25">
      <c r="A566" s="30"/>
      <c r="B566" s="31"/>
      <c r="C566" s="31"/>
      <c r="D566" s="31"/>
      <c r="E566" s="32"/>
      <c r="F566" s="32"/>
      <c r="G566" s="32"/>
      <c r="H566" s="32"/>
      <c r="I566" s="32"/>
      <c r="J566" s="65"/>
      <c r="K566" s="40" t="s">
        <v>123</v>
      </c>
      <c r="L566" s="40" t="s">
        <v>612</v>
      </c>
      <c r="M566" s="40"/>
      <c r="N566" s="40"/>
    </row>
    <row r="567" spans="1:14" x14ac:dyDescent="0.2">
      <c r="A567" s="20"/>
      <c r="B567" s="434" t="s">
        <v>67</v>
      </c>
      <c r="C567" s="434"/>
      <c r="D567" s="434"/>
      <c r="E567" s="22"/>
      <c r="F567" s="22" t="s">
        <v>1180</v>
      </c>
      <c r="G567" s="22" t="s">
        <v>68</v>
      </c>
      <c r="H567" s="22" t="s">
        <v>702</v>
      </c>
      <c r="I567" s="22"/>
      <c r="J567" s="75">
        <f>65/O1*O2</f>
        <v>118.18181818181817</v>
      </c>
      <c r="K567" s="75">
        <f>94/O1*O2</f>
        <v>170.90909090909091</v>
      </c>
      <c r="L567" s="75">
        <f>115/O1*O2</f>
        <v>209.09090909090907</v>
      </c>
      <c r="M567" s="44">
        <f>110/O1*O2</f>
        <v>199.99999999999997</v>
      </c>
      <c r="N567" s="42"/>
    </row>
    <row r="568" spans="1:14" x14ac:dyDescent="0.2">
      <c r="A568" s="24"/>
      <c r="B568" s="435" t="s">
        <v>67</v>
      </c>
      <c r="C568" s="435"/>
      <c r="D568" s="435"/>
      <c r="E568" s="28"/>
      <c r="F568" s="28" t="s">
        <v>1181</v>
      </c>
      <c r="G568" s="28" t="s">
        <v>68</v>
      </c>
      <c r="H568" s="28" t="s">
        <v>702</v>
      </c>
      <c r="I568" s="28"/>
      <c r="J568" s="75">
        <f>40/O1*O2</f>
        <v>72.72727272727272</v>
      </c>
      <c r="K568" s="75">
        <f>52/O1*O2</f>
        <v>94.545454545454533</v>
      </c>
      <c r="L568" s="75">
        <f>69/O1*O2</f>
        <v>125.45454545454544</v>
      </c>
      <c r="M568" s="44">
        <f>62.5/O1*O2</f>
        <v>113.63636363636363</v>
      </c>
      <c r="N568" s="44"/>
    </row>
    <row r="569" spans="1:14" x14ac:dyDescent="0.2">
      <c r="A569" s="24"/>
      <c r="B569" s="435" t="s">
        <v>67</v>
      </c>
      <c r="C569" s="435"/>
      <c r="D569" s="435"/>
      <c r="E569" s="28"/>
      <c r="F569" s="28" t="s">
        <v>1182</v>
      </c>
      <c r="G569" s="28" t="s">
        <v>68</v>
      </c>
      <c r="H569" s="28" t="s">
        <v>702</v>
      </c>
      <c r="I569" s="28"/>
      <c r="J569" s="75">
        <f>32.5/O1*O2</f>
        <v>59.090909090909086</v>
      </c>
      <c r="K569" s="75">
        <f>41.5/O1*O2</f>
        <v>75.454545454545453</v>
      </c>
      <c r="L569" s="75">
        <f>54/O1*O2</f>
        <v>98.181818181818173</v>
      </c>
      <c r="M569" s="44">
        <f>49/O1*O2</f>
        <v>89.090909090909079</v>
      </c>
      <c r="N569" s="44"/>
    </row>
    <row r="570" spans="1:14" ht="13.5" thickBot="1" x14ac:dyDescent="0.25">
      <c r="A570" s="30"/>
      <c r="B570" s="443" t="s">
        <v>902</v>
      </c>
      <c r="C570" s="443"/>
      <c r="D570" s="443"/>
      <c r="E570" s="32"/>
      <c r="F570" s="32"/>
      <c r="G570" s="32"/>
      <c r="H570" s="32" t="s">
        <v>702</v>
      </c>
      <c r="I570" s="32"/>
      <c r="J570" s="76">
        <f>23/O1*O2</f>
        <v>41.818181818181813</v>
      </c>
      <c r="K570" s="76">
        <f>23/O1*O2</f>
        <v>41.818181818181813</v>
      </c>
      <c r="L570" s="76">
        <f>23/O1*O2</f>
        <v>41.818181818181813</v>
      </c>
      <c r="M570" s="46">
        <f>23/O1*O2</f>
        <v>41.818181818181813</v>
      </c>
      <c r="N570" s="46"/>
    </row>
    <row r="571" spans="1:14" ht="13.5" thickBot="1" x14ac:dyDescent="0.25">
      <c r="A571" s="17"/>
      <c r="B571" s="17"/>
      <c r="C571" s="17"/>
      <c r="D571" s="17"/>
      <c r="E571" s="17"/>
      <c r="F571" s="17"/>
      <c r="G571" s="17"/>
      <c r="H571" s="17"/>
      <c r="I571" s="17"/>
      <c r="J571" s="17"/>
      <c r="K571" s="17"/>
      <c r="L571" s="17"/>
      <c r="M571" s="17"/>
      <c r="N571" s="17"/>
    </row>
    <row r="572" spans="1:14" x14ac:dyDescent="0.2">
      <c r="A572" s="20"/>
      <c r="B572" s="21"/>
      <c r="C572" s="21"/>
      <c r="D572" s="21"/>
      <c r="E572" s="22"/>
      <c r="F572" s="22"/>
      <c r="G572" s="22"/>
      <c r="H572" s="22"/>
      <c r="I572" s="22"/>
      <c r="J572" s="22"/>
      <c r="K572" s="22"/>
      <c r="L572" s="22"/>
      <c r="M572" s="22"/>
      <c r="N572" s="23"/>
    </row>
    <row r="573" spans="1:14" ht="15" x14ac:dyDescent="0.2">
      <c r="A573" s="24"/>
      <c r="B573" s="440" t="s">
        <v>1457</v>
      </c>
      <c r="C573" s="441"/>
      <c r="D573" s="441"/>
      <c r="E573" s="441"/>
      <c r="F573" s="441"/>
      <c r="G573" s="441"/>
      <c r="H573" s="441"/>
      <c r="I573" s="441"/>
      <c r="J573" s="441"/>
      <c r="K573" s="441"/>
      <c r="L573" s="441"/>
      <c r="M573" s="442"/>
      <c r="N573" s="25" t="s">
        <v>96</v>
      </c>
    </row>
    <row r="574" spans="1:14" x14ac:dyDescent="0.2">
      <c r="A574" s="24"/>
      <c r="B574" s="26" t="s">
        <v>428</v>
      </c>
      <c r="C574" s="27" t="s">
        <v>1458</v>
      </c>
      <c r="D574" s="27"/>
      <c r="E574" s="28"/>
      <c r="F574" s="28"/>
      <c r="G574" s="28"/>
      <c r="H574" s="28"/>
      <c r="I574" s="28"/>
      <c r="J574" s="28"/>
      <c r="K574" s="28"/>
      <c r="L574" s="28"/>
      <c r="M574" s="28"/>
      <c r="N574" s="29"/>
    </row>
    <row r="575" spans="1:14" x14ac:dyDescent="0.2">
      <c r="A575" s="24"/>
      <c r="B575" s="26" t="s">
        <v>429</v>
      </c>
      <c r="C575" s="27" t="s">
        <v>1459</v>
      </c>
      <c r="D575" s="27"/>
      <c r="E575" s="28"/>
      <c r="F575" s="28"/>
      <c r="G575" s="28"/>
      <c r="H575" s="28"/>
      <c r="I575" s="28"/>
      <c r="J575" s="28"/>
      <c r="K575" s="28"/>
      <c r="L575" s="28"/>
      <c r="M575" s="28"/>
      <c r="N575" s="29"/>
    </row>
    <row r="576" spans="1:14" x14ac:dyDescent="0.2">
      <c r="A576" s="24"/>
      <c r="B576" s="26" t="s">
        <v>427</v>
      </c>
      <c r="C576" s="444" t="s">
        <v>1606</v>
      </c>
      <c r="D576" s="444"/>
      <c r="E576" s="444"/>
      <c r="F576" s="444"/>
      <c r="G576" s="444"/>
      <c r="H576" s="444"/>
      <c r="I576" s="444"/>
      <c r="J576" s="444"/>
      <c r="K576" s="444"/>
      <c r="L576" s="444"/>
      <c r="M576" s="444"/>
      <c r="N576" s="445"/>
    </row>
    <row r="577" spans="1:14" x14ac:dyDescent="0.2">
      <c r="A577" s="24"/>
      <c r="B577" s="26"/>
      <c r="C577" s="444"/>
      <c r="D577" s="444"/>
      <c r="E577" s="444"/>
      <c r="F577" s="444"/>
      <c r="G577" s="444"/>
      <c r="H577" s="444"/>
      <c r="I577" s="444"/>
      <c r="J577" s="444"/>
      <c r="K577" s="444"/>
      <c r="L577" s="444"/>
      <c r="M577" s="444"/>
      <c r="N577" s="445"/>
    </row>
    <row r="578" spans="1:14" x14ac:dyDescent="0.2">
      <c r="A578" s="24"/>
      <c r="C578" s="444"/>
      <c r="D578" s="444"/>
      <c r="E578" s="444"/>
      <c r="F578" s="444"/>
      <c r="G578" s="444"/>
      <c r="H578" s="444"/>
      <c r="I578" s="444"/>
      <c r="J578" s="444"/>
      <c r="K578" s="444"/>
      <c r="L578" s="444"/>
      <c r="M578" s="444"/>
      <c r="N578" s="445"/>
    </row>
    <row r="579" spans="1:14" x14ac:dyDescent="0.2">
      <c r="A579" s="24"/>
      <c r="B579" s="26" t="s">
        <v>426</v>
      </c>
      <c r="C579" s="27" t="s">
        <v>1355</v>
      </c>
      <c r="D579" s="27"/>
      <c r="E579" s="28"/>
      <c r="F579" s="28"/>
      <c r="G579" s="28"/>
      <c r="H579" s="28"/>
      <c r="I579" s="28"/>
      <c r="J579" s="27"/>
      <c r="K579" s="28"/>
      <c r="L579" s="28"/>
      <c r="M579" s="28"/>
      <c r="N579" s="29"/>
    </row>
    <row r="580" spans="1:14" ht="13.5" thickBot="1" x14ac:dyDescent="0.25">
      <c r="A580" s="30"/>
      <c r="B580" s="26" t="s">
        <v>430</v>
      </c>
      <c r="C580" s="31"/>
      <c r="D580" s="31"/>
      <c r="E580" s="32"/>
      <c r="F580" s="32"/>
      <c r="G580" s="32"/>
      <c r="H580" s="32"/>
      <c r="I580" s="32"/>
      <c r="J580" s="32"/>
      <c r="K580" s="32"/>
      <c r="L580" s="32"/>
      <c r="M580" s="32"/>
      <c r="N580" s="33"/>
    </row>
    <row r="581" spans="1:14" x14ac:dyDescent="0.2">
      <c r="A581" s="20"/>
      <c r="B581" s="21" t="s">
        <v>263</v>
      </c>
      <c r="C581" s="21"/>
      <c r="D581" s="21"/>
      <c r="E581" s="22"/>
      <c r="F581" s="22"/>
      <c r="G581" s="22"/>
      <c r="H581" s="22"/>
      <c r="I581" s="22"/>
      <c r="J581" s="37" t="s">
        <v>907</v>
      </c>
      <c r="K581" s="37" t="s">
        <v>753</v>
      </c>
      <c r="L581" s="37" t="s">
        <v>513</v>
      </c>
      <c r="M581" s="37"/>
      <c r="N581" s="37"/>
    </row>
    <row r="582" spans="1:14" x14ac:dyDescent="0.2">
      <c r="A582" s="24"/>
      <c r="B582" s="27"/>
      <c r="C582" s="27"/>
      <c r="D582" s="27"/>
      <c r="E582" s="28"/>
      <c r="F582" s="28"/>
      <c r="G582" s="28"/>
      <c r="H582" s="28"/>
      <c r="I582" s="28"/>
      <c r="J582" s="67" t="s">
        <v>123</v>
      </c>
      <c r="K582" s="63" t="s">
        <v>1341</v>
      </c>
      <c r="L582" s="63" t="s">
        <v>612</v>
      </c>
      <c r="M582" s="63"/>
      <c r="N582" s="63"/>
    </row>
    <row r="583" spans="1:14" ht="13.5" thickBot="1" x14ac:dyDescent="0.25">
      <c r="A583" s="24"/>
      <c r="B583" s="27"/>
      <c r="C583" s="27"/>
      <c r="D583" s="27"/>
      <c r="E583" s="28"/>
      <c r="F583" s="28"/>
      <c r="G583" s="28"/>
      <c r="H583" s="28"/>
      <c r="I583" s="28"/>
      <c r="J583" s="65" t="s">
        <v>76</v>
      </c>
      <c r="K583" s="40" t="s">
        <v>77</v>
      </c>
      <c r="L583" s="40"/>
      <c r="M583" s="40"/>
      <c r="N583" s="63"/>
    </row>
    <row r="584" spans="1:14" x14ac:dyDescent="0.2">
      <c r="A584" s="20"/>
      <c r="B584" s="434" t="s">
        <v>67</v>
      </c>
      <c r="C584" s="434"/>
      <c r="D584" s="434"/>
      <c r="E584" s="22"/>
      <c r="F584" s="22" t="s">
        <v>1180</v>
      </c>
      <c r="G584" s="22" t="s">
        <v>68</v>
      </c>
      <c r="H584" s="22" t="s">
        <v>702</v>
      </c>
      <c r="I584" s="22"/>
      <c r="J584" s="75">
        <f>98/O1*O2</f>
        <v>178.18181818181816</v>
      </c>
      <c r="K584" s="75">
        <f>109/O1*O2</f>
        <v>198.18181818181816</v>
      </c>
      <c r="L584" s="75">
        <f>130/O1*O2</f>
        <v>236.36363636363635</v>
      </c>
      <c r="M584" s="44"/>
      <c r="N584" s="42"/>
    </row>
    <row r="585" spans="1:14" x14ac:dyDescent="0.2">
      <c r="A585" s="24"/>
      <c r="B585" s="435" t="s">
        <v>67</v>
      </c>
      <c r="C585" s="435"/>
      <c r="D585" s="435"/>
      <c r="E585" s="28"/>
      <c r="F585" s="28" t="s">
        <v>1181</v>
      </c>
      <c r="G585" s="28" t="s">
        <v>68</v>
      </c>
      <c r="H585" s="28" t="s">
        <v>702</v>
      </c>
      <c r="I585" s="28"/>
      <c r="J585" s="75">
        <f>55/O1*O2</f>
        <v>99.999999999999986</v>
      </c>
      <c r="K585" s="75">
        <f>60/O1*O2</f>
        <v>109.09090909090908</v>
      </c>
      <c r="L585" s="75">
        <f>70/O1*O2</f>
        <v>127.27272727272727</v>
      </c>
      <c r="M585" s="44"/>
      <c r="N585" s="44"/>
    </row>
    <row r="586" spans="1:14" x14ac:dyDescent="0.2">
      <c r="A586" s="24"/>
      <c r="B586" s="435" t="s">
        <v>67</v>
      </c>
      <c r="C586" s="435"/>
      <c r="D586" s="435"/>
      <c r="E586" s="28"/>
      <c r="F586" s="28" t="s">
        <v>1182</v>
      </c>
      <c r="G586" s="28" t="s">
        <v>68</v>
      </c>
      <c r="H586" s="28" t="s">
        <v>702</v>
      </c>
      <c r="I586" s="28"/>
      <c r="J586" s="75">
        <f>40/O1*O2</f>
        <v>72.72727272727272</v>
      </c>
      <c r="K586" s="75">
        <f>47/O1*O2</f>
        <v>85.454545454545453</v>
      </c>
      <c r="L586" s="75">
        <f>54/O1*O2</f>
        <v>98.181818181818173</v>
      </c>
      <c r="M586" s="44"/>
      <c r="N586" s="44"/>
    </row>
    <row r="587" spans="1:14" ht="13.5" thickBot="1" x14ac:dyDescent="0.25">
      <c r="A587" s="30"/>
      <c r="B587" s="443" t="s">
        <v>902</v>
      </c>
      <c r="C587" s="443"/>
      <c r="D587" s="443"/>
      <c r="E587" s="32"/>
      <c r="F587" s="32"/>
      <c r="G587" s="32"/>
      <c r="H587" s="32"/>
      <c r="I587" s="32"/>
      <c r="J587" s="76">
        <f>26/O1*O2</f>
        <v>47.272727272727266</v>
      </c>
      <c r="K587" s="76">
        <f>26/O1*O2</f>
        <v>47.272727272727266</v>
      </c>
      <c r="L587" s="76">
        <f>26/O1*O2</f>
        <v>47.272727272727266</v>
      </c>
      <c r="M587" s="46"/>
      <c r="N587" s="46"/>
    </row>
    <row r="588" spans="1:14" x14ac:dyDescent="0.2">
      <c r="A588" s="17"/>
      <c r="B588" s="17"/>
      <c r="C588" s="17"/>
      <c r="D588" s="17"/>
      <c r="E588" s="17"/>
      <c r="F588" s="17"/>
      <c r="G588" s="17"/>
      <c r="H588" s="17"/>
      <c r="I588" s="17"/>
      <c r="J588" s="17"/>
      <c r="K588" s="17"/>
      <c r="L588" s="17"/>
      <c r="M588" s="17"/>
      <c r="N588" s="17"/>
    </row>
    <row r="589" spans="1:14" x14ac:dyDescent="0.2">
      <c r="A589" s="17"/>
      <c r="B589" s="17"/>
      <c r="C589" s="17"/>
      <c r="D589" s="17"/>
      <c r="E589" s="17"/>
      <c r="F589" s="17"/>
      <c r="G589" s="17"/>
      <c r="H589" s="17"/>
      <c r="I589" s="17"/>
      <c r="J589" s="17"/>
      <c r="K589" s="17"/>
      <c r="L589" s="17"/>
      <c r="M589" s="17"/>
      <c r="N589" s="17"/>
    </row>
    <row r="590" spans="1:14" x14ac:dyDescent="0.2">
      <c r="A590" s="17"/>
      <c r="B590" s="17"/>
      <c r="C590" s="17"/>
      <c r="D590" s="17"/>
      <c r="E590" s="17"/>
      <c r="F590" s="17"/>
      <c r="G590" s="17"/>
      <c r="H590" s="17"/>
      <c r="I590" s="17"/>
      <c r="J590" s="17"/>
      <c r="K590" s="17"/>
      <c r="L590" s="17"/>
      <c r="M590" s="17"/>
      <c r="N590" s="17"/>
    </row>
    <row r="591" spans="1:14" x14ac:dyDescent="0.2">
      <c r="A591" s="17"/>
      <c r="B591" s="17"/>
      <c r="C591" s="17"/>
      <c r="D591" s="17"/>
      <c r="E591" s="17"/>
      <c r="F591" s="17"/>
      <c r="G591" s="17"/>
      <c r="H591" s="17"/>
      <c r="I591" s="17"/>
      <c r="J591" s="17"/>
      <c r="K591" s="17"/>
      <c r="L591" s="17"/>
      <c r="M591" s="17"/>
      <c r="N591" s="17"/>
    </row>
    <row r="592" spans="1:14" x14ac:dyDescent="0.2">
      <c r="A592" s="17"/>
      <c r="B592" s="17"/>
      <c r="C592" s="17"/>
      <c r="D592" s="17"/>
      <c r="E592" s="17"/>
      <c r="F592" s="17"/>
      <c r="G592" s="17"/>
      <c r="H592" s="17"/>
      <c r="I592" s="17"/>
      <c r="J592" s="17"/>
      <c r="K592" s="17"/>
      <c r="L592" s="17"/>
      <c r="M592" s="17"/>
      <c r="N592" s="17"/>
    </row>
    <row r="593" spans="1:16" x14ac:dyDescent="0.2">
      <c r="A593" s="17"/>
      <c r="B593" s="17"/>
      <c r="C593" s="17"/>
      <c r="D593" s="17"/>
      <c r="E593" s="17"/>
      <c r="F593" s="17"/>
      <c r="G593" s="17"/>
      <c r="H593" s="17"/>
      <c r="I593" s="17"/>
      <c r="J593" s="17"/>
      <c r="K593" s="17"/>
      <c r="L593" s="17"/>
      <c r="M593" s="17"/>
      <c r="N593" s="17"/>
    </row>
    <row r="594" spans="1:16" x14ac:dyDescent="0.2">
      <c r="A594" s="17"/>
      <c r="B594" s="17"/>
      <c r="C594" s="17"/>
      <c r="D594" s="17"/>
      <c r="E594" s="17"/>
      <c r="F594" s="17"/>
      <c r="G594" s="17"/>
      <c r="H594" s="17"/>
      <c r="I594" s="17"/>
      <c r="J594" s="17"/>
      <c r="K594" s="17"/>
      <c r="L594" s="17"/>
      <c r="M594" s="17"/>
      <c r="N594" s="17"/>
    </row>
    <row r="595" spans="1:16" x14ac:dyDescent="0.2">
      <c r="A595" s="17"/>
      <c r="B595" s="17"/>
      <c r="C595" s="17"/>
      <c r="D595" s="17"/>
      <c r="E595" s="17"/>
      <c r="F595" s="17"/>
      <c r="G595" s="17"/>
      <c r="H595" s="17"/>
      <c r="I595" s="17"/>
      <c r="J595" s="17"/>
      <c r="K595" s="17"/>
      <c r="L595" s="17"/>
      <c r="M595" s="17"/>
      <c r="N595" s="17"/>
    </row>
    <row r="596" spans="1:16" x14ac:dyDescent="0.2">
      <c r="A596" s="17"/>
      <c r="B596" s="17"/>
      <c r="C596" s="17"/>
      <c r="D596" s="17"/>
      <c r="E596" s="17"/>
      <c r="F596" s="17"/>
      <c r="G596" s="17"/>
      <c r="H596" s="17"/>
      <c r="I596" s="17"/>
      <c r="J596" s="17"/>
      <c r="K596" s="17"/>
      <c r="L596" s="17"/>
      <c r="M596" s="17"/>
      <c r="N596" s="17"/>
    </row>
    <row r="597" spans="1:16" x14ac:dyDescent="0.2">
      <c r="B597" s="19"/>
      <c r="C597" s="19"/>
      <c r="D597" s="19"/>
      <c r="E597" s="19"/>
      <c r="F597" s="19"/>
      <c r="G597" s="19"/>
      <c r="H597" s="19"/>
      <c r="I597" s="19"/>
      <c r="J597" s="19"/>
      <c r="K597" s="19"/>
      <c r="L597" s="19"/>
      <c r="M597" s="19"/>
      <c r="N597" s="59"/>
      <c r="P597" s="60"/>
    </row>
    <row r="598" spans="1:16" x14ac:dyDescent="0.2">
      <c r="A598" s="52"/>
      <c r="B598" s="27"/>
      <c r="C598" s="27"/>
      <c r="D598" s="27"/>
      <c r="E598" s="28"/>
      <c r="F598" s="28"/>
      <c r="G598" s="28"/>
      <c r="H598" s="28"/>
      <c r="I598" s="28"/>
      <c r="J598" s="28"/>
      <c r="K598" s="28"/>
      <c r="L598" s="28"/>
      <c r="M598" s="28"/>
      <c r="N598" s="28"/>
      <c r="P598" s="60"/>
    </row>
    <row r="599" spans="1:16" ht="13.5" thickBot="1" x14ac:dyDescent="0.25">
      <c r="A599" s="52"/>
      <c r="B599" s="27"/>
      <c r="C599" s="27"/>
      <c r="D599" s="27"/>
      <c r="E599" s="28"/>
      <c r="F599" s="28"/>
      <c r="G599" s="28"/>
      <c r="H599" s="28"/>
      <c r="I599" s="28"/>
      <c r="J599" s="28"/>
      <c r="K599" s="28"/>
      <c r="L599" s="28"/>
      <c r="M599" s="28"/>
      <c r="N599" s="28"/>
    </row>
    <row r="600" spans="1:16" x14ac:dyDescent="0.2">
      <c r="A600" s="20"/>
      <c r="B600" s="21"/>
      <c r="C600" s="21"/>
      <c r="D600" s="21"/>
      <c r="E600" s="22"/>
      <c r="F600" s="22"/>
      <c r="G600" s="22"/>
      <c r="H600" s="22"/>
      <c r="I600" s="22"/>
      <c r="J600" s="22"/>
      <c r="K600" s="22"/>
      <c r="L600" s="22"/>
      <c r="M600" s="22"/>
      <c r="N600" s="23"/>
    </row>
    <row r="601" spans="1:16" ht="15" x14ac:dyDescent="0.2">
      <c r="A601" s="24"/>
      <c r="B601" s="440" t="s">
        <v>1651</v>
      </c>
      <c r="C601" s="441"/>
      <c r="D601" s="441"/>
      <c r="E601" s="441"/>
      <c r="F601" s="441"/>
      <c r="G601" s="441"/>
      <c r="H601" s="441"/>
      <c r="I601" s="441"/>
      <c r="J601" s="441"/>
      <c r="K601" s="441"/>
      <c r="L601" s="441"/>
      <c r="M601" s="442"/>
      <c r="N601" s="25" t="s">
        <v>96</v>
      </c>
    </row>
    <row r="602" spans="1:16" x14ac:dyDescent="0.2">
      <c r="A602" s="24"/>
      <c r="B602" s="26" t="s">
        <v>428</v>
      </c>
      <c r="C602" s="27" t="s">
        <v>1652</v>
      </c>
      <c r="D602" s="27"/>
      <c r="E602" s="28"/>
      <c r="F602" s="28"/>
      <c r="G602" s="28"/>
      <c r="H602" s="28"/>
      <c r="I602" s="28"/>
      <c r="J602" s="28"/>
      <c r="K602" s="28"/>
      <c r="L602" s="28"/>
      <c r="M602" s="28"/>
      <c r="N602" s="29"/>
    </row>
    <row r="603" spans="1:16" x14ac:dyDescent="0.2">
      <c r="A603" s="24"/>
      <c r="B603" s="26" t="s">
        <v>429</v>
      </c>
      <c r="C603" s="27" t="s">
        <v>1653</v>
      </c>
      <c r="D603" s="27"/>
      <c r="E603" s="28"/>
      <c r="F603" s="28"/>
      <c r="G603" s="28"/>
      <c r="H603" s="28"/>
      <c r="I603" s="28"/>
      <c r="J603" s="28"/>
      <c r="K603" s="28"/>
      <c r="L603" s="28"/>
      <c r="M603" s="28"/>
      <c r="N603" s="29"/>
    </row>
    <row r="604" spans="1:16" x14ac:dyDescent="0.2">
      <c r="A604" s="24"/>
      <c r="B604" s="26" t="s">
        <v>427</v>
      </c>
      <c r="C604" s="436" t="s">
        <v>1654</v>
      </c>
      <c r="D604" s="436"/>
      <c r="E604" s="436"/>
      <c r="F604" s="436"/>
      <c r="G604" s="436"/>
      <c r="H604" s="436"/>
      <c r="I604" s="436"/>
      <c r="J604" s="436"/>
      <c r="K604" s="436"/>
      <c r="L604" s="436"/>
      <c r="M604" s="436"/>
      <c r="N604" s="437"/>
    </row>
    <row r="605" spans="1:16" x14ac:dyDescent="0.2">
      <c r="A605" s="24"/>
      <c r="B605" s="27"/>
      <c r="C605" s="436"/>
      <c r="D605" s="436"/>
      <c r="E605" s="436"/>
      <c r="F605" s="436"/>
      <c r="G605" s="436"/>
      <c r="H605" s="436"/>
      <c r="I605" s="436"/>
      <c r="J605" s="436"/>
      <c r="K605" s="436"/>
      <c r="L605" s="436"/>
      <c r="M605" s="436"/>
      <c r="N605" s="437"/>
    </row>
    <row r="606" spans="1:16" x14ac:dyDescent="0.2">
      <c r="A606" s="24"/>
      <c r="B606" s="26" t="s">
        <v>426</v>
      </c>
      <c r="C606" s="27"/>
      <c r="D606" s="27"/>
      <c r="E606" s="28"/>
      <c r="F606" s="28"/>
      <c r="G606" s="28"/>
      <c r="H606" s="28"/>
      <c r="I606" s="28"/>
      <c r="J606" s="28"/>
      <c r="K606" s="28"/>
      <c r="L606" s="28"/>
      <c r="M606" s="28"/>
      <c r="N606" s="29"/>
    </row>
    <row r="607" spans="1:16" ht="13.5" thickBot="1" x14ac:dyDescent="0.25">
      <c r="A607" s="30"/>
      <c r="B607" s="26" t="s">
        <v>430</v>
      </c>
      <c r="C607" s="31"/>
      <c r="D607" s="31"/>
      <c r="E607" s="32"/>
      <c r="F607" s="32"/>
      <c r="G607" s="32"/>
      <c r="H607" s="32"/>
      <c r="I607" s="32"/>
      <c r="J607" s="32"/>
      <c r="K607" s="32"/>
      <c r="L607" s="32"/>
      <c r="M607" s="32"/>
      <c r="N607" s="33"/>
    </row>
    <row r="608" spans="1:16" ht="13.5" thickBot="1" x14ac:dyDescent="0.25">
      <c r="A608" s="24"/>
      <c r="B608" s="21" t="s">
        <v>263</v>
      </c>
      <c r="C608" s="27"/>
      <c r="D608" s="27"/>
      <c r="E608" s="28"/>
      <c r="F608" s="28"/>
      <c r="G608" s="28"/>
      <c r="H608" s="28"/>
      <c r="I608" s="28"/>
      <c r="J608" s="67" t="s">
        <v>1177</v>
      </c>
      <c r="K608" s="63"/>
      <c r="L608" s="63"/>
      <c r="M608" s="63"/>
      <c r="N608" s="63"/>
    </row>
    <row r="609" spans="1:14" x14ac:dyDescent="0.2">
      <c r="A609" s="20"/>
      <c r="B609" s="434" t="s">
        <v>67</v>
      </c>
      <c r="C609" s="434"/>
      <c r="D609" s="434"/>
      <c r="E609" s="22"/>
      <c r="F609" s="22" t="s">
        <v>1180</v>
      </c>
      <c r="G609" s="22" t="s">
        <v>68</v>
      </c>
      <c r="H609" s="22" t="s">
        <v>702</v>
      </c>
      <c r="I609" s="28"/>
      <c r="J609" s="75">
        <f>70/O1*O2</f>
        <v>127.27272727272727</v>
      </c>
      <c r="K609" s="75"/>
      <c r="L609" s="44"/>
      <c r="M609" s="42"/>
      <c r="N609" s="42"/>
    </row>
    <row r="610" spans="1:14" x14ac:dyDescent="0.2">
      <c r="A610" s="24"/>
      <c r="B610" s="435" t="s">
        <v>67</v>
      </c>
      <c r="C610" s="435"/>
      <c r="D610" s="435"/>
      <c r="E610" s="28"/>
      <c r="F610" s="28" t="s">
        <v>1181</v>
      </c>
      <c r="G610" s="28" t="s">
        <v>68</v>
      </c>
      <c r="H610" s="28" t="s">
        <v>702</v>
      </c>
      <c r="I610" s="28"/>
      <c r="J610" s="75">
        <f>40/O1*O2</f>
        <v>72.72727272727272</v>
      </c>
      <c r="K610" s="75"/>
      <c r="L610" s="44"/>
      <c r="M610" s="44"/>
      <c r="N610" s="44"/>
    </row>
    <row r="611" spans="1:14" x14ac:dyDescent="0.2">
      <c r="A611" s="24"/>
      <c r="B611" s="68"/>
      <c r="C611" s="27"/>
      <c r="D611" s="27"/>
      <c r="E611" s="28"/>
      <c r="F611" s="28" t="s">
        <v>1182</v>
      </c>
      <c r="G611" s="28" t="s">
        <v>68</v>
      </c>
      <c r="H611" s="28" t="s">
        <v>702</v>
      </c>
      <c r="I611" s="28"/>
      <c r="J611" s="75">
        <f>32/O1*O2</f>
        <v>58.18181818181818</v>
      </c>
      <c r="K611" s="75"/>
      <c r="L611" s="44"/>
      <c r="M611" s="44"/>
      <c r="N611" s="44"/>
    </row>
    <row r="612" spans="1:14" ht="13.5" thickBot="1" x14ac:dyDescent="0.25">
      <c r="A612" s="30"/>
      <c r="B612" s="443" t="s">
        <v>902</v>
      </c>
      <c r="C612" s="443"/>
      <c r="D612" s="443"/>
      <c r="E612" s="32"/>
      <c r="F612" s="89"/>
      <c r="G612" s="89"/>
      <c r="H612" s="32" t="s">
        <v>702</v>
      </c>
      <c r="I612" s="32"/>
      <c r="J612" s="76"/>
      <c r="K612" s="76"/>
      <c r="L612" s="46"/>
      <c r="M612" s="46"/>
      <c r="N612" s="46"/>
    </row>
    <row r="613" spans="1:14" ht="13.5" thickBot="1" x14ac:dyDescent="0.25">
      <c r="A613" s="52"/>
      <c r="B613" s="27"/>
      <c r="C613" s="27"/>
      <c r="D613" s="27"/>
      <c r="E613" s="28"/>
      <c r="F613" s="28"/>
      <c r="G613" s="28"/>
      <c r="H613" s="28"/>
      <c r="I613" s="28"/>
      <c r="J613" s="28"/>
      <c r="K613" s="28"/>
      <c r="L613" s="28"/>
      <c r="M613" s="28"/>
      <c r="N613" s="28"/>
    </row>
    <row r="614" spans="1:14" x14ac:dyDescent="0.2">
      <c r="A614" s="20"/>
      <c r="B614" s="21"/>
      <c r="C614" s="21"/>
      <c r="D614" s="21"/>
      <c r="E614" s="22"/>
      <c r="F614" s="22"/>
      <c r="G614" s="22"/>
      <c r="H614" s="22"/>
      <c r="I614" s="22"/>
      <c r="J614" s="22"/>
      <c r="K614" s="22"/>
      <c r="L614" s="22"/>
      <c r="M614" s="22"/>
      <c r="N614" s="23"/>
    </row>
    <row r="615" spans="1:14" ht="15" x14ac:dyDescent="0.2">
      <c r="A615" s="24"/>
      <c r="B615" s="440" t="s">
        <v>649</v>
      </c>
      <c r="C615" s="441"/>
      <c r="D615" s="441"/>
      <c r="E615" s="441"/>
      <c r="F615" s="441"/>
      <c r="G615" s="441"/>
      <c r="H615" s="441"/>
      <c r="I615" s="441"/>
      <c r="J615" s="441"/>
      <c r="K615" s="441"/>
      <c r="L615" s="441"/>
      <c r="M615" s="442"/>
      <c r="N615" s="25" t="s">
        <v>96</v>
      </c>
    </row>
    <row r="616" spans="1:14" x14ac:dyDescent="0.2">
      <c r="A616" s="24"/>
      <c r="B616" s="26" t="s">
        <v>428</v>
      </c>
      <c r="C616" s="27" t="s">
        <v>650</v>
      </c>
      <c r="D616" s="27"/>
      <c r="E616" s="28"/>
      <c r="F616" s="28"/>
      <c r="G616" s="28"/>
      <c r="H616" s="28"/>
      <c r="I616" s="28"/>
      <c r="J616" s="28"/>
      <c r="K616" s="28"/>
      <c r="L616" s="28"/>
      <c r="M616" s="28"/>
      <c r="N616" s="29"/>
    </row>
    <row r="617" spans="1:14" x14ac:dyDescent="0.2">
      <c r="A617" s="24"/>
      <c r="B617" s="26" t="s">
        <v>429</v>
      </c>
      <c r="C617" s="27" t="s">
        <v>651</v>
      </c>
      <c r="D617" s="27"/>
      <c r="E617" s="28"/>
      <c r="F617" s="28"/>
      <c r="G617" s="28"/>
      <c r="H617" s="28"/>
      <c r="I617" s="28"/>
      <c r="J617" s="28"/>
      <c r="K617" s="28"/>
      <c r="L617" s="28"/>
      <c r="M617" s="28"/>
      <c r="N617" s="29"/>
    </row>
    <row r="618" spans="1:14" x14ac:dyDescent="0.2">
      <c r="A618" s="24"/>
      <c r="B618" s="26" t="s">
        <v>427</v>
      </c>
      <c r="C618" s="444" t="s">
        <v>1607</v>
      </c>
      <c r="D618" s="444"/>
      <c r="E618" s="444"/>
      <c r="F618" s="444"/>
      <c r="G618" s="444"/>
      <c r="H618" s="444"/>
      <c r="I618" s="444"/>
      <c r="J618" s="444"/>
      <c r="K618" s="444"/>
      <c r="L618" s="444"/>
      <c r="M618" s="444"/>
      <c r="N618" s="445"/>
    </row>
    <row r="619" spans="1:14" x14ac:dyDescent="0.2">
      <c r="A619" s="24"/>
      <c r="C619" s="444"/>
      <c r="D619" s="444"/>
      <c r="E619" s="444"/>
      <c r="F619" s="444"/>
      <c r="G619" s="444"/>
      <c r="H619" s="444"/>
      <c r="I619" s="444"/>
      <c r="J619" s="444"/>
      <c r="K619" s="444"/>
      <c r="L619" s="444"/>
      <c r="M619" s="444"/>
      <c r="N619" s="445"/>
    </row>
    <row r="620" spans="1:14" x14ac:dyDescent="0.2">
      <c r="A620" s="24"/>
      <c r="B620" s="26" t="s">
        <v>426</v>
      </c>
      <c r="C620" s="27"/>
      <c r="D620" s="27"/>
      <c r="E620" s="28"/>
      <c r="F620" s="28"/>
      <c r="G620" s="28"/>
      <c r="H620" s="28"/>
      <c r="I620" s="28"/>
      <c r="J620" s="27"/>
      <c r="K620" s="28"/>
      <c r="L620" s="28"/>
      <c r="M620" s="28"/>
      <c r="N620" s="29"/>
    </row>
    <row r="621" spans="1:14" ht="13.5" thickBot="1" x14ac:dyDescent="0.25">
      <c r="A621" s="30"/>
      <c r="B621" s="47" t="s">
        <v>430</v>
      </c>
      <c r="C621" s="31" t="s">
        <v>1499</v>
      </c>
      <c r="D621" s="31"/>
      <c r="E621" s="32"/>
      <c r="F621" s="32"/>
      <c r="G621" s="32"/>
      <c r="H621" s="32"/>
      <c r="I621" s="32"/>
      <c r="J621" s="31"/>
      <c r="K621" s="32"/>
      <c r="L621" s="32"/>
      <c r="M621" s="32"/>
      <c r="N621" s="33"/>
    </row>
    <row r="622" spans="1:14" x14ac:dyDescent="0.2">
      <c r="A622" s="24"/>
      <c r="B622" s="21" t="s">
        <v>263</v>
      </c>
      <c r="C622" s="27"/>
      <c r="D622" s="27"/>
      <c r="E622" s="28"/>
      <c r="F622" s="28"/>
      <c r="G622" s="28"/>
      <c r="H622" s="28"/>
      <c r="I622" s="28"/>
      <c r="J622" s="37" t="s">
        <v>858</v>
      </c>
      <c r="K622" s="37"/>
      <c r="L622" s="227" t="s">
        <v>753</v>
      </c>
      <c r="M622" s="16" t="s">
        <v>513</v>
      </c>
      <c r="N622" s="63"/>
    </row>
    <row r="623" spans="1:14" ht="13.5" thickBot="1" x14ac:dyDescent="0.25">
      <c r="A623" s="24"/>
      <c r="B623" s="27"/>
      <c r="C623" s="27"/>
      <c r="D623" s="27"/>
      <c r="E623" s="28"/>
      <c r="F623" s="28"/>
      <c r="G623" s="28"/>
      <c r="H623" s="28"/>
      <c r="I623" s="28"/>
      <c r="J623" s="40" t="s">
        <v>512</v>
      </c>
      <c r="K623" s="87" t="s">
        <v>1420</v>
      </c>
      <c r="L623" s="40" t="s">
        <v>514</v>
      </c>
      <c r="M623" s="16" t="s">
        <v>832</v>
      </c>
      <c r="N623" s="63" t="s">
        <v>481</v>
      </c>
    </row>
    <row r="624" spans="1:14" x14ac:dyDescent="0.2">
      <c r="A624" s="20"/>
      <c r="B624" s="434" t="s">
        <v>67</v>
      </c>
      <c r="C624" s="434"/>
      <c r="D624" s="434"/>
      <c r="E624" s="22"/>
      <c r="F624" s="22" t="s">
        <v>1180</v>
      </c>
      <c r="G624" s="22" t="s">
        <v>68</v>
      </c>
      <c r="H624" s="22" t="s">
        <v>702</v>
      </c>
      <c r="I624" s="22"/>
      <c r="J624" s="75">
        <f>74/O1*O2</f>
        <v>134.54545454545453</v>
      </c>
      <c r="K624" s="75">
        <f>78/O1*O2</f>
        <v>141.81818181818181</v>
      </c>
      <c r="L624" s="75">
        <f>95/O1*O2</f>
        <v>172.72727272727272</v>
      </c>
      <c r="M624" s="74">
        <f>111/O1*O2</f>
        <v>201.81818181818181</v>
      </c>
      <c r="N624" s="74">
        <f>103/O1*O2</f>
        <v>187.27272727272725</v>
      </c>
    </row>
    <row r="625" spans="1:14" x14ac:dyDescent="0.2">
      <c r="A625" s="24"/>
      <c r="B625" s="435" t="s">
        <v>67</v>
      </c>
      <c r="C625" s="435"/>
      <c r="D625" s="435"/>
      <c r="E625" s="28"/>
      <c r="F625" s="28" t="s">
        <v>1181</v>
      </c>
      <c r="G625" s="28" t="s">
        <v>68</v>
      </c>
      <c r="H625" s="28" t="s">
        <v>702</v>
      </c>
      <c r="I625" s="28"/>
      <c r="J625" s="75">
        <f>39/O1*O2</f>
        <v>70.909090909090907</v>
      </c>
      <c r="K625" s="75">
        <f>41/O1*O2</f>
        <v>74.545454545454533</v>
      </c>
      <c r="L625" s="75">
        <f>49.5/O1*O2</f>
        <v>89.999999999999986</v>
      </c>
      <c r="M625" s="75">
        <f>57.5/O1*O2</f>
        <v>104.54545454545453</v>
      </c>
      <c r="N625" s="75">
        <f>53.5/O1*O2</f>
        <v>97.272727272727266</v>
      </c>
    </row>
    <row r="626" spans="1:14" x14ac:dyDescent="0.2">
      <c r="A626" s="24"/>
      <c r="B626" s="435" t="s">
        <v>67</v>
      </c>
      <c r="C626" s="435"/>
      <c r="D626" s="435"/>
      <c r="E626" s="28"/>
      <c r="F626" s="28" t="s">
        <v>1182</v>
      </c>
      <c r="G626" s="28" t="s">
        <v>68</v>
      </c>
      <c r="H626" s="28" t="s">
        <v>702</v>
      </c>
      <c r="I626" s="28"/>
      <c r="J626" s="75">
        <f>31.6/O1*O2</f>
        <v>57.454545454545453</v>
      </c>
      <c r="K626" s="75">
        <f>33/O1*O2</f>
        <v>59.999999999999993</v>
      </c>
      <c r="L626" s="75">
        <f>38.5/O1*O2</f>
        <v>70</v>
      </c>
      <c r="M626" s="75">
        <f>44/O1*O2</f>
        <v>80</v>
      </c>
      <c r="N626" s="75">
        <f>41.5/O1*O2</f>
        <v>75.454545454545453</v>
      </c>
    </row>
    <row r="627" spans="1:14" ht="13.5" thickBot="1" x14ac:dyDescent="0.25">
      <c r="A627" s="30"/>
      <c r="B627" s="443" t="s">
        <v>902</v>
      </c>
      <c r="C627" s="443"/>
      <c r="D627" s="443"/>
      <c r="E627" s="32"/>
      <c r="F627" s="32"/>
      <c r="G627" s="32"/>
      <c r="H627" s="32" t="s">
        <v>702</v>
      </c>
      <c r="I627" s="32"/>
      <c r="J627" s="76">
        <f>11/O1*O2</f>
        <v>20</v>
      </c>
      <c r="K627" s="76">
        <f>11/O1*O2</f>
        <v>20</v>
      </c>
      <c r="L627" s="76">
        <f>11/O1*O2</f>
        <v>20</v>
      </c>
      <c r="M627" s="76">
        <f>11/O1*O2</f>
        <v>20</v>
      </c>
      <c r="N627" s="76">
        <f>11/O1*O2</f>
        <v>20</v>
      </c>
    </row>
    <row r="628" spans="1:14" x14ac:dyDescent="0.2">
      <c r="A628" s="52"/>
      <c r="B628" s="27"/>
      <c r="C628" s="27"/>
      <c r="D628" s="27"/>
      <c r="E628" s="28"/>
      <c r="F628" s="28"/>
      <c r="G628" s="28"/>
      <c r="H628" s="28"/>
      <c r="I628" s="28"/>
      <c r="J628" s="28"/>
      <c r="K628" s="28"/>
      <c r="L628" s="28"/>
      <c r="M628" s="28"/>
      <c r="N628" s="28"/>
    </row>
    <row r="629" spans="1:14" ht="13.5" thickBot="1" x14ac:dyDescent="0.25">
      <c r="A629" s="52"/>
      <c r="B629" s="27"/>
      <c r="C629" s="27"/>
      <c r="D629" s="27"/>
      <c r="E629" s="28"/>
      <c r="F629" s="28"/>
      <c r="G629" s="28"/>
      <c r="H629" s="28"/>
      <c r="I629" s="28"/>
      <c r="J629" s="229"/>
      <c r="K629" s="229"/>
      <c r="L629" s="229"/>
      <c r="M629" s="53"/>
      <c r="N629" s="53"/>
    </row>
    <row r="630" spans="1:14" x14ac:dyDescent="0.2">
      <c r="A630" s="20"/>
      <c r="B630" s="21"/>
      <c r="C630" s="21"/>
      <c r="D630" s="21"/>
      <c r="E630" s="22"/>
      <c r="F630" s="22"/>
      <c r="G630" s="22"/>
      <c r="H630" s="22"/>
      <c r="I630" s="22"/>
      <c r="J630" s="22"/>
      <c r="K630" s="22"/>
      <c r="L630" s="22"/>
      <c r="M630" s="22"/>
      <c r="N630" s="23"/>
    </row>
    <row r="631" spans="1:14" ht="15" x14ac:dyDescent="0.2">
      <c r="A631" s="24"/>
      <c r="B631" s="440" t="s">
        <v>359</v>
      </c>
      <c r="C631" s="441"/>
      <c r="D631" s="441"/>
      <c r="E631" s="441"/>
      <c r="F631" s="441"/>
      <c r="G631" s="441"/>
      <c r="H631" s="441"/>
      <c r="I631" s="441"/>
      <c r="J631" s="441"/>
      <c r="K631" s="441"/>
      <c r="L631" s="441"/>
      <c r="M631" s="442"/>
      <c r="N631" s="25" t="s">
        <v>96</v>
      </c>
    </row>
    <row r="632" spans="1:14" x14ac:dyDescent="0.2">
      <c r="A632" s="24"/>
      <c r="B632" s="26" t="s">
        <v>428</v>
      </c>
      <c r="C632" s="27" t="s">
        <v>223</v>
      </c>
      <c r="D632" s="27"/>
      <c r="E632" s="28"/>
      <c r="F632" s="28"/>
      <c r="G632" s="28"/>
      <c r="H632" s="28"/>
      <c r="I632" s="28"/>
      <c r="J632" s="28"/>
      <c r="K632" s="28"/>
      <c r="L632" s="28"/>
      <c r="M632" s="28"/>
      <c r="N632" s="29"/>
    </row>
    <row r="633" spans="1:14" x14ac:dyDescent="0.2">
      <c r="A633" s="24"/>
      <c r="B633" s="26" t="s">
        <v>429</v>
      </c>
      <c r="C633" s="27" t="s">
        <v>224</v>
      </c>
      <c r="D633" s="27"/>
      <c r="E633" s="28"/>
      <c r="F633" s="28"/>
      <c r="G633" s="28"/>
      <c r="H633" s="28"/>
      <c r="I633" s="28"/>
      <c r="J633" s="28"/>
      <c r="K633" s="28"/>
      <c r="L633" s="28"/>
      <c r="M633" s="28"/>
      <c r="N633" s="29"/>
    </row>
    <row r="634" spans="1:14" x14ac:dyDescent="0.2">
      <c r="A634" s="24"/>
      <c r="B634" s="26" t="s">
        <v>427</v>
      </c>
      <c r="C634" s="444" t="s">
        <v>1608</v>
      </c>
      <c r="D634" s="444"/>
      <c r="E634" s="444"/>
      <c r="F634" s="444"/>
      <c r="G634" s="444"/>
      <c r="H634" s="444"/>
      <c r="I634" s="444"/>
      <c r="J634" s="444"/>
      <c r="K634" s="444"/>
      <c r="L634" s="444"/>
      <c r="M634" s="444"/>
      <c r="N634" s="445"/>
    </row>
    <row r="635" spans="1:14" x14ac:dyDescent="0.2">
      <c r="A635" s="24"/>
      <c r="B635" s="26"/>
      <c r="C635" s="446"/>
      <c r="D635" s="446"/>
      <c r="E635" s="446"/>
      <c r="F635" s="446"/>
      <c r="G635" s="446"/>
      <c r="H635" s="446"/>
      <c r="I635" s="446"/>
      <c r="J635" s="446"/>
      <c r="K635" s="446"/>
      <c r="L635" s="446"/>
      <c r="M635" s="446"/>
      <c r="N635" s="447"/>
    </row>
    <row r="636" spans="1:14" x14ac:dyDescent="0.2">
      <c r="A636" s="24"/>
      <c r="B636" s="26" t="s">
        <v>426</v>
      </c>
      <c r="C636" s="27" t="s">
        <v>1364</v>
      </c>
      <c r="D636" s="27"/>
      <c r="E636" s="28"/>
      <c r="F636" s="28"/>
      <c r="G636" s="28"/>
      <c r="H636" s="28"/>
      <c r="I636" s="28"/>
      <c r="J636" s="28"/>
      <c r="K636" s="28"/>
      <c r="L636" s="28"/>
      <c r="M636" s="28"/>
      <c r="N636" s="29"/>
    </row>
    <row r="637" spans="1:14" ht="13.5" thickBot="1" x14ac:dyDescent="0.25">
      <c r="A637" s="30"/>
      <c r="B637" s="26" t="s">
        <v>430</v>
      </c>
      <c r="C637" s="31"/>
      <c r="D637" s="31"/>
      <c r="E637" s="32"/>
      <c r="F637" s="32"/>
      <c r="G637" s="32"/>
      <c r="H637" s="32"/>
      <c r="I637" s="32"/>
      <c r="J637" s="32"/>
      <c r="K637" s="32"/>
      <c r="L637" s="32"/>
      <c r="M637" s="32"/>
      <c r="N637" s="33"/>
    </row>
    <row r="638" spans="1:14" x14ac:dyDescent="0.2">
      <c r="A638" s="20"/>
      <c r="B638" s="21" t="s">
        <v>263</v>
      </c>
      <c r="C638" s="21"/>
      <c r="D638" s="21"/>
      <c r="E638" s="22"/>
      <c r="F638" s="22"/>
      <c r="G638" s="22"/>
      <c r="H638" s="22"/>
      <c r="I638" s="22"/>
      <c r="J638" s="48" t="s">
        <v>908</v>
      </c>
      <c r="K638" s="37"/>
      <c r="L638" s="37"/>
      <c r="M638" s="37"/>
      <c r="N638" s="37"/>
    </row>
    <row r="639" spans="1:14" ht="13.5" thickBot="1" x14ac:dyDescent="0.25">
      <c r="A639" s="30"/>
      <c r="B639" s="31"/>
      <c r="C639" s="31"/>
      <c r="D639" s="31"/>
      <c r="E639" s="32"/>
      <c r="F639" s="32"/>
      <c r="G639" s="32"/>
      <c r="H639" s="32"/>
      <c r="I639" s="32"/>
      <c r="J639" s="65" t="s">
        <v>612</v>
      </c>
      <c r="K639" s="40" t="s">
        <v>514</v>
      </c>
      <c r="L639" s="40"/>
      <c r="M639" s="40"/>
      <c r="N639" s="40"/>
    </row>
    <row r="640" spans="1:14" x14ac:dyDescent="0.2">
      <c r="A640" s="20"/>
      <c r="B640" s="434" t="s">
        <v>67</v>
      </c>
      <c r="C640" s="434"/>
      <c r="D640" s="434"/>
      <c r="E640" s="22"/>
      <c r="F640" s="22" t="s">
        <v>1180</v>
      </c>
      <c r="G640" s="22" t="s">
        <v>68</v>
      </c>
      <c r="H640" s="22" t="s">
        <v>702</v>
      </c>
      <c r="I640" s="22"/>
      <c r="J640" s="74">
        <f>79.5/O1*O2</f>
        <v>144.54545454545453</v>
      </c>
      <c r="K640" s="74">
        <f>67.7/O1*O2</f>
        <v>123.09090909090908</v>
      </c>
      <c r="L640" s="77"/>
      <c r="M640" s="74"/>
      <c r="N640" s="42"/>
    </row>
    <row r="641" spans="1:14" x14ac:dyDescent="0.2">
      <c r="A641" s="24"/>
      <c r="B641" s="435" t="s">
        <v>67</v>
      </c>
      <c r="C641" s="435"/>
      <c r="D641" s="435"/>
      <c r="E641" s="28"/>
      <c r="F641" s="28" t="s">
        <v>1181</v>
      </c>
      <c r="G641" s="28" t="s">
        <v>68</v>
      </c>
      <c r="H641" s="28" t="s">
        <v>702</v>
      </c>
      <c r="I641" s="28"/>
      <c r="J641" s="75">
        <f>42.5/O1*O2</f>
        <v>77.272727272727266</v>
      </c>
      <c r="K641" s="75">
        <f>36.5/O1*O2</f>
        <v>66.36363636363636</v>
      </c>
      <c r="L641" s="75"/>
      <c r="M641" s="75"/>
      <c r="N641" s="44"/>
    </row>
    <row r="642" spans="1:14" x14ac:dyDescent="0.2">
      <c r="A642" s="24"/>
      <c r="B642" s="435" t="s">
        <v>67</v>
      </c>
      <c r="C642" s="435"/>
      <c r="D642" s="435"/>
      <c r="E642" s="28"/>
      <c r="F642" s="28" t="s">
        <v>1182</v>
      </c>
      <c r="G642" s="28" t="s">
        <v>68</v>
      </c>
      <c r="H642" s="28" t="s">
        <v>702</v>
      </c>
      <c r="I642" s="28"/>
      <c r="J642" s="75">
        <f>35.7/O1*O2</f>
        <v>64.909090909090907</v>
      </c>
      <c r="K642" s="75">
        <f>32.5/O1*O2</f>
        <v>59.090909090909086</v>
      </c>
      <c r="L642" s="75"/>
      <c r="M642" s="75"/>
      <c r="N642" s="44"/>
    </row>
    <row r="643" spans="1:14" ht="13.5" thickBot="1" x14ac:dyDescent="0.25">
      <c r="A643" s="30"/>
      <c r="B643" s="443" t="s">
        <v>902</v>
      </c>
      <c r="C643" s="443"/>
      <c r="D643" s="443"/>
      <c r="E643" s="32"/>
      <c r="F643" s="32"/>
      <c r="G643" s="32"/>
      <c r="H643" s="32"/>
      <c r="I643" s="32"/>
      <c r="J643" s="76">
        <f>17/O1*O2</f>
        <v>30.909090909090907</v>
      </c>
      <c r="K643" s="76">
        <f>17/O1*O2</f>
        <v>30.909090909090907</v>
      </c>
      <c r="L643" s="76"/>
      <c r="M643" s="76"/>
      <c r="N643" s="46"/>
    </row>
    <row r="644" spans="1:14" x14ac:dyDescent="0.2">
      <c r="A644" s="52"/>
      <c r="B644" s="27"/>
      <c r="C644" s="27"/>
      <c r="D644" s="27"/>
      <c r="E644" s="28"/>
      <c r="F644" s="28"/>
      <c r="G644" s="28"/>
      <c r="H644" s="28"/>
      <c r="I644" s="28"/>
      <c r="J644" s="229"/>
      <c r="K644" s="229"/>
      <c r="L644" s="229"/>
      <c r="M644" s="229"/>
      <c r="N644" s="53"/>
    </row>
    <row r="645" spans="1:14" x14ac:dyDescent="0.2">
      <c r="A645" s="52"/>
      <c r="B645" s="27"/>
      <c r="C645" s="27"/>
      <c r="D645" s="27"/>
      <c r="E645" s="28"/>
      <c r="F645" s="28"/>
      <c r="G645" s="28"/>
      <c r="H645" s="28"/>
      <c r="I645" s="28"/>
      <c r="J645" s="229"/>
      <c r="K645" s="229"/>
      <c r="L645" s="229"/>
      <c r="M645" s="229"/>
      <c r="N645" s="53"/>
    </row>
    <row r="646" spans="1:14" x14ac:dyDescent="0.2">
      <c r="A646" s="52"/>
      <c r="B646" s="27"/>
      <c r="C646" s="27"/>
      <c r="D646" s="27"/>
      <c r="E646" s="28"/>
      <c r="F646" s="28"/>
      <c r="G646" s="28"/>
      <c r="H646" s="28"/>
      <c r="I646" s="28"/>
      <c r="J646" s="229"/>
      <c r="K646" s="229"/>
      <c r="L646" s="229"/>
      <c r="M646" s="229"/>
      <c r="N646" s="53"/>
    </row>
    <row r="647" spans="1:14" x14ac:dyDescent="0.2">
      <c r="A647" s="52"/>
      <c r="B647" s="27"/>
      <c r="C647" s="27"/>
      <c r="D647" s="27"/>
      <c r="E647" s="28"/>
      <c r="F647" s="28"/>
      <c r="G647" s="28"/>
      <c r="H647" s="28"/>
      <c r="I647" s="28"/>
      <c r="J647" s="229"/>
      <c r="K647" s="229"/>
      <c r="L647" s="229"/>
      <c r="M647" s="229"/>
      <c r="N647" s="53"/>
    </row>
    <row r="648" spans="1:14" x14ac:dyDescent="0.2">
      <c r="A648" s="52"/>
      <c r="B648" s="27"/>
      <c r="C648" s="27"/>
      <c r="D648" s="27"/>
      <c r="E648" s="28"/>
      <c r="F648" s="28"/>
      <c r="G648" s="28"/>
      <c r="H648" s="28"/>
      <c r="I648" s="28"/>
      <c r="J648" s="229"/>
      <c r="K648" s="229"/>
      <c r="L648" s="229"/>
      <c r="M648" s="229"/>
      <c r="N648" s="53"/>
    </row>
    <row r="649" spans="1:14" x14ac:dyDescent="0.2">
      <c r="A649" s="52"/>
      <c r="B649" s="27"/>
      <c r="C649" s="27"/>
      <c r="D649" s="27"/>
      <c r="E649" s="28"/>
      <c r="F649" s="28"/>
      <c r="G649" s="28"/>
      <c r="H649" s="28"/>
      <c r="I649" s="28"/>
      <c r="J649" s="229"/>
      <c r="K649" s="229"/>
      <c r="L649" s="229"/>
      <c r="M649" s="229"/>
      <c r="N649" s="53"/>
    </row>
    <row r="650" spans="1:14" x14ac:dyDescent="0.2">
      <c r="A650" s="52"/>
      <c r="B650" s="27"/>
      <c r="C650" s="27"/>
      <c r="D650" s="27"/>
      <c r="E650" s="28"/>
      <c r="F650" s="28"/>
      <c r="G650" s="28"/>
      <c r="H650" s="28"/>
      <c r="I650" s="28"/>
      <c r="J650" s="229"/>
      <c r="K650" s="229"/>
      <c r="L650" s="229"/>
      <c r="M650" s="229"/>
      <c r="N650" s="53"/>
    </row>
    <row r="651" spans="1:14" x14ac:dyDescent="0.2">
      <c r="A651" s="52"/>
      <c r="B651" s="27"/>
      <c r="C651" s="27"/>
      <c r="D651" s="27"/>
      <c r="E651" s="28"/>
      <c r="F651" s="28"/>
      <c r="G651" s="28"/>
      <c r="H651" s="28"/>
      <c r="I651" s="28"/>
      <c r="J651" s="229"/>
      <c r="K651" s="229"/>
      <c r="L651" s="229"/>
      <c r="M651" s="229"/>
      <c r="N651" s="53"/>
    </row>
    <row r="652" spans="1:14" x14ac:dyDescent="0.2">
      <c r="A652" s="52"/>
      <c r="B652" s="27"/>
      <c r="C652" s="27"/>
      <c r="D652" s="27"/>
      <c r="E652" s="28"/>
      <c r="F652" s="28"/>
      <c r="G652" s="28"/>
      <c r="H652" s="28"/>
      <c r="I652" s="28"/>
      <c r="J652" s="229"/>
      <c r="K652" s="229"/>
      <c r="L652" s="229"/>
      <c r="M652" s="229"/>
      <c r="N652" s="53"/>
    </row>
    <row r="653" spans="1:14" x14ac:dyDescent="0.2">
      <c r="A653" s="52"/>
      <c r="B653" s="27"/>
      <c r="C653" s="27"/>
      <c r="D653" s="27"/>
      <c r="E653" s="28"/>
      <c r="F653" s="28"/>
      <c r="G653" s="28"/>
      <c r="H653" s="28"/>
      <c r="I653" s="28"/>
      <c r="J653" s="229"/>
      <c r="K653" s="229"/>
      <c r="L653" s="229"/>
      <c r="M653" s="229"/>
      <c r="N653" s="53"/>
    </row>
    <row r="654" spans="1:14" x14ac:dyDescent="0.2">
      <c r="A654" s="52"/>
      <c r="B654" s="27"/>
      <c r="C654" s="27"/>
      <c r="D654" s="27"/>
      <c r="E654" s="28"/>
      <c r="F654" s="28"/>
      <c r="G654" s="28"/>
      <c r="H654" s="28"/>
      <c r="I654" s="28"/>
      <c r="J654" s="229"/>
      <c r="K654" s="229"/>
      <c r="L654" s="229"/>
      <c r="M654" s="229"/>
      <c r="N654" s="53"/>
    </row>
    <row r="655" spans="1:14" ht="13.5" thickBot="1" x14ac:dyDescent="0.25">
      <c r="A655" s="52"/>
      <c r="B655" s="27"/>
      <c r="C655" s="27"/>
      <c r="D655" s="27"/>
      <c r="E655" s="28"/>
      <c r="F655" s="28"/>
      <c r="G655" s="28"/>
      <c r="H655" s="28"/>
      <c r="I655" s="28"/>
      <c r="J655" s="229"/>
      <c r="K655" s="229"/>
      <c r="L655" s="229"/>
      <c r="M655" s="53"/>
      <c r="N655" s="53"/>
    </row>
    <row r="656" spans="1:14" x14ac:dyDescent="0.2">
      <c r="A656" s="20"/>
      <c r="B656" s="21"/>
      <c r="C656" s="21"/>
      <c r="D656" s="21"/>
      <c r="E656" s="22"/>
      <c r="F656" s="22"/>
      <c r="G656" s="22"/>
      <c r="H656" s="22"/>
      <c r="I656" s="22"/>
      <c r="J656" s="22"/>
      <c r="K656" s="22"/>
      <c r="L656" s="22"/>
      <c r="M656" s="22"/>
      <c r="N656" s="23"/>
    </row>
    <row r="657" spans="1:14" ht="15" x14ac:dyDescent="0.2">
      <c r="A657" s="24"/>
      <c r="B657" s="440" t="s">
        <v>1511</v>
      </c>
      <c r="C657" s="441"/>
      <c r="D657" s="441"/>
      <c r="E657" s="441"/>
      <c r="F657" s="441"/>
      <c r="G657" s="441"/>
      <c r="H657" s="441"/>
      <c r="I657" s="441"/>
      <c r="J657" s="441"/>
      <c r="K657" s="441"/>
      <c r="L657" s="441"/>
      <c r="M657" s="442"/>
      <c r="N657" s="25" t="s">
        <v>96</v>
      </c>
    </row>
    <row r="658" spans="1:14" x14ac:dyDescent="0.2">
      <c r="A658" s="24"/>
      <c r="B658" s="26" t="s">
        <v>428</v>
      </c>
      <c r="C658" s="27" t="s">
        <v>910</v>
      </c>
      <c r="D658" s="27"/>
      <c r="E658" s="28"/>
      <c r="F658" s="28"/>
      <c r="G658" s="28"/>
      <c r="H658" s="28"/>
      <c r="I658" s="28"/>
      <c r="J658" s="28"/>
      <c r="K658" s="28"/>
      <c r="L658" s="28"/>
      <c r="M658" s="28"/>
      <c r="N658" s="29"/>
    </row>
    <row r="659" spans="1:14" x14ac:dyDescent="0.2">
      <c r="A659" s="24"/>
      <c r="B659" s="26" t="s">
        <v>429</v>
      </c>
      <c r="C659" s="27" t="s">
        <v>884</v>
      </c>
      <c r="D659" s="27"/>
      <c r="E659" s="28"/>
      <c r="F659" s="28"/>
      <c r="G659" s="28"/>
      <c r="H659" s="28"/>
      <c r="I659" s="28"/>
      <c r="J659" s="28"/>
      <c r="K659" s="28"/>
      <c r="L659" s="28"/>
      <c r="M659" s="28"/>
      <c r="N659" s="29"/>
    </row>
    <row r="660" spans="1:14" x14ac:dyDescent="0.2">
      <c r="A660" s="24"/>
      <c r="B660" s="26" t="s">
        <v>427</v>
      </c>
      <c r="C660" s="444" t="s">
        <v>1609</v>
      </c>
      <c r="D660" s="444"/>
      <c r="E660" s="444"/>
      <c r="F660" s="444"/>
      <c r="G660" s="444"/>
      <c r="H660" s="444"/>
      <c r="I660" s="444"/>
      <c r="J660" s="444"/>
      <c r="K660" s="444"/>
      <c r="L660" s="444"/>
      <c r="M660" s="444"/>
      <c r="N660" s="445"/>
    </row>
    <row r="661" spans="1:14" x14ac:dyDescent="0.2">
      <c r="A661" s="24"/>
      <c r="B661" s="26"/>
      <c r="C661" s="444"/>
      <c r="D661" s="444"/>
      <c r="E661" s="444"/>
      <c r="F661" s="444"/>
      <c r="G661" s="444"/>
      <c r="H661" s="444"/>
      <c r="I661" s="444"/>
      <c r="J661" s="444"/>
      <c r="K661" s="444"/>
      <c r="L661" s="444"/>
      <c r="M661" s="444"/>
      <c r="N661" s="445"/>
    </row>
    <row r="662" spans="1:14" x14ac:dyDescent="0.2">
      <c r="A662" s="24"/>
      <c r="B662" s="26"/>
      <c r="C662" s="444"/>
      <c r="D662" s="444"/>
      <c r="E662" s="444"/>
      <c r="F662" s="444"/>
      <c r="G662" s="444"/>
      <c r="H662" s="444"/>
      <c r="I662" s="444"/>
      <c r="J662" s="444"/>
      <c r="K662" s="444"/>
      <c r="L662" s="444"/>
      <c r="M662" s="444"/>
      <c r="N662" s="445"/>
    </row>
    <row r="663" spans="1:14" x14ac:dyDescent="0.2">
      <c r="A663" s="24"/>
      <c r="C663" s="444"/>
      <c r="D663" s="444"/>
      <c r="E663" s="444"/>
      <c r="F663" s="444"/>
      <c r="G663" s="444"/>
      <c r="H663" s="444"/>
      <c r="I663" s="444"/>
      <c r="J663" s="444"/>
      <c r="K663" s="444"/>
      <c r="L663" s="444"/>
      <c r="M663" s="444"/>
      <c r="N663" s="445"/>
    </row>
    <row r="664" spans="1:14" x14ac:dyDescent="0.2">
      <c r="A664" s="24"/>
      <c r="B664" s="26" t="s">
        <v>426</v>
      </c>
      <c r="C664" s="27" t="s">
        <v>1358</v>
      </c>
      <c r="D664" s="27"/>
      <c r="E664" s="28"/>
      <c r="F664" s="28"/>
      <c r="G664" s="28"/>
      <c r="H664" s="28"/>
      <c r="I664" s="28"/>
      <c r="J664" s="28"/>
      <c r="K664" s="28"/>
      <c r="L664" s="28"/>
      <c r="M664" s="28"/>
      <c r="N664" s="29"/>
    </row>
    <row r="665" spans="1:14" ht="13.5" thickBot="1" x14ac:dyDescent="0.25">
      <c r="A665" s="30"/>
      <c r="B665" s="26" t="s">
        <v>430</v>
      </c>
      <c r="C665" s="31"/>
      <c r="D665" s="31"/>
      <c r="E665" s="32"/>
      <c r="F665" s="32"/>
      <c r="G665" s="32"/>
      <c r="H665" s="32"/>
      <c r="I665" s="32"/>
      <c r="J665" s="32"/>
      <c r="K665" s="32"/>
      <c r="L665" s="32"/>
      <c r="M665" s="32"/>
      <c r="N665" s="33"/>
    </row>
    <row r="666" spans="1:14" ht="13.5" thickBot="1" x14ac:dyDescent="0.25">
      <c r="A666" s="20"/>
      <c r="B666" s="21" t="s">
        <v>263</v>
      </c>
      <c r="C666" s="21"/>
      <c r="D666" s="21"/>
      <c r="E666" s="22"/>
      <c r="F666" s="22"/>
      <c r="G666" s="22"/>
      <c r="H666" s="22"/>
      <c r="I666" s="22"/>
      <c r="J666" s="48" t="s">
        <v>909</v>
      </c>
      <c r="K666" s="37" t="s">
        <v>1776</v>
      </c>
      <c r="L666" s="37"/>
      <c r="M666" s="37"/>
      <c r="N666" s="37"/>
    </row>
    <row r="667" spans="1:14" x14ac:dyDescent="0.2">
      <c r="A667" s="20"/>
      <c r="B667" s="434" t="s">
        <v>67</v>
      </c>
      <c r="C667" s="434"/>
      <c r="D667" s="434"/>
      <c r="E667" s="22"/>
      <c r="F667" s="22" t="s">
        <v>1180</v>
      </c>
      <c r="G667" s="22" t="s">
        <v>68</v>
      </c>
      <c r="H667" s="22" t="s">
        <v>702</v>
      </c>
      <c r="I667" s="22"/>
      <c r="J667" s="74">
        <f>46/O1*O2</f>
        <v>83.636363636363626</v>
      </c>
      <c r="K667" s="74">
        <f>58/O1*O2</f>
        <v>105.45454545454544</v>
      </c>
      <c r="L667" s="77"/>
      <c r="M667" s="42"/>
      <c r="N667" s="42"/>
    </row>
    <row r="668" spans="1:14" x14ac:dyDescent="0.2">
      <c r="A668" s="24"/>
      <c r="B668" s="435" t="s">
        <v>67</v>
      </c>
      <c r="C668" s="435"/>
      <c r="D668" s="435"/>
      <c r="E668" s="28"/>
      <c r="F668" s="28" t="s">
        <v>1181</v>
      </c>
      <c r="G668" s="28" t="s">
        <v>68</v>
      </c>
      <c r="H668" s="28" t="s">
        <v>702</v>
      </c>
      <c r="I668" s="28"/>
      <c r="J668" s="75">
        <f>24.5/O1*O2</f>
        <v>44.54545454545454</v>
      </c>
      <c r="K668" s="75">
        <f>35/O1*O2</f>
        <v>63.636363636363633</v>
      </c>
      <c r="L668" s="75"/>
      <c r="M668" s="44"/>
      <c r="N668" s="44"/>
    </row>
    <row r="669" spans="1:14" x14ac:dyDescent="0.2">
      <c r="A669" s="24"/>
      <c r="B669" s="435" t="s">
        <v>67</v>
      </c>
      <c r="C669" s="435"/>
      <c r="D669" s="435"/>
      <c r="E669" s="28"/>
      <c r="F669" s="28" t="s">
        <v>1182</v>
      </c>
      <c r="G669" s="28" t="s">
        <v>68</v>
      </c>
      <c r="H669" s="28" t="s">
        <v>702</v>
      </c>
      <c r="I669" s="28"/>
      <c r="J669" s="75">
        <f>19.6/O1*O2</f>
        <v>35.636363636363633</v>
      </c>
      <c r="K669" s="75">
        <f>27.6/O1*O2</f>
        <v>50.18181818181818</v>
      </c>
      <c r="L669" s="75"/>
      <c r="M669" s="44"/>
      <c r="N669" s="44"/>
    </row>
    <row r="670" spans="1:14" ht="13.5" thickBot="1" x14ac:dyDescent="0.25">
      <c r="A670" s="30"/>
      <c r="B670" s="443"/>
      <c r="C670" s="443"/>
      <c r="D670" s="443"/>
      <c r="E670" s="32"/>
      <c r="F670" s="32"/>
      <c r="G670" s="32"/>
      <c r="H670" s="32"/>
      <c r="I670" s="32"/>
      <c r="J670" s="76"/>
      <c r="K670" s="76"/>
      <c r="L670" s="76"/>
      <c r="M670" s="46"/>
      <c r="N670" s="46"/>
    </row>
    <row r="671" spans="1:14" ht="13.5" thickBot="1" x14ac:dyDescent="0.25">
      <c r="A671" s="84"/>
      <c r="B671" s="55" t="s">
        <v>78</v>
      </c>
      <c r="C671" s="55"/>
      <c r="D671" s="55"/>
      <c r="E671" s="64"/>
      <c r="F671" s="64"/>
      <c r="G671" s="64"/>
      <c r="H671" s="64"/>
      <c r="I671" s="64"/>
      <c r="J671" s="81"/>
      <c r="K671" s="81"/>
      <c r="L671" s="81"/>
      <c r="M671" s="81"/>
      <c r="N671" s="82"/>
    </row>
    <row r="672" spans="1:14" ht="13.5" thickBot="1" x14ac:dyDescent="0.25">
      <c r="A672" s="52"/>
      <c r="B672" s="27"/>
      <c r="C672" s="27"/>
      <c r="D672" s="27"/>
      <c r="E672" s="28"/>
      <c r="F672" s="28"/>
      <c r="G672" s="28"/>
      <c r="H672" s="28"/>
      <c r="I672" s="28"/>
      <c r="J672" s="53"/>
      <c r="K672" s="53"/>
      <c r="L672" s="53"/>
      <c r="M672" s="53"/>
      <c r="N672" s="53"/>
    </row>
    <row r="673" spans="1:14" x14ac:dyDescent="0.2">
      <c r="A673" s="20"/>
      <c r="B673" s="21"/>
      <c r="C673" s="21"/>
      <c r="D673" s="21"/>
      <c r="E673" s="22"/>
      <c r="F673" s="22"/>
      <c r="G673" s="22"/>
      <c r="H673" s="22"/>
      <c r="I673" s="22"/>
      <c r="J673" s="22"/>
      <c r="K673" s="22"/>
      <c r="L673" s="22"/>
      <c r="M673" s="22"/>
      <c r="N673" s="23"/>
    </row>
    <row r="674" spans="1:14" ht="15" x14ac:dyDescent="0.2">
      <c r="A674" s="24"/>
      <c r="B674" s="440" t="s">
        <v>726</v>
      </c>
      <c r="C674" s="441"/>
      <c r="D674" s="441"/>
      <c r="E674" s="441"/>
      <c r="F674" s="441"/>
      <c r="G674" s="441"/>
      <c r="H674" s="441"/>
      <c r="I674" s="441"/>
      <c r="J674" s="441"/>
      <c r="K674" s="441"/>
      <c r="L674" s="441"/>
      <c r="M674" s="442"/>
      <c r="N674" s="25" t="s">
        <v>96</v>
      </c>
    </row>
    <row r="675" spans="1:14" x14ac:dyDescent="0.2">
      <c r="A675" s="24"/>
      <c r="B675" s="26" t="s">
        <v>428</v>
      </c>
      <c r="C675" s="27" t="s">
        <v>192</v>
      </c>
      <c r="D675" s="27"/>
      <c r="E675" s="28"/>
      <c r="F675" s="28"/>
      <c r="G675" s="28"/>
      <c r="H675" s="28"/>
      <c r="I675" s="28"/>
      <c r="J675" s="28"/>
      <c r="K675" s="28"/>
      <c r="L675" s="28"/>
      <c r="M675" s="28"/>
      <c r="N675" s="29"/>
    </row>
    <row r="676" spans="1:14" x14ac:dyDescent="0.2">
      <c r="A676" s="24"/>
      <c r="B676" s="26" t="s">
        <v>429</v>
      </c>
      <c r="C676" s="27" t="s">
        <v>885</v>
      </c>
      <c r="D676" s="27"/>
      <c r="E676" s="28"/>
      <c r="F676" s="28"/>
      <c r="G676" s="28"/>
      <c r="H676" s="28"/>
      <c r="I676" s="28"/>
      <c r="J676" s="28"/>
      <c r="K676" s="28"/>
      <c r="L676" s="28"/>
      <c r="M676" s="28"/>
      <c r="N676" s="29"/>
    </row>
    <row r="677" spans="1:14" x14ac:dyDescent="0.2">
      <c r="A677" s="24"/>
      <c r="B677" s="26" t="s">
        <v>427</v>
      </c>
      <c r="C677" s="444" t="s">
        <v>1755</v>
      </c>
      <c r="D677" s="444"/>
      <c r="E677" s="444"/>
      <c r="F677" s="444"/>
      <c r="G677" s="444"/>
      <c r="H677" s="444"/>
      <c r="I677" s="444"/>
      <c r="J677" s="444"/>
      <c r="K677" s="444"/>
      <c r="L677" s="444"/>
      <c r="M677" s="444"/>
      <c r="N677" s="445"/>
    </row>
    <row r="678" spans="1:14" x14ac:dyDescent="0.2">
      <c r="A678" s="24"/>
      <c r="B678" s="26"/>
      <c r="C678" s="444"/>
      <c r="D678" s="444"/>
      <c r="E678" s="444"/>
      <c r="F678" s="444"/>
      <c r="G678" s="444"/>
      <c r="H678" s="444"/>
      <c r="I678" s="444"/>
      <c r="J678" s="444"/>
      <c r="K678" s="444"/>
      <c r="L678" s="444"/>
      <c r="M678" s="444"/>
      <c r="N678" s="445"/>
    </row>
    <row r="679" spans="1:14" x14ac:dyDescent="0.2">
      <c r="A679" s="24"/>
      <c r="C679" s="444"/>
      <c r="D679" s="444"/>
      <c r="E679" s="444"/>
      <c r="F679" s="444"/>
      <c r="G679" s="444"/>
      <c r="H679" s="444"/>
      <c r="I679" s="444"/>
      <c r="J679" s="444"/>
      <c r="K679" s="444"/>
      <c r="L679" s="444"/>
      <c r="M679" s="444"/>
      <c r="N679" s="445"/>
    </row>
    <row r="680" spans="1:14" x14ac:dyDescent="0.2">
      <c r="A680" s="24"/>
      <c r="C680" s="444"/>
      <c r="D680" s="444"/>
      <c r="E680" s="444"/>
      <c r="F680" s="444"/>
      <c r="G680" s="444"/>
      <c r="H680" s="444"/>
      <c r="I680" s="444"/>
      <c r="J680" s="444"/>
      <c r="K680" s="444"/>
      <c r="L680" s="444"/>
      <c r="M680" s="444"/>
      <c r="N680" s="445"/>
    </row>
    <row r="681" spans="1:14" x14ac:dyDescent="0.2">
      <c r="A681" s="24"/>
      <c r="B681" s="26" t="s">
        <v>426</v>
      </c>
      <c r="C681" s="27"/>
      <c r="D681" s="27"/>
      <c r="E681" s="28"/>
      <c r="F681" s="28"/>
      <c r="G681" s="28"/>
      <c r="H681" s="28"/>
      <c r="I681" s="28"/>
      <c r="J681" s="27"/>
      <c r="K681" s="28"/>
      <c r="L681" s="28"/>
      <c r="M681" s="28"/>
      <c r="N681" s="29"/>
    </row>
    <row r="682" spans="1:14" ht="13.5" thickBot="1" x14ac:dyDescent="0.25">
      <c r="A682" s="30"/>
      <c r="B682" s="26" t="s">
        <v>430</v>
      </c>
      <c r="C682" s="31"/>
      <c r="D682" s="31"/>
      <c r="E682" s="32"/>
      <c r="F682" s="32"/>
      <c r="G682" s="32"/>
      <c r="H682" s="32"/>
      <c r="I682" s="32"/>
      <c r="J682" s="32"/>
      <c r="K682" s="32"/>
      <c r="L682" s="32"/>
      <c r="M682" s="32"/>
      <c r="N682" s="33"/>
    </row>
    <row r="683" spans="1:14" x14ac:dyDescent="0.2">
      <c r="A683" s="20"/>
      <c r="B683" s="21" t="s">
        <v>263</v>
      </c>
      <c r="C683" s="21"/>
      <c r="D683" s="21"/>
      <c r="E683" s="22"/>
      <c r="F683" s="22"/>
      <c r="G683" s="22"/>
      <c r="H683" s="22"/>
      <c r="I683" s="22"/>
      <c r="J683" s="37" t="s">
        <v>909</v>
      </c>
      <c r="K683" s="37" t="s">
        <v>1753</v>
      </c>
      <c r="L683" s="37"/>
      <c r="M683" s="37"/>
      <c r="N683" s="37"/>
    </row>
    <row r="684" spans="1:14" ht="13.5" thickBot="1" x14ac:dyDescent="0.25">
      <c r="A684" s="24"/>
      <c r="B684" s="27"/>
      <c r="C684" s="27"/>
      <c r="D684" s="27"/>
      <c r="E684" s="28"/>
      <c r="F684" s="28"/>
      <c r="G684" s="28"/>
      <c r="H684" s="28"/>
      <c r="I684" s="28"/>
      <c r="J684" s="40" t="s">
        <v>1435</v>
      </c>
      <c r="K684" s="40" t="s">
        <v>612</v>
      </c>
      <c r="L684" s="40"/>
      <c r="M684" s="40"/>
      <c r="N684" s="40"/>
    </row>
    <row r="685" spans="1:14" x14ac:dyDescent="0.2">
      <c r="A685" s="20"/>
      <c r="B685" s="434" t="s">
        <v>67</v>
      </c>
      <c r="C685" s="434"/>
      <c r="D685" s="434"/>
      <c r="E685" s="22"/>
      <c r="F685" s="22" t="s">
        <v>1180</v>
      </c>
      <c r="G685" s="22" t="s">
        <v>68</v>
      </c>
      <c r="H685" s="22" t="s">
        <v>702</v>
      </c>
      <c r="I685" s="22"/>
      <c r="J685" s="75">
        <f>66/O1*O2</f>
        <v>119.99999999999999</v>
      </c>
      <c r="K685" s="75">
        <f>80/O1*O2</f>
        <v>145.45454545454544</v>
      </c>
      <c r="L685" s="44"/>
      <c r="M685" s="44"/>
      <c r="N685" s="42"/>
    </row>
    <row r="686" spans="1:14" x14ac:dyDescent="0.2">
      <c r="A686" s="24"/>
      <c r="B686" s="435" t="s">
        <v>67</v>
      </c>
      <c r="C686" s="435"/>
      <c r="D686" s="435"/>
      <c r="E686" s="28"/>
      <c r="F686" s="28" t="s">
        <v>1181</v>
      </c>
      <c r="G686" s="28" t="s">
        <v>68</v>
      </c>
      <c r="H686" s="28" t="s">
        <v>702</v>
      </c>
      <c r="I686" s="28"/>
      <c r="J686" s="75">
        <f>37/O1*O2</f>
        <v>67.272727272727266</v>
      </c>
      <c r="K686" s="75">
        <f>43/O1*O2</f>
        <v>78.181818181818173</v>
      </c>
      <c r="L686" s="44"/>
      <c r="M686" s="44"/>
      <c r="N686" s="44"/>
    </row>
    <row r="687" spans="1:14" x14ac:dyDescent="0.2">
      <c r="A687" s="24"/>
      <c r="B687" s="435" t="s">
        <v>67</v>
      </c>
      <c r="C687" s="435"/>
      <c r="D687" s="435"/>
      <c r="E687" s="28"/>
      <c r="F687" s="28" t="s">
        <v>1182</v>
      </c>
      <c r="G687" s="28" t="s">
        <v>68</v>
      </c>
      <c r="H687" s="28" t="s">
        <v>702</v>
      </c>
      <c r="I687" s="28"/>
      <c r="J687" s="75">
        <f>36.6/O1*O2</f>
        <v>66.545454545454547</v>
      </c>
      <c r="K687" s="75">
        <f>41.5/O1*O2</f>
        <v>75.454545454545453</v>
      </c>
      <c r="L687" s="44"/>
      <c r="M687" s="44"/>
      <c r="N687" s="44"/>
    </row>
    <row r="688" spans="1:14" ht="13.5" thickBot="1" x14ac:dyDescent="0.25">
      <c r="A688" s="30"/>
      <c r="B688" s="443" t="s">
        <v>902</v>
      </c>
      <c r="C688" s="443"/>
      <c r="D688" s="443"/>
      <c r="E688" s="32"/>
      <c r="F688" s="32"/>
      <c r="G688" s="32"/>
      <c r="H688" s="32" t="s">
        <v>702</v>
      </c>
      <c r="I688" s="33"/>
      <c r="J688" s="76">
        <f>17/O1*O2</f>
        <v>30.909090909090907</v>
      </c>
      <c r="K688" s="76">
        <f>17/O1*O2</f>
        <v>30.909090909090907</v>
      </c>
      <c r="L688" s="46"/>
      <c r="M688" s="46"/>
      <c r="N688" s="46"/>
    </row>
    <row r="689" spans="1:14" ht="13.5" thickBot="1" x14ac:dyDescent="0.25">
      <c r="A689" s="52"/>
      <c r="B689" s="27"/>
      <c r="C689" s="27"/>
      <c r="D689" s="27"/>
      <c r="E689" s="28"/>
      <c r="F689" s="28"/>
      <c r="G689" s="28"/>
      <c r="H689" s="28"/>
      <c r="I689" s="28"/>
      <c r="J689" s="53"/>
      <c r="K689" s="53"/>
      <c r="L689" s="53"/>
      <c r="M689" s="53"/>
      <c r="N689" s="53"/>
    </row>
    <row r="690" spans="1:14" x14ac:dyDescent="0.2">
      <c r="A690" s="20"/>
      <c r="B690" s="21"/>
      <c r="C690" s="21"/>
      <c r="D690" s="21"/>
      <c r="E690" s="22"/>
      <c r="F690" s="22"/>
      <c r="G690" s="22"/>
      <c r="H690" s="22"/>
      <c r="I690" s="22"/>
      <c r="J690" s="22"/>
      <c r="K690" s="22"/>
      <c r="L690" s="22"/>
      <c r="M690" s="22"/>
      <c r="N690" s="23"/>
    </row>
    <row r="691" spans="1:14" ht="15" x14ac:dyDescent="0.2">
      <c r="A691" s="24"/>
      <c r="B691" s="440" t="s">
        <v>89</v>
      </c>
      <c r="C691" s="441"/>
      <c r="D691" s="441"/>
      <c r="E691" s="441"/>
      <c r="F691" s="441"/>
      <c r="G691" s="441"/>
      <c r="H691" s="441"/>
      <c r="I691" s="441"/>
      <c r="J691" s="441"/>
      <c r="K691" s="441"/>
      <c r="L691" s="441"/>
      <c r="M691" s="442"/>
      <c r="N691" s="25" t="s">
        <v>96</v>
      </c>
    </row>
    <row r="692" spans="1:14" x14ac:dyDescent="0.2">
      <c r="A692" s="24"/>
      <c r="B692" s="26" t="s">
        <v>428</v>
      </c>
      <c r="C692" s="27" t="s">
        <v>90</v>
      </c>
      <c r="D692" s="27"/>
      <c r="E692" s="28"/>
      <c r="F692" s="28"/>
      <c r="G692" s="28"/>
      <c r="H692" s="28"/>
      <c r="I692" s="28"/>
      <c r="J692" s="28"/>
      <c r="K692" s="28"/>
      <c r="L692" s="28"/>
      <c r="M692" s="28"/>
      <c r="N692" s="29"/>
    </row>
    <row r="693" spans="1:14" x14ac:dyDescent="0.2">
      <c r="A693" s="24"/>
      <c r="B693" s="26" t="s">
        <v>429</v>
      </c>
      <c r="C693" s="27" t="s">
        <v>337</v>
      </c>
      <c r="D693" s="27"/>
      <c r="E693" s="28"/>
      <c r="F693" s="28"/>
      <c r="G693" s="28"/>
      <c r="H693" s="28"/>
      <c r="I693" s="28"/>
      <c r="J693" s="28"/>
      <c r="K693" s="28"/>
      <c r="L693" s="28"/>
      <c r="M693" s="28"/>
      <c r="N693" s="29"/>
    </row>
    <row r="694" spans="1:14" x14ac:dyDescent="0.2">
      <c r="A694" s="24"/>
      <c r="B694" s="26" t="s">
        <v>427</v>
      </c>
      <c r="C694" s="444" t="s">
        <v>1610</v>
      </c>
      <c r="D694" s="444"/>
      <c r="E694" s="444"/>
      <c r="F694" s="444"/>
      <c r="G694" s="444"/>
      <c r="H694" s="444"/>
      <c r="I694" s="444"/>
      <c r="J694" s="444"/>
      <c r="K694" s="444"/>
      <c r="L694" s="444"/>
      <c r="M694" s="444"/>
      <c r="N694" s="445"/>
    </row>
    <row r="695" spans="1:14" x14ac:dyDescent="0.2">
      <c r="A695" s="24"/>
      <c r="B695" s="26"/>
      <c r="C695" s="444"/>
      <c r="D695" s="444"/>
      <c r="E695" s="444"/>
      <c r="F695" s="444"/>
      <c r="G695" s="444"/>
      <c r="H695" s="444"/>
      <c r="I695" s="444"/>
      <c r="J695" s="444"/>
      <c r="K695" s="444"/>
      <c r="L695" s="444"/>
      <c r="M695" s="444"/>
      <c r="N695" s="445"/>
    </row>
    <row r="696" spans="1:14" x14ac:dyDescent="0.2">
      <c r="A696" s="24"/>
      <c r="C696" s="444"/>
      <c r="D696" s="444"/>
      <c r="E696" s="444"/>
      <c r="F696" s="444"/>
      <c r="G696" s="444"/>
      <c r="H696" s="444"/>
      <c r="I696" s="444"/>
      <c r="J696" s="444"/>
      <c r="K696" s="444"/>
      <c r="L696" s="444"/>
      <c r="M696" s="444"/>
      <c r="N696" s="445"/>
    </row>
    <row r="697" spans="1:14" x14ac:dyDescent="0.2">
      <c r="A697" s="24"/>
      <c r="B697" s="26" t="s">
        <v>426</v>
      </c>
      <c r="C697" s="27"/>
      <c r="D697" s="27"/>
      <c r="E697" s="28"/>
      <c r="F697" s="28"/>
      <c r="G697" s="28"/>
      <c r="H697" s="28"/>
      <c r="I697" s="28"/>
      <c r="J697" s="28"/>
      <c r="K697" s="28"/>
      <c r="L697" s="28"/>
      <c r="M697" s="28"/>
      <c r="N697" s="29"/>
    </row>
    <row r="698" spans="1:14" ht="13.5" thickBot="1" x14ac:dyDescent="0.25">
      <c r="A698" s="30"/>
      <c r="B698" s="26" t="s">
        <v>430</v>
      </c>
      <c r="C698" s="31"/>
      <c r="D698" s="31"/>
      <c r="E698" s="32"/>
      <c r="F698" s="32"/>
      <c r="G698" s="32"/>
      <c r="H698" s="32"/>
      <c r="I698" s="32"/>
      <c r="J698" s="32"/>
      <c r="K698" s="32"/>
      <c r="L698" s="32"/>
      <c r="M698" s="32"/>
      <c r="N698" s="33"/>
    </row>
    <row r="699" spans="1:14" x14ac:dyDescent="0.2">
      <c r="A699" s="20"/>
      <c r="B699" s="21" t="s">
        <v>263</v>
      </c>
      <c r="C699" s="21"/>
      <c r="D699" s="21"/>
      <c r="E699" s="22"/>
      <c r="F699" s="22"/>
      <c r="G699" s="22"/>
      <c r="H699" s="22"/>
      <c r="I699" s="22"/>
      <c r="J699" s="48" t="s">
        <v>907</v>
      </c>
      <c r="K699" s="37" t="s">
        <v>339</v>
      </c>
      <c r="L699" s="37" t="s">
        <v>514</v>
      </c>
      <c r="M699" s="37"/>
      <c r="N699" s="37"/>
    </row>
    <row r="700" spans="1:14" ht="13.5" thickBot="1" x14ac:dyDescent="0.25">
      <c r="A700" s="30"/>
      <c r="B700" s="31"/>
      <c r="C700" s="31"/>
      <c r="D700" s="31"/>
      <c r="E700" s="32"/>
      <c r="F700" s="32"/>
      <c r="G700" s="32"/>
      <c r="H700" s="32"/>
      <c r="I700" s="32"/>
      <c r="J700" s="65"/>
      <c r="K700" s="40" t="s">
        <v>1749</v>
      </c>
      <c r="L700" s="40"/>
      <c r="M700" s="40"/>
      <c r="N700" s="40"/>
    </row>
    <row r="701" spans="1:14" x14ac:dyDescent="0.2">
      <c r="A701" s="20"/>
      <c r="B701" s="434" t="s">
        <v>67</v>
      </c>
      <c r="C701" s="434"/>
      <c r="D701" s="434"/>
      <c r="E701" s="22"/>
      <c r="F701" s="22" t="s">
        <v>1180</v>
      </c>
      <c r="G701" s="22" t="s">
        <v>68</v>
      </c>
      <c r="H701" s="22" t="s">
        <v>702</v>
      </c>
      <c r="I701" s="22"/>
      <c r="J701" s="74">
        <f>55/O1*O2</f>
        <v>99.999999999999986</v>
      </c>
      <c r="K701" s="74">
        <f>79/O1*O2</f>
        <v>143.63636363636363</v>
      </c>
      <c r="L701" s="74">
        <f>67/O1*O2</f>
        <v>121.81818181818181</v>
      </c>
      <c r="M701" s="42"/>
      <c r="N701" s="42"/>
    </row>
    <row r="702" spans="1:14" x14ac:dyDescent="0.2">
      <c r="A702" s="24"/>
      <c r="B702" s="435" t="s">
        <v>67</v>
      </c>
      <c r="C702" s="435"/>
      <c r="D702" s="435"/>
      <c r="E702" s="28"/>
      <c r="F702" s="28" t="s">
        <v>1181</v>
      </c>
      <c r="G702" s="28" t="s">
        <v>68</v>
      </c>
      <c r="H702" s="28" t="s">
        <v>702</v>
      </c>
      <c r="I702" s="28"/>
      <c r="J702" s="75">
        <f>27.5/O1*O2</f>
        <v>49.999999999999993</v>
      </c>
      <c r="K702" s="75">
        <f>39.5/O1*O2</f>
        <v>71.818181818181813</v>
      </c>
      <c r="L702" s="75">
        <f>33.5/O1*O2</f>
        <v>60.909090909090907</v>
      </c>
      <c r="M702" s="44"/>
      <c r="N702" s="44"/>
    </row>
    <row r="703" spans="1:14" x14ac:dyDescent="0.2">
      <c r="A703" s="24"/>
      <c r="B703" s="435" t="s">
        <v>67</v>
      </c>
      <c r="C703" s="435"/>
      <c r="D703" s="435"/>
      <c r="E703" s="28"/>
      <c r="F703" s="28" t="s">
        <v>1182</v>
      </c>
      <c r="G703" s="28" t="s">
        <v>68</v>
      </c>
      <c r="H703" s="28" t="s">
        <v>702</v>
      </c>
      <c r="I703" s="28"/>
      <c r="J703" s="75">
        <f>23.5/O1*O2</f>
        <v>42.727272727272727</v>
      </c>
      <c r="K703" s="75">
        <f>31.5/O1*O2</f>
        <v>57.272727272727266</v>
      </c>
      <c r="L703" s="75">
        <f>27.5/O1*O2</f>
        <v>49.999999999999993</v>
      </c>
      <c r="M703" s="44"/>
      <c r="N703" s="44"/>
    </row>
    <row r="704" spans="1:14" ht="13.5" thickBot="1" x14ac:dyDescent="0.25">
      <c r="A704" s="30"/>
      <c r="B704" s="443" t="s">
        <v>902</v>
      </c>
      <c r="C704" s="443"/>
      <c r="D704" s="443"/>
      <c r="E704" s="32"/>
      <c r="F704" s="32"/>
      <c r="G704" s="32"/>
      <c r="H704" s="32"/>
      <c r="I704" s="32"/>
      <c r="J704" s="76">
        <f>15/O1*O2</f>
        <v>27.27272727272727</v>
      </c>
      <c r="K704" s="76">
        <f>15/O1*O2</f>
        <v>27.27272727272727</v>
      </c>
      <c r="L704" s="76">
        <f>15/O1*O2</f>
        <v>27.27272727272727</v>
      </c>
      <c r="M704" s="46"/>
      <c r="N704" s="46"/>
    </row>
    <row r="705" spans="1:14" x14ac:dyDescent="0.2">
      <c r="A705" s="52"/>
      <c r="B705" s="27"/>
      <c r="C705" s="27"/>
      <c r="D705" s="27"/>
      <c r="E705" s="28"/>
      <c r="F705" s="28"/>
      <c r="G705" s="28"/>
      <c r="H705" s="28"/>
      <c r="I705" s="28"/>
      <c r="J705" s="229"/>
      <c r="K705" s="229"/>
      <c r="L705" s="229"/>
      <c r="M705" s="53"/>
      <c r="N705" s="53"/>
    </row>
    <row r="709" spans="1:14" ht="13.5" thickBot="1" x14ac:dyDescent="0.25">
      <c r="A709" s="17"/>
      <c r="B709" s="17"/>
      <c r="C709" s="17"/>
      <c r="D709" s="17"/>
      <c r="E709" s="17"/>
      <c r="F709" s="17"/>
      <c r="G709" s="17"/>
      <c r="H709" s="17"/>
      <c r="I709" s="17"/>
      <c r="J709" s="17"/>
      <c r="K709" s="17"/>
      <c r="L709" s="17"/>
      <c r="M709" s="17"/>
      <c r="N709" s="17"/>
    </row>
    <row r="710" spans="1:14" x14ac:dyDescent="0.2">
      <c r="A710" s="20"/>
      <c r="B710" s="21"/>
      <c r="C710" s="21"/>
      <c r="D710" s="21"/>
      <c r="E710" s="22"/>
      <c r="F710" s="22"/>
      <c r="G710" s="22"/>
      <c r="H710" s="22"/>
      <c r="I710" s="22"/>
      <c r="J710" s="22"/>
      <c r="K710" s="22"/>
      <c r="L710" s="22"/>
      <c r="M710" s="22"/>
      <c r="N710" s="23"/>
    </row>
    <row r="711" spans="1:14" ht="15" x14ac:dyDescent="0.2">
      <c r="A711" s="24"/>
      <c r="B711" s="440" t="s">
        <v>95</v>
      </c>
      <c r="C711" s="441"/>
      <c r="D711" s="441"/>
      <c r="E711" s="441"/>
      <c r="F711" s="441"/>
      <c r="G711" s="441"/>
      <c r="H711" s="441"/>
      <c r="I711" s="441"/>
      <c r="J711" s="441"/>
      <c r="K711" s="441"/>
      <c r="L711" s="441"/>
      <c r="M711" s="442"/>
      <c r="N711" s="25" t="s">
        <v>96</v>
      </c>
    </row>
    <row r="712" spans="1:14" x14ac:dyDescent="0.2">
      <c r="A712" s="24"/>
      <c r="B712" s="26" t="s">
        <v>428</v>
      </c>
      <c r="C712" s="27" t="s">
        <v>169</v>
      </c>
      <c r="D712" s="27"/>
      <c r="E712" s="28"/>
      <c r="F712" s="28"/>
      <c r="G712" s="28"/>
      <c r="H712" s="28"/>
      <c r="I712" s="28"/>
      <c r="J712" s="28"/>
      <c r="K712" s="28"/>
      <c r="L712" s="28"/>
      <c r="M712" s="28"/>
      <c r="N712" s="29"/>
    </row>
    <row r="713" spans="1:14" x14ac:dyDescent="0.2">
      <c r="A713" s="24"/>
      <c r="B713" s="26" t="s">
        <v>429</v>
      </c>
      <c r="C713" s="27" t="s">
        <v>651</v>
      </c>
      <c r="D713" s="27"/>
      <c r="E713" s="28"/>
      <c r="F713" s="28"/>
      <c r="G713" s="28"/>
      <c r="H713" s="28"/>
      <c r="I713" s="28"/>
      <c r="J713" s="28"/>
      <c r="K713" s="28"/>
      <c r="L713" s="28"/>
      <c r="M713" s="28"/>
      <c r="N713" s="29"/>
    </row>
    <row r="714" spans="1:14" x14ac:dyDescent="0.2">
      <c r="A714" s="24"/>
      <c r="B714" s="26" t="s">
        <v>427</v>
      </c>
      <c r="C714" s="436" t="s">
        <v>1224</v>
      </c>
      <c r="D714" s="436"/>
      <c r="E714" s="436"/>
      <c r="F714" s="436"/>
      <c r="G714" s="436"/>
      <c r="H714" s="436"/>
      <c r="I714" s="436"/>
      <c r="J714" s="436"/>
      <c r="K714" s="436"/>
      <c r="L714" s="436"/>
      <c r="M714" s="436"/>
      <c r="N714" s="437"/>
    </row>
    <row r="715" spans="1:14" x14ac:dyDescent="0.2">
      <c r="A715" s="24"/>
      <c r="B715" s="26"/>
      <c r="C715" s="436"/>
      <c r="D715" s="436"/>
      <c r="E715" s="436"/>
      <c r="F715" s="436"/>
      <c r="G715" s="436"/>
      <c r="H715" s="436"/>
      <c r="I715" s="436"/>
      <c r="J715" s="436"/>
      <c r="K715" s="436"/>
      <c r="L715" s="436"/>
      <c r="M715" s="436"/>
      <c r="N715" s="437"/>
    </row>
    <row r="716" spans="1:14" x14ac:dyDescent="0.2">
      <c r="A716" s="24"/>
      <c r="C716" s="436"/>
      <c r="D716" s="436"/>
      <c r="E716" s="436"/>
      <c r="F716" s="436"/>
      <c r="G716" s="436"/>
      <c r="H716" s="436"/>
      <c r="I716" s="436"/>
      <c r="J716" s="436"/>
      <c r="K716" s="436"/>
      <c r="L716" s="436"/>
      <c r="M716" s="436"/>
      <c r="N716" s="437"/>
    </row>
    <row r="717" spans="1:14" x14ac:dyDescent="0.2">
      <c r="A717" s="24"/>
      <c r="B717" s="26" t="s">
        <v>426</v>
      </c>
      <c r="C717" s="27"/>
      <c r="D717" s="27"/>
      <c r="E717" s="28"/>
      <c r="F717" s="28"/>
      <c r="G717" s="28"/>
      <c r="H717" s="28"/>
      <c r="I717" s="28"/>
      <c r="J717" s="27"/>
      <c r="K717" s="28"/>
      <c r="L717" s="28"/>
      <c r="M717" s="28"/>
      <c r="N717" s="29"/>
    </row>
    <row r="718" spans="1:14" ht="13.5" thickBot="1" x14ac:dyDescent="0.25">
      <c r="A718" s="30"/>
      <c r="B718" s="47" t="s">
        <v>430</v>
      </c>
      <c r="C718" s="31"/>
      <c r="D718" s="31"/>
      <c r="E718" s="32"/>
      <c r="F718" s="32"/>
      <c r="G718" s="32"/>
      <c r="H718" s="32"/>
      <c r="I718" s="32"/>
      <c r="J718" s="31"/>
      <c r="K718" s="32"/>
      <c r="L718" s="32"/>
      <c r="M718" s="32"/>
      <c r="N718" s="33"/>
    </row>
    <row r="719" spans="1:14" x14ac:dyDescent="0.2">
      <c r="A719" s="20"/>
      <c r="B719" s="21" t="s">
        <v>263</v>
      </c>
      <c r="C719" s="21"/>
      <c r="D719" s="21"/>
      <c r="E719" s="22"/>
      <c r="F719" s="22"/>
      <c r="G719" s="22"/>
      <c r="H719" s="22"/>
      <c r="I719" s="22"/>
      <c r="J719" s="88" t="s">
        <v>94</v>
      </c>
      <c r="K719" s="37" t="s">
        <v>1756</v>
      </c>
      <c r="L719" s="37" t="s">
        <v>753</v>
      </c>
      <c r="M719" s="37" t="s">
        <v>513</v>
      </c>
      <c r="N719" s="37"/>
    </row>
    <row r="720" spans="1:14" x14ac:dyDescent="0.2">
      <c r="A720" s="24"/>
      <c r="B720" s="27"/>
      <c r="C720" s="27"/>
      <c r="D720" s="27"/>
      <c r="E720" s="28"/>
      <c r="F720" s="28"/>
      <c r="G720" s="28"/>
      <c r="H720" s="28"/>
      <c r="I720" s="28"/>
      <c r="J720" s="228" t="s">
        <v>514</v>
      </c>
      <c r="K720" s="63" t="s">
        <v>77</v>
      </c>
      <c r="L720" s="63"/>
      <c r="M720" s="67" t="s">
        <v>612</v>
      </c>
      <c r="N720" s="63"/>
    </row>
    <row r="721" spans="1:14" ht="13.5" thickBot="1" x14ac:dyDescent="0.25">
      <c r="A721" s="30"/>
      <c r="B721" s="17"/>
      <c r="C721" s="31"/>
      <c r="D721" s="31"/>
      <c r="E721" s="32"/>
      <c r="F721" s="32"/>
      <c r="G721" s="32"/>
      <c r="H721" s="32"/>
      <c r="I721" s="32"/>
      <c r="J721" s="318" t="s">
        <v>76</v>
      </c>
      <c r="K721" s="40"/>
      <c r="L721" s="40"/>
      <c r="M721" s="65"/>
      <c r="N721" s="40"/>
    </row>
    <row r="722" spans="1:14" x14ac:dyDescent="0.2">
      <c r="A722" s="20"/>
      <c r="B722" s="434" t="s">
        <v>67</v>
      </c>
      <c r="C722" s="434"/>
      <c r="D722" s="434"/>
      <c r="E722" s="22"/>
      <c r="F722" s="22" t="s">
        <v>1180</v>
      </c>
      <c r="G722" s="22" t="s">
        <v>68</v>
      </c>
      <c r="H722" s="22" t="s">
        <v>702</v>
      </c>
      <c r="I722" s="22"/>
      <c r="J722" s="74">
        <f>74/O1*O2</f>
        <v>134.54545454545453</v>
      </c>
      <c r="K722" s="75">
        <f>86/O1*O2</f>
        <v>156.36363636363635</v>
      </c>
      <c r="L722" s="74">
        <f>90/O1*O2</f>
        <v>163.63636363636363</v>
      </c>
      <c r="M722" s="72">
        <f>103/O1*O2</f>
        <v>187.27272727272725</v>
      </c>
      <c r="N722" s="63"/>
    </row>
    <row r="723" spans="1:14" x14ac:dyDescent="0.2">
      <c r="A723" s="24"/>
      <c r="B723" s="435" t="s">
        <v>67</v>
      </c>
      <c r="C723" s="435"/>
      <c r="D723" s="435"/>
      <c r="E723" s="28"/>
      <c r="F723" s="28" t="s">
        <v>1181</v>
      </c>
      <c r="G723" s="28" t="s">
        <v>68</v>
      </c>
      <c r="H723" s="28" t="s">
        <v>702</v>
      </c>
      <c r="I723" s="28"/>
      <c r="J723" s="75">
        <f>39/O1*O2</f>
        <v>70.909090909090907</v>
      </c>
      <c r="K723" s="75">
        <f>45/O1*O2</f>
        <v>81.818181818181813</v>
      </c>
      <c r="L723" s="75">
        <f>48/O1*O2</f>
        <v>87.272727272727266</v>
      </c>
      <c r="M723" s="72">
        <f>53.5/O1*O2</f>
        <v>97.272727272727266</v>
      </c>
      <c r="N723" s="63"/>
    </row>
    <row r="724" spans="1:14" x14ac:dyDescent="0.2">
      <c r="A724" s="24"/>
      <c r="B724" s="435" t="s">
        <v>67</v>
      </c>
      <c r="C724" s="435"/>
      <c r="D724" s="435"/>
      <c r="E724" s="28"/>
      <c r="F724" s="28" t="s">
        <v>1182</v>
      </c>
      <c r="G724" s="28" t="s">
        <v>68</v>
      </c>
      <c r="H724" s="28" t="s">
        <v>702</v>
      </c>
      <c r="I724" s="28"/>
      <c r="J724" s="75">
        <f>31.6/O1*O2</f>
        <v>57.454545454545453</v>
      </c>
      <c r="K724" s="75">
        <f>35.6/O1*O2</f>
        <v>64.72727272727272</v>
      </c>
      <c r="L724" s="75">
        <f>37/O1*O2</f>
        <v>67.272727272727266</v>
      </c>
      <c r="M724" s="72">
        <f>41.5/O1*O2</f>
        <v>75.454545454545453</v>
      </c>
      <c r="N724" s="63"/>
    </row>
    <row r="725" spans="1:14" ht="13.5" thickBot="1" x14ac:dyDescent="0.25">
      <c r="A725" s="30"/>
      <c r="B725" s="443" t="s">
        <v>902</v>
      </c>
      <c r="C725" s="443"/>
      <c r="D725" s="443"/>
      <c r="E725" s="32"/>
      <c r="F725" s="32"/>
      <c r="G725" s="32"/>
      <c r="H725" s="32"/>
      <c r="I725" s="32"/>
      <c r="J725" s="76">
        <f>11/O1*O2</f>
        <v>20</v>
      </c>
      <c r="K725" s="76">
        <f>11/O1*O2</f>
        <v>20</v>
      </c>
      <c r="L725" s="76">
        <f>11/O1*O2</f>
        <v>20</v>
      </c>
      <c r="M725" s="73">
        <f>11/O1*O2</f>
        <v>20</v>
      </c>
      <c r="N725" s="40"/>
    </row>
    <row r="726" spans="1:14" ht="13.5" thickBot="1" x14ac:dyDescent="0.25"/>
    <row r="727" spans="1:14" x14ac:dyDescent="0.2">
      <c r="A727" s="20"/>
      <c r="B727" s="21"/>
      <c r="C727" s="21"/>
      <c r="D727" s="21"/>
      <c r="E727" s="22"/>
      <c r="F727" s="22"/>
      <c r="G727" s="22"/>
      <c r="H727" s="22"/>
      <c r="I727" s="22"/>
      <c r="J727" s="22"/>
      <c r="K727" s="22"/>
      <c r="L727" s="22"/>
      <c r="M727" s="22"/>
      <c r="N727" s="23"/>
    </row>
    <row r="728" spans="1:14" ht="15" x14ac:dyDescent="0.2">
      <c r="A728" s="24"/>
      <c r="B728" s="440" t="s">
        <v>170</v>
      </c>
      <c r="C728" s="441"/>
      <c r="D728" s="441"/>
      <c r="E728" s="441"/>
      <c r="F728" s="441"/>
      <c r="G728" s="441"/>
      <c r="H728" s="441"/>
      <c r="I728" s="441"/>
      <c r="J728" s="441"/>
      <c r="K728" s="441"/>
      <c r="L728" s="441"/>
      <c r="M728" s="442"/>
      <c r="N728" s="25" t="s">
        <v>96</v>
      </c>
    </row>
    <row r="729" spans="1:14" x14ac:dyDescent="0.2">
      <c r="A729" s="24"/>
      <c r="B729" s="26" t="s">
        <v>428</v>
      </c>
      <c r="C729" s="27" t="s">
        <v>171</v>
      </c>
      <c r="D729" s="27"/>
      <c r="E729" s="28"/>
      <c r="F729" s="28"/>
      <c r="G729" s="28"/>
      <c r="H729" s="28"/>
      <c r="I729" s="28"/>
      <c r="J729" s="28"/>
      <c r="K729" s="28"/>
      <c r="L729" s="28"/>
      <c r="M729" s="28"/>
      <c r="N729" s="29"/>
    </row>
    <row r="730" spans="1:14" x14ac:dyDescent="0.2">
      <c r="A730" s="24"/>
      <c r="B730" s="26" t="s">
        <v>429</v>
      </c>
      <c r="C730" s="27" t="s">
        <v>172</v>
      </c>
      <c r="D730" s="27"/>
      <c r="E730" s="28"/>
      <c r="F730" s="28"/>
      <c r="G730" s="28"/>
      <c r="H730" s="28"/>
      <c r="I730" s="28"/>
      <c r="J730" s="28"/>
      <c r="K730" s="28"/>
      <c r="L730" s="28"/>
      <c r="M730" s="28"/>
      <c r="N730" s="29"/>
    </row>
    <row r="731" spans="1:14" x14ac:dyDescent="0.2">
      <c r="A731" s="24"/>
      <c r="B731" s="26" t="s">
        <v>427</v>
      </c>
      <c r="C731" s="436" t="s">
        <v>1225</v>
      </c>
      <c r="D731" s="436"/>
      <c r="E731" s="436"/>
      <c r="F731" s="436"/>
      <c r="G731" s="436"/>
      <c r="H731" s="436"/>
      <c r="I731" s="436"/>
      <c r="J731" s="436"/>
      <c r="K731" s="436"/>
      <c r="L731" s="436"/>
      <c r="M731" s="436"/>
      <c r="N731" s="437"/>
    </row>
    <row r="732" spans="1:14" x14ac:dyDescent="0.2">
      <c r="A732" s="24"/>
      <c r="B732" s="26"/>
      <c r="C732" s="436"/>
      <c r="D732" s="436"/>
      <c r="E732" s="436"/>
      <c r="F732" s="436"/>
      <c r="G732" s="436"/>
      <c r="H732" s="436"/>
      <c r="I732" s="436"/>
      <c r="J732" s="436"/>
      <c r="K732" s="436"/>
      <c r="L732" s="436"/>
      <c r="M732" s="436"/>
      <c r="N732" s="437"/>
    </row>
    <row r="733" spans="1:14" x14ac:dyDescent="0.2">
      <c r="A733" s="24"/>
      <c r="B733" s="26"/>
      <c r="C733" s="436"/>
      <c r="D733" s="436"/>
      <c r="E733" s="436"/>
      <c r="F733" s="436"/>
      <c r="G733" s="436"/>
      <c r="H733" s="436"/>
      <c r="I733" s="436"/>
      <c r="J733" s="436"/>
      <c r="K733" s="436"/>
      <c r="L733" s="436"/>
      <c r="M733" s="436"/>
      <c r="N733" s="437"/>
    </row>
    <row r="734" spans="1:14" x14ac:dyDescent="0.2">
      <c r="A734" s="24"/>
      <c r="C734" s="436"/>
      <c r="D734" s="436"/>
      <c r="E734" s="436"/>
      <c r="F734" s="436"/>
      <c r="G734" s="436"/>
      <c r="H734" s="436"/>
      <c r="I734" s="436"/>
      <c r="J734" s="436"/>
      <c r="K734" s="436"/>
      <c r="L734" s="436"/>
      <c r="M734" s="436"/>
      <c r="N734" s="437"/>
    </row>
    <row r="735" spans="1:14" x14ac:dyDescent="0.2">
      <c r="A735" s="24"/>
      <c r="B735" s="26" t="s">
        <v>426</v>
      </c>
      <c r="C735" s="27"/>
      <c r="D735" s="27"/>
      <c r="E735" s="28"/>
      <c r="F735" s="28"/>
      <c r="G735" s="28"/>
      <c r="H735" s="28"/>
      <c r="I735" s="28"/>
      <c r="J735" s="27"/>
      <c r="K735" s="28"/>
      <c r="L735" s="28"/>
      <c r="M735" s="28"/>
      <c r="N735" s="29"/>
    </row>
    <row r="736" spans="1:14" ht="13.5" thickBot="1" x14ac:dyDescent="0.25">
      <c r="A736" s="30"/>
      <c r="B736" s="26" t="s">
        <v>430</v>
      </c>
      <c r="C736" s="31" t="s">
        <v>1499</v>
      </c>
      <c r="D736" s="31"/>
      <c r="E736" s="32"/>
      <c r="F736" s="32"/>
      <c r="G736" s="32"/>
      <c r="H736" s="32"/>
      <c r="I736" s="32"/>
      <c r="J736" s="32"/>
      <c r="K736" s="32"/>
      <c r="L736" s="32"/>
      <c r="M736" s="32"/>
      <c r="N736" s="33"/>
    </row>
    <row r="737" spans="1:14" x14ac:dyDescent="0.2">
      <c r="A737" s="20"/>
      <c r="B737" s="21" t="s">
        <v>263</v>
      </c>
      <c r="C737" s="21"/>
      <c r="D737" s="21"/>
      <c r="E737" s="22"/>
      <c r="F737" s="22"/>
      <c r="G737" s="22"/>
      <c r="H737" s="22"/>
      <c r="I737" s="22"/>
      <c r="J737" s="48" t="s">
        <v>753</v>
      </c>
      <c r="K737" s="37" t="s">
        <v>513</v>
      </c>
      <c r="L737" s="37"/>
      <c r="M737" s="37"/>
      <c r="N737" s="37"/>
    </row>
    <row r="738" spans="1:14" ht="13.5" thickBot="1" x14ac:dyDescent="0.25">
      <c r="A738" s="30"/>
      <c r="B738" s="31"/>
      <c r="C738" s="31"/>
      <c r="D738" s="31"/>
      <c r="E738" s="32"/>
      <c r="F738" s="32"/>
      <c r="G738" s="32"/>
      <c r="H738" s="32"/>
      <c r="I738" s="32"/>
      <c r="J738" s="65" t="s">
        <v>514</v>
      </c>
      <c r="K738" s="40" t="s">
        <v>612</v>
      </c>
      <c r="L738" s="40"/>
      <c r="M738" s="40"/>
      <c r="N738" s="40"/>
    </row>
    <row r="739" spans="1:14" x14ac:dyDescent="0.2">
      <c r="A739" s="20"/>
      <c r="B739" s="434" t="s">
        <v>67</v>
      </c>
      <c r="C739" s="434"/>
      <c r="D739" s="434"/>
      <c r="E739" s="22"/>
      <c r="F739" s="22" t="s">
        <v>1180</v>
      </c>
      <c r="G739" s="22" t="s">
        <v>68</v>
      </c>
      <c r="H739" s="22" t="s">
        <v>702</v>
      </c>
      <c r="I739" s="22"/>
      <c r="J739" s="75">
        <f>69.6/O1*O2</f>
        <v>126.54545454545452</v>
      </c>
      <c r="K739" s="75">
        <f>88.5/O1*O2</f>
        <v>160.90909090909091</v>
      </c>
      <c r="L739" s="75"/>
      <c r="M739" s="44"/>
      <c r="N739" s="42"/>
    </row>
    <row r="740" spans="1:14" x14ac:dyDescent="0.2">
      <c r="A740" s="24"/>
      <c r="B740" s="435" t="s">
        <v>67</v>
      </c>
      <c r="C740" s="435"/>
      <c r="D740" s="435"/>
      <c r="E740" s="28"/>
      <c r="F740" s="28" t="s">
        <v>1181</v>
      </c>
      <c r="G740" s="28" t="s">
        <v>68</v>
      </c>
      <c r="H740" s="28" t="s">
        <v>702</v>
      </c>
      <c r="I740" s="28"/>
      <c r="J740" s="75">
        <f>38.5/O1*O2</f>
        <v>70</v>
      </c>
      <c r="K740" s="75">
        <f>48.7/O1*O2</f>
        <v>88.545454545454547</v>
      </c>
      <c r="L740" s="75"/>
      <c r="M740" s="44"/>
      <c r="N740" s="44"/>
    </row>
    <row r="741" spans="1:14" x14ac:dyDescent="0.2">
      <c r="A741" s="24"/>
      <c r="B741" s="435" t="s">
        <v>67</v>
      </c>
      <c r="C741" s="435"/>
      <c r="D741" s="435"/>
      <c r="E741" s="28"/>
      <c r="F741" s="28" t="s">
        <v>1182</v>
      </c>
      <c r="G741" s="28" t="s">
        <v>68</v>
      </c>
      <c r="H741" s="28" t="s">
        <v>702</v>
      </c>
      <c r="I741" s="28"/>
      <c r="J741" s="75">
        <f>31.5/O1*O2</f>
        <v>57.272727272727266</v>
      </c>
      <c r="K741" s="75">
        <f>42.5/O1*O2</f>
        <v>77.272727272727266</v>
      </c>
      <c r="L741" s="75"/>
      <c r="M741" s="44"/>
      <c r="N741" s="44"/>
    </row>
    <row r="742" spans="1:14" ht="13.5" thickBot="1" x14ac:dyDescent="0.25">
      <c r="A742" s="30"/>
      <c r="B742" s="443" t="s">
        <v>902</v>
      </c>
      <c r="C742" s="443"/>
      <c r="D742" s="443"/>
      <c r="E742" s="32"/>
      <c r="F742" s="32"/>
      <c r="G742" s="32"/>
      <c r="H742" s="32" t="s">
        <v>702</v>
      </c>
      <c r="I742" s="32"/>
      <c r="J742" s="76">
        <f>14/O1*O2</f>
        <v>25.454545454545453</v>
      </c>
      <c r="K742" s="76">
        <f>14/O1*O2</f>
        <v>25.454545454545453</v>
      </c>
      <c r="L742" s="76"/>
      <c r="M742" s="46"/>
      <c r="N742" s="46"/>
    </row>
    <row r="743" spans="1:14" ht="13.5" thickBot="1" x14ac:dyDescent="0.25">
      <c r="A743" s="52"/>
      <c r="B743" s="27"/>
      <c r="C743" s="27"/>
      <c r="D743" s="27"/>
      <c r="E743" s="28"/>
      <c r="F743" s="28"/>
      <c r="G743" s="28"/>
      <c r="H743" s="28"/>
      <c r="I743" s="28"/>
      <c r="J743" s="229"/>
      <c r="K743" s="229"/>
      <c r="L743" s="229"/>
      <c r="M743" s="53"/>
      <c r="N743" s="53"/>
    </row>
    <row r="744" spans="1:14" x14ac:dyDescent="0.2">
      <c r="A744" s="20"/>
      <c r="B744" s="21"/>
      <c r="C744" s="21"/>
      <c r="D744" s="21"/>
      <c r="E744" s="22"/>
      <c r="F744" s="22"/>
      <c r="G744" s="22"/>
      <c r="H744" s="22"/>
      <c r="I744" s="22"/>
      <c r="J744" s="22"/>
      <c r="K744" s="22"/>
      <c r="L744" s="22"/>
      <c r="M744" s="22"/>
      <c r="N744" s="23"/>
    </row>
    <row r="745" spans="1:14" ht="15" x14ac:dyDescent="0.2">
      <c r="A745" s="24"/>
      <c r="B745" s="440" t="s">
        <v>453</v>
      </c>
      <c r="C745" s="441"/>
      <c r="D745" s="441"/>
      <c r="E745" s="441"/>
      <c r="F745" s="441"/>
      <c r="G745" s="441"/>
      <c r="H745" s="441"/>
      <c r="I745" s="441"/>
      <c r="J745" s="441"/>
      <c r="K745" s="441"/>
      <c r="L745" s="441"/>
      <c r="M745" s="442"/>
      <c r="N745" s="25" t="s">
        <v>905</v>
      </c>
    </row>
    <row r="746" spans="1:14" x14ac:dyDescent="0.2">
      <c r="A746" s="24"/>
      <c r="B746" s="26" t="s">
        <v>428</v>
      </c>
      <c r="C746" s="27" t="s">
        <v>454</v>
      </c>
      <c r="D746" s="27"/>
      <c r="E746" s="28"/>
      <c r="F746" s="28"/>
      <c r="G746" s="28"/>
      <c r="H746" s="28"/>
      <c r="I746" s="28"/>
      <c r="J746" s="28"/>
      <c r="K746" s="28"/>
      <c r="L746" s="28"/>
      <c r="M746" s="28"/>
      <c r="N746" s="29"/>
    </row>
    <row r="747" spans="1:14" x14ac:dyDescent="0.2">
      <c r="A747" s="24"/>
      <c r="B747" s="26" t="s">
        <v>429</v>
      </c>
      <c r="C747" s="27" t="s">
        <v>455</v>
      </c>
      <c r="D747" s="27"/>
      <c r="E747" s="28"/>
      <c r="F747" s="28"/>
      <c r="G747" s="28"/>
      <c r="H747" s="28"/>
      <c r="I747" s="28"/>
      <c r="J747" s="28"/>
      <c r="K747" s="28"/>
      <c r="L747" s="28"/>
      <c r="M747" s="28"/>
      <c r="N747" s="29"/>
    </row>
    <row r="748" spans="1:14" x14ac:dyDescent="0.2">
      <c r="A748" s="24"/>
      <c r="B748" s="26" t="s">
        <v>427</v>
      </c>
      <c r="C748" s="436" t="s">
        <v>1541</v>
      </c>
      <c r="D748" s="436"/>
      <c r="E748" s="436"/>
      <c r="F748" s="436"/>
      <c r="G748" s="436"/>
      <c r="H748" s="436"/>
      <c r="I748" s="436"/>
      <c r="J748" s="436"/>
      <c r="K748" s="436"/>
      <c r="L748" s="436"/>
      <c r="M748" s="436"/>
      <c r="N748" s="437"/>
    </row>
    <row r="749" spans="1:14" x14ac:dyDescent="0.2">
      <c r="A749" s="24"/>
      <c r="C749" s="436"/>
      <c r="D749" s="436"/>
      <c r="E749" s="436"/>
      <c r="F749" s="436"/>
      <c r="G749" s="436"/>
      <c r="H749" s="436"/>
      <c r="I749" s="436"/>
      <c r="J749" s="436"/>
      <c r="K749" s="436"/>
      <c r="L749" s="436"/>
      <c r="M749" s="436"/>
      <c r="N749" s="437"/>
    </row>
    <row r="750" spans="1:14" x14ac:dyDescent="0.2">
      <c r="A750" s="24"/>
      <c r="C750" s="438"/>
      <c r="D750" s="438"/>
      <c r="E750" s="438"/>
      <c r="F750" s="438"/>
      <c r="G750" s="438"/>
      <c r="H750" s="438"/>
      <c r="I750" s="438"/>
      <c r="J750" s="438"/>
      <c r="K750" s="438"/>
      <c r="L750" s="438"/>
      <c r="M750" s="438"/>
      <c r="N750" s="439"/>
    </row>
    <row r="751" spans="1:14" x14ac:dyDescent="0.2">
      <c r="A751" s="24"/>
      <c r="B751" s="26" t="s">
        <v>426</v>
      </c>
      <c r="C751" s="27" t="s">
        <v>1353</v>
      </c>
      <c r="D751" s="27"/>
      <c r="E751" s="28"/>
      <c r="F751" s="28"/>
      <c r="G751" s="28"/>
      <c r="H751" s="28"/>
      <c r="I751" s="28"/>
      <c r="J751" s="28"/>
      <c r="K751" s="28"/>
      <c r="L751" s="28"/>
      <c r="M751" s="28"/>
      <c r="N751" s="29"/>
    </row>
    <row r="752" spans="1:14" ht="13.5" thickBot="1" x14ac:dyDescent="0.25">
      <c r="A752" s="30"/>
      <c r="B752" s="47" t="s">
        <v>430</v>
      </c>
      <c r="C752" s="31"/>
      <c r="D752" s="31"/>
      <c r="E752" s="32"/>
      <c r="F752" s="32"/>
      <c r="G752" s="32"/>
      <c r="H752" s="32"/>
      <c r="I752" s="32"/>
      <c r="J752" s="32"/>
      <c r="K752" s="32"/>
      <c r="L752" s="32"/>
      <c r="M752" s="32"/>
      <c r="N752" s="33"/>
    </row>
    <row r="753" spans="1:14" x14ac:dyDescent="0.2">
      <c r="A753" s="20"/>
      <c r="B753" s="21" t="s">
        <v>263</v>
      </c>
      <c r="C753" s="21"/>
      <c r="D753" s="21"/>
      <c r="E753" s="22"/>
      <c r="F753" s="22"/>
      <c r="G753" s="22"/>
      <c r="H753" s="22"/>
      <c r="I753" s="22"/>
      <c r="J753" s="37" t="s">
        <v>907</v>
      </c>
      <c r="K753" s="48" t="s">
        <v>339</v>
      </c>
      <c r="L753" s="37" t="s">
        <v>610</v>
      </c>
      <c r="M753" s="37"/>
      <c r="N753" s="37"/>
    </row>
    <row r="754" spans="1:14" ht="13.5" thickBot="1" x14ac:dyDescent="0.25">
      <c r="A754" s="30"/>
      <c r="B754" s="31"/>
      <c r="C754" s="31"/>
      <c r="D754" s="31"/>
      <c r="E754" s="32"/>
      <c r="F754" s="32"/>
      <c r="G754" s="32"/>
      <c r="H754" s="32"/>
      <c r="I754" s="32"/>
      <c r="J754" s="40" t="s">
        <v>512</v>
      </c>
      <c r="K754" s="49" t="s">
        <v>481</v>
      </c>
      <c r="L754" s="40"/>
      <c r="M754" s="40"/>
      <c r="N754" s="40"/>
    </row>
    <row r="755" spans="1:14" x14ac:dyDescent="0.2">
      <c r="A755" s="20"/>
      <c r="B755" s="434" t="s">
        <v>67</v>
      </c>
      <c r="C755" s="434"/>
      <c r="D755" s="434"/>
      <c r="E755" s="22"/>
      <c r="F755" s="22" t="s">
        <v>1180</v>
      </c>
      <c r="G755" s="22" t="s">
        <v>68</v>
      </c>
      <c r="H755" s="22" t="s">
        <v>702</v>
      </c>
      <c r="I755" s="22"/>
      <c r="J755" s="74">
        <f>74/O1*O2</f>
        <v>134.54545454545453</v>
      </c>
      <c r="K755" s="74">
        <f>85/O1*O2</f>
        <v>154.54545454545453</v>
      </c>
      <c r="L755" s="74">
        <f>106/O1*O2</f>
        <v>192.72727272727272</v>
      </c>
      <c r="M755" s="41"/>
      <c r="N755" s="42"/>
    </row>
    <row r="756" spans="1:14" x14ac:dyDescent="0.2">
      <c r="A756" s="24"/>
      <c r="B756" s="435" t="s">
        <v>67</v>
      </c>
      <c r="C756" s="435"/>
      <c r="D756" s="435"/>
      <c r="E756" s="28"/>
      <c r="F756" s="28" t="s">
        <v>1181</v>
      </c>
      <c r="G756" s="28" t="s">
        <v>68</v>
      </c>
      <c r="H756" s="28" t="s">
        <v>702</v>
      </c>
      <c r="I756" s="28"/>
      <c r="J756" s="75">
        <f>41/O1*O2</f>
        <v>74.545454545454533</v>
      </c>
      <c r="K756" s="75">
        <f>46.5/O1*O2</f>
        <v>84.545454545454533</v>
      </c>
      <c r="L756" s="75">
        <f>56.5/O1*O2</f>
        <v>102.72727272727272</v>
      </c>
      <c r="M756" s="43"/>
      <c r="N756" s="44"/>
    </row>
    <row r="757" spans="1:14" x14ac:dyDescent="0.2">
      <c r="A757" s="24"/>
      <c r="B757" s="27" t="s">
        <v>67</v>
      </c>
      <c r="C757" s="27"/>
      <c r="D757" s="27"/>
      <c r="E757" s="28"/>
      <c r="F757" s="28" t="s">
        <v>1182</v>
      </c>
      <c r="G757" s="28" t="s">
        <v>68</v>
      </c>
      <c r="H757" s="28" t="s">
        <v>702</v>
      </c>
      <c r="I757" s="28"/>
      <c r="J757" s="75">
        <f>39.5/O1*O2</f>
        <v>71.818181818181813</v>
      </c>
      <c r="K757" s="75">
        <f>42/O1*O2</f>
        <v>76.36363636363636</v>
      </c>
      <c r="L757" s="75">
        <f>50.5/O1*O2</f>
        <v>91.818181818181813</v>
      </c>
      <c r="M757" s="43"/>
      <c r="N757" s="44"/>
    </row>
    <row r="758" spans="1:14" ht="13.5" thickBot="1" x14ac:dyDescent="0.25">
      <c r="A758" s="30"/>
      <c r="B758" s="443"/>
      <c r="C758" s="443"/>
      <c r="D758" s="443"/>
      <c r="E758" s="32"/>
      <c r="F758" s="32"/>
      <c r="G758" s="32"/>
      <c r="H758" s="32"/>
      <c r="I758" s="32"/>
      <c r="J758" s="76"/>
      <c r="K758" s="76"/>
      <c r="L758" s="76"/>
      <c r="M758" s="45"/>
      <c r="N758" s="46"/>
    </row>
    <row r="760" spans="1:14" x14ac:dyDescent="0.2">
      <c r="A760" s="52"/>
      <c r="B760" s="27"/>
      <c r="C760" s="27"/>
      <c r="D760" s="27"/>
      <c r="E760" s="28"/>
      <c r="F760" s="28"/>
      <c r="G760" s="28"/>
      <c r="H760" s="28"/>
      <c r="I760" s="28"/>
      <c r="J760" s="229"/>
      <c r="K760" s="229"/>
      <c r="L760" s="229"/>
      <c r="M760" s="53"/>
      <c r="N760" s="53"/>
    </row>
    <row r="761" spans="1:14" x14ac:dyDescent="0.2">
      <c r="A761" s="52"/>
      <c r="B761" s="27"/>
      <c r="C761" s="27"/>
      <c r="D761" s="27"/>
      <c r="E761" s="28"/>
      <c r="F761" s="28"/>
      <c r="G761" s="28"/>
      <c r="H761" s="28"/>
      <c r="I761" s="28"/>
      <c r="J761" s="229"/>
      <c r="K761" s="229"/>
      <c r="L761" s="229"/>
      <c r="M761" s="53"/>
      <c r="N761" s="53"/>
    </row>
    <row r="762" spans="1:14" x14ac:dyDescent="0.2">
      <c r="A762" s="52"/>
      <c r="B762" s="27"/>
      <c r="C762" s="27"/>
      <c r="D762" s="27"/>
      <c r="E762" s="28"/>
      <c r="F762" s="28"/>
      <c r="G762" s="28"/>
      <c r="H762" s="28"/>
      <c r="I762" s="28"/>
      <c r="J762" s="229"/>
      <c r="K762" s="229"/>
      <c r="L762" s="229"/>
      <c r="M762" s="53"/>
      <c r="N762" s="53"/>
    </row>
    <row r="763" spans="1:14" x14ac:dyDescent="0.2">
      <c r="A763" s="52"/>
      <c r="B763" s="27"/>
      <c r="C763" s="27"/>
      <c r="D763" s="27"/>
      <c r="E763" s="28"/>
      <c r="F763" s="28"/>
      <c r="G763" s="28"/>
      <c r="H763" s="28"/>
      <c r="I763" s="28"/>
      <c r="J763" s="229"/>
      <c r="K763" s="229"/>
      <c r="L763" s="229"/>
      <c r="M763" s="53"/>
      <c r="N763" s="53"/>
    </row>
    <row r="764" spans="1:14" x14ac:dyDescent="0.2">
      <c r="A764" s="52"/>
      <c r="B764" s="27"/>
      <c r="C764" s="27"/>
      <c r="D764" s="27"/>
      <c r="E764" s="28"/>
      <c r="F764" s="28"/>
      <c r="G764" s="28"/>
      <c r="H764" s="28"/>
      <c r="I764" s="28"/>
      <c r="J764" s="229"/>
      <c r="K764" s="229"/>
      <c r="L764" s="229"/>
      <c r="M764" s="53"/>
      <c r="N764" s="53"/>
    </row>
    <row r="765" spans="1:14" ht="13.5" thickBot="1" x14ac:dyDescent="0.25"/>
    <row r="766" spans="1:14" x14ac:dyDescent="0.2">
      <c r="A766" s="20"/>
      <c r="B766" s="21"/>
      <c r="C766" s="21"/>
      <c r="D766" s="21"/>
      <c r="E766" s="22"/>
      <c r="F766" s="22"/>
      <c r="G766" s="22"/>
      <c r="H766" s="22"/>
      <c r="I766" s="22"/>
      <c r="J766" s="22"/>
      <c r="K766" s="22"/>
      <c r="L766" s="22"/>
      <c r="M766" s="22"/>
      <c r="N766" s="23"/>
    </row>
    <row r="767" spans="1:14" ht="15" x14ac:dyDescent="0.2">
      <c r="A767" s="24"/>
      <c r="B767" s="440" t="s">
        <v>230</v>
      </c>
      <c r="C767" s="441"/>
      <c r="D767" s="441"/>
      <c r="E767" s="441"/>
      <c r="F767" s="441"/>
      <c r="G767" s="441"/>
      <c r="H767" s="441"/>
      <c r="I767" s="441"/>
      <c r="J767" s="441"/>
      <c r="K767" s="441"/>
      <c r="L767" s="441"/>
      <c r="M767" s="442"/>
      <c r="N767" s="25" t="s">
        <v>96</v>
      </c>
    </row>
    <row r="768" spans="1:14" x14ac:dyDescent="0.2">
      <c r="A768" s="24"/>
      <c r="B768" s="26" t="s">
        <v>428</v>
      </c>
      <c r="C768" s="27" t="s">
        <v>231</v>
      </c>
      <c r="D768" s="27"/>
      <c r="E768" s="28"/>
      <c r="F768" s="28"/>
      <c r="G768" s="28"/>
      <c r="H768" s="28"/>
      <c r="I768" s="28"/>
      <c r="J768" s="28"/>
      <c r="K768" s="28"/>
      <c r="L768" s="28"/>
      <c r="M768" s="28"/>
      <c r="N768" s="29"/>
    </row>
    <row r="769" spans="1:14" x14ac:dyDescent="0.2">
      <c r="A769" s="24"/>
      <c r="B769" s="26" t="s">
        <v>429</v>
      </c>
      <c r="C769" s="27" t="s">
        <v>232</v>
      </c>
      <c r="D769" s="27"/>
      <c r="E769" s="28"/>
      <c r="F769" s="28"/>
      <c r="G769" s="28"/>
      <c r="H769" s="28"/>
      <c r="I769" s="28"/>
      <c r="J769" s="28"/>
      <c r="K769" s="28"/>
      <c r="L769" s="28"/>
      <c r="M769" s="28"/>
      <c r="N769" s="29"/>
    </row>
    <row r="770" spans="1:14" x14ac:dyDescent="0.2">
      <c r="A770" s="24"/>
      <c r="B770" s="26" t="s">
        <v>427</v>
      </c>
      <c r="C770" s="436" t="s">
        <v>746</v>
      </c>
      <c r="D770" s="436"/>
      <c r="E770" s="436"/>
      <c r="F770" s="436"/>
      <c r="G770" s="436"/>
      <c r="H770" s="436"/>
      <c r="I770" s="436"/>
      <c r="J770" s="436"/>
      <c r="K770" s="436"/>
      <c r="L770" s="436"/>
      <c r="M770" s="436"/>
      <c r="N770" s="437"/>
    </row>
    <row r="771" spans="1:14" x14ac:dyDescent="0.2">
      <c r="A771" s="24"/>
      <c r="C771" s="436"/>
      <c r="D771" s="436"/>
      <c r="E771" s="436"/>
      <c r="F771" s="436"/>
      <c r="G771" s="436"/>
      <c r="H771" s="436"/>
      <c r="I771" s="436"/>
      <c r="J771" s="436"/>
      <c r="K771" s="436"/>
      <c r="L771" s="436"/>
      <c r="M771" s="436"/>
      <c r="N771" s="437"/>
    </row>
    <row r="772" spans="1:14" x14ac:dyDescent="0.2">
      <c r="A772" s="24"/>
      <c r="C772" s="438"/>
      <c r="D772" s="438"/>
      <c r="E772" s="438"/>
      <c r="F772" s="438"/>
      <c r="G772" s="438"/>
      <c r="H772" s="438"/>
      <c r="I772" s="438"/>
      <c r="J772" s="438"/>
      <c r="K772" s="438"/>
      <c r="L772" s="438"/>
      <c r="M772" s="438"/>
      <c r="N772" s="439"/>
    </row>
    <row r="773" spans="1:14" x14ac:dyDescent="0.2">
      <c r="A773" s="24"/>
      <c r="B773" s="26" t="s">
        <v>426</v>
      </c>
      <c r="C773" s="27"/>
      <c r="D773" s="27"/>
      <c r="E773" s="28"/>
      <c r="F773" s="28"/>
      <c r="G773" s="28"/>
      <c r="H773" s="28"/>
      <c r="I773" s="28"/>
      <c r="J773" s="27"/>
      <c r="K773" s="28"/>
      <c r="L773" s="28"/>
      <c r="M773" s="28"/>
      <c r="N773" s="29"/>
    </row>
    <row r="774" spans="1:14" ht="13.5" thickBot="1" x14ac:dyDescent="0.25">
      <c r="A774" s="30"/>
      <c r="B774" s="26" t="s">
        <v>430</v>
      </c>
      <c r="C774" s="31"/>
      <c r="D774" s="31"/>
      <c r="E774" s="32"/>
      <c r="F774" s="32"/>
      <c r="G774" s="32"/>
      <c r="H774" s="32"/>
      <c r="I774" s="32"/>
      <c r="J774" s="32"/>
      <c r="K774" s="32"/>
      <c r="L774" s="32"/>
      <c r="M774" s="32"/>
      <c r="N774" s="33"/>
    </row>
    <row r="775" spans="1:14" x14ac:dyDescent="0.2">
      <c r="A775" s="20"/>
      <c r="B775" s="21" t="s">
        <v>263</v>
      </c>
      <c r="C775" s="21"/>
      <c r="D775" s="21"/>
      <c r="E775" s="22"/>
      <c r="F775" s="22"/>
      <c r="G775" s="22"/>
      <c r="H775" s="22"/>
      <c r="I775" s="22"/>
      <c r="J775" s="48" t="s">
        <v>907</v>
      </c>
      <c r="K775" s="37" t="s">
        <v>908</v>
      </c>
      <c r="L775" s="37"/>
      <c r="M775" s="37"/>
      <c r="N775" s="37"/>
    </row>
    <row r="776" spans="1:14" ht="13.5" thickBot="1" x14ac:dyDescent="0.25">
      <c r="A776" s="30"/>
      <c r="B776" s="31" t="s">
        <v>263</v>
      </c>
      <c r="C776" s="31"/>
      <c r="D776" s="31"/>
      <c r="E776" s="32"/>
      <c r="F776" s="32"/>
      <c r="G776" s="32"/>
      <c r="H776" s="32"/>
      <c r="I776" s="32"/>
      <c r="J776" s="65" t="s">
        <v>514</v>
      </c>
      <c r="K776" s="40" t="s">
        <v>612</v>
      </c>
      <c r="L776" s="40"/>
      <c r="M776" s="40"/>
      <c r="N776" s="40"/>
    </row>
    <row r="777" spans="1:14" x14ac:dyDescent="0.2">
      <c r="A777" s="20"/>
      <c r="B777" s="434" t="s">
        <v>67</v>
      </c>
      <c r="C777" s="434"/>
      <c r="D777" s="434"/>
      <c r="E777" s="22"/>
      <c r="F777" s="22" t="s">
        <v>1180</v>
      </c>
      <c r="G777" s="22" t="s">
        <v>68</v>
      </c>
      <c r="H777" s="22" t="s">
        <v>702</v>
      </c>
      <c r="I777" s="22"/>
      <c r="J777" s="75">
        <f>73/O1*O2</f>
        <v>132.72727272727272</v>
      </c>
      <c r="K777" s="75">
        <f>99/O1*O2</f>
        <v>179.99999999999997</v>
      </c>
      <c r="L777" s="44"/>
      <c r="M777" s="44"/>
      <c r="N777" s="42"/>
    </row>
    <row r="778" spans="1:14" x14ac:dyDescent="0.2">
      <c r="A778" s="24"/>
      <c r="B778" s="435" t="s">
        <v>67</v>
      </c>
      <c r="C778" s="435"/>
      <c r="D778" s="435"/>
      <c r="E778" s="28"/>
      <c r="F778" s="28" t="s">
        <v>1181</v>
      </c>
      <c r="G778" s="28" t="s">
        <v>68</v>
      </c>
      <c r="H778" s="28" t="s">
        <v>702</v>
      </c>
      <c r="I778" s="28"/>
      <c r="J778" s="75">
        <f>39/O1*O2</f>
        <v>70.909090909090907</v>
      </c>
      <c r="K778" s="75">
        <f>53/O1*O2</f>
        <v>96.36363636363636</v>
      </c>
      <c r="L778" s="44"/>
      <c r="M778" s="44"/>
      <c r="N778" s="44"/>
    </row>
    <row r="779" spans="1:14" x14ac:dyDescent="0.2">
      <c r="A779" s="24"/>
      <c r="B779" s="435" t="s">
        <v>67</v>
      </c>
      <c r="C779" s="435"/>
      <c r="D779" s="435"/>
      <c r="E779" s="28"/>
      <c r="F779" s="28" t="s">
        <v>1182</v>
      </c>
      <c r="G779" s="28" t="s">
        <v>68</v>
      </c>
      <c r="H779" s="28" t="s">
        <v>702</v>
      </c>
      <c r="I779" s="28"/>
      <c r="J779" s="75">
        <f>36/O1*O2</f>
        <v>65.454545454545453</v>
      </c>
      <c r="K779" s="75">
        <f>44/O1*O2</f>
        <v>80</v>
      </c>
      <c r="L779" s="44"/>
      <c r="M779" s="44"/>
      <c r="N779" s="44"/>
    </row>
    <row r="780" spans="1:14" ht="13.5" thickBot="1" x14ac:dyDescent="0.25">
      <c r="A780" s="30"/>
      <c r="B780" s="443" t="s">
        <v>902</v>
      </c>
      <c r="C780" s="443"/>
      <c r="D780" s="443"/>
      <c r="E780" s="32"/>
      <c r="F780" s="32"/>
      <c r="G780" s="32"/>
      <c r="H780" s="32" t="s">
        <v>702</v>
      </c>
      <c r="I780" s="32"/>
      <c r="J780" s="76">
        <f>20/O1*O2</f>
        <v>36.36363636363636</v>
      </c>
      <c r="K780" s="76">
        <f>20/O1*O2</f>
        <v>36.36363636363636</v>
      </c>
      <c r="L780" s="46"/>
      <c r="M780" s="46"/>
      <c r="N780" s="46"/>
    </row>
    <row r="781" spans="1:14" ht="13.5" thickBot="1" x14ac:dyDescent="0.25"/>
    <row r="782" spans="1:14" x14ac:dyDescent="0.2">
      <c r="A782" s="20"/>
      <c r="B782" s="21"/>
      <c r="C782" s="21"/>
      <c r="D782" s="21"/>
      <c r="E782" s="22"/>
      <c r="F782" s="22"/>
      <c r="G782" s="22"/>
      <c r="H782" s="22"/>
      <c r="I782" s="22"/>
      <c r="J782" s="22"/>
      <c r="K782" s="22"/>
      <c r="L782" s="22"/>
      <c r="M782" s="22"/>
      <c r="N782" s="23"/>
    </row>
    <row r="783" spans="1:14" ht="15" x14ac:dyDescent="0.2">
      <c r="A783" s="24"/>
      <c r="B783" s="440" t="s">
        <v>440</v>
      </c>
      <c r="C783" s="441"/>
      <c r="D783" s="441"/>
      <c r="E783" s="441"/>
      <c r="F783" s="441"/>
      <c r="G783" s="441"/>
      <c r="H783" s="441"/>
      <c r="I783" s="441"/>
      <c r="J783" s="441"/>
      <c r="K783" s="441"/>
      <c r="L783" s="441"/>
      <c r="M783" s="442"/>
      <c r="N783" s="25" t="s">
        <v>664</v>
      </c>
    </row>
    <row r="784" spans="1:14" x14ac:dyDescent="0.2">
      <c r="A784" s="24"/>
      <c r="B784" s="26" t="s">
        <v>428</v>
      </c>
      <c r="C784" s="27" t="s">
        <v>737</v>
      </c>
      <c r="D784" s="27"/>
      <c r="E784" s="28"/>
      <c r="F784" s="28"/>
      <c r="G784" s="28"/>
      <c r="H784" s="28"/>
      <c r="I784" s="28"/>
      <c r="J784" s="28"/>
      <c r="K784" s="28"/>
      <c r="L784" s="28"/>
      <c r="M784" s="28"/>
      <c r="N784" s="29"/>
    </row>
    <row r="785" spans="1:14" x14ac:dyDescent="0.2">
      <c r="A785" s="24"/>
      <c r="B785" s="26" t="s">
        <v>429</v>
      </c>
      <c r="C785" s="27" t="s">
        <v>652</v>
      </c>
      <c r="D785" s="27"/>
      <c r="E785" s="28"/>
      <c r="F785" s="28"/>
      <c r="G785" s="28"/>
      <c r="H785" s="28"/>
      <c r="I785" s="28"/>
      <c r="J785" s="28"/>
      <c r="K785" s="28"/>
      <c r="L785" s="28"/>
      <c r="M785" s="28"/>
      <c r="N785" s="29"/>
    </row>
    <row r="786" spans="1:14" x14ac:dyDescent="0.2">
      <c r="A786" s="24"/>
      <c r="B786" s="26" t="s">
        <v>427</v>
      </c>
      <c r="C786" s="444" t="s">
        <v>747</v>
      </c>
      <c r="D786" s="444"/>
      <c r="E786" s="444"/>
      <c r="F786" s="444"/>
      <c r="G786" s="444"/>
      <c r="H786" s="444"/>
      <c r="I786" s="444"/>
      <c r="J786" s="444"/>
      <c r="K786" s="444"/>
      <c r="L786" s="444"/>
      <c r="M786" s="444"/>
      <c r="N786" s="445"/>
    </row>
    <row r="787" spans="1:14" x14ac:dyDescent="0.2">
      <c r="A787" s="24"/>
      <c r="C787" s="444"/>
      <c r="D787" s="444"/>
      <c r="E787" s="444"/>
      <c r="F787" s="444"/>
      <c r="G787" s="444"/>
      <c r="H787" s="444"/>
      <c r="I787" s="444"/>
      <c r="J787" s="444"/>
      <c r="K787" s="444"/>
      <c r="L787" s="444"/>
      <c r="M787" s="444"/>
      <c r="N787" s="445"/>
    </row>
    <row r="788" spans="1:14" x14ac:dyDescent="0.2">
      <c r="A788" s="24"/>
      <c r="B788" s="26" t="s">
        <v>426</v>
      </c>
      <c r="C788" s="27"/>
      <c r="D788" s="27"/>
      <c r="E788" s="28"/>
      <c r="F788" s="28"/>
      <c r="G788" s="28"/>
      <c r="H788" s="28"/>
      <c r="I788" s="28"/>
      <c r="J788" s="27"/>
      <c r="K788" s="28"/>
      <c r="L788" s="28"/>
      <c r="M788" s="28"/>
      <c r="N788" s="29"/>
    </row>
    <row r="789" spans="1:14" ht="13.5" thickBot="1" x14ac:dyDescent="0.25">
      <c r="A789" s="30"/>
      <c r="B789" s="47" t="s">
        <v>430</v>
      </c>
      <c r="C789" s="31" t="s">
        <v>589</v>
      </c>
      <c r="D789" s="31"/>
      <c r="E789" s="32"/>
      <c r="F789" s="32"/>
      <c r="G789" s="32"/>
      <c r="H789" s="32"/>
      <c r="I789" s="32"/>
      <c r="J789" s="31"/>
      <c r="K789" s="32"/>
      <c r="L789" s="32"/>
      <c r="M789" s="32"/>
      <c r="N789" s="33"/>
    </row>
    <row r="790" spans="1:14" ht="13.5" thickBot="1" x14ac:dyDescent="0.25">
      <c r="A790" s="24"/>
      <c r="B790" s="55" t="s">
        <v>263</v>
      </c>
      <c r="C790" s="27"/>
      <c r="D790" s="27"/>
      <c r="E790" s="28"/>
      <c r="F790" s="28"/>
      <c r="G790" s="28"/>
      <c r="H790" s="28"/>
      <c r="I790" s="28"/>
      <c r="J790" s="40" t="s">
        <v>907</v>
      </c>
      <c r="K790" s="40" t="s">
        <v>611</v>
      </c>
      <c r="L790" s="40"/>
      <c r="M790" s="40"/>
      <c r="N790" s="40"/>
    </row>
    <row r="791" spans="1:14" x14ac:dyDescent="0.2">
      <c r="A791" s="20"/>
      <c r="B791" s="434" t="s">
        <v>67</v>
      </c>
      <c r="C791" s="434"/>
      <c r="D791" s="434"/>
      <c r="E791" s="22"/>
      <c r="F791" s="22" t="s">
        <v>1180</v>
      </c>
      <c r="G791" s="22" t="s">
        <v>68</v>
      </c>
      <c r="H791" s="22" t="s">
        <v>702</v>
      </c>
      <c r="I791" s="22"/>
      <c r="J791" s="75">
        <f>57/O1*O2</f>
        <v>103.63636363636363</v>
      </c>
      <c r="K791" s="75">
        <f>76/O1*O2</f>
        <v>138.18181818181816</v>
      </c>
      <c r="L791" s="44"/>
      <c r="M791" s="42"/>
      <c r="N791" s="42"/>
    </row>
    <row r="792" spans="1:14" x14ac:dyDescent="0.2">
      <c r="A792" s="24"/>
      <c r="B792" s="435" t="s">
        <v>67</v>
      </c>
      <c r="C792" s="435"/>
      <c r="D792" s="435"/>
      <c r="E792" s="28"/>
      <c r="F792" s="28" t="s">
        <v>1181</v>
      </c>
      <c r="G792" s="28" t="s">
        <v>68</v>
      </c>
      <c r="H792" s="28" t="s">
        <v>702</v>
      </c>
      <c r="I792" s="28"/>
      <c r="J792" s="75">
        <f>33/O1*O2</f>
        <v>59.999999999999993</v>
      </c>
      <c r="K792" s="75">
        <f>44.5/O1*O2</f>
        <v>80.909090909090907</v>
      </c>
      <c r="L792" s="44"/>
      <c r="M792" s="44"/>
      <c r="N792" s="44"/>
    </row>
    <row r="793" spans="1:14" x14ac:dyDescent="0.2">
      <c r="A793" s="24"/>
      <c r="B793" s="435" t="s">
        <v>67</v>
      </c>
      <c r="C793" s="435"/>
      <c r="D793" s="435"/>
      <c r="E793" s="28"/>
      <c r="F793" s="28" t="s">
        <v>1182</v>
      </c>
      <c r="G793" s="28" t="s">
        <v>68</v>
      </c>
      <c r="H793" s="28" t="s">
        <v>702</v>
      </c>
      <c r="I793" s="28"/>
      <c r="J793" s="75">
        <f>26.6/O1*O2</f>
        <v>48.36363636363636</v>
      </c>
      <c r="K793" s="75">
        <f>36.6/O1*O2</f>
        <v>66.545454545454547</v>
      </c>
      <c r="L793" s="44"/>
      <c r="M793" s="44"/>
      <c r="N793" s="44"/>
    </row>
    <row r="794" spans="1:14" ht="13.5" thickBot="1" x14ac:dyDescent="0.25">
      <c r="A794" s="30"/>
      <c r="B794" s="443"/>
      <c r="C794" s="443"/>
      <c r="D794" s="443"/>
      <c r="E794" s="32"/>
      <c r="F794" s="32"/>
      <c r="G794" s="32"/>
      <c r="H794" s="32"/>
      <c r="I794" s="32"/>
      <c r="J794" s="76"/>
      <c r="K794" s="76"/>
      <c r="L794" s="46"/>
      <c r="M794" s="46"/>
      <c r="N794" s="46"/>
    </row>
    <row r="795" spans="1:14" ht="13.5" thickBot="1" x14ac:dyDescent="0.25"/>
    <row r="796" spans="1:14" x14ac:dyDescent="0.2">
      <c r="A796" s="20"/>
      <c r="B796" s="21"/>
      <c r="C796" s="21"/>
      <c r="D796" s="21"/>
      <c r="E796" s="22"/>
      <c r="F796" s="22"/>
      <c r="G796" s="22"/>
      <c r="H796" s="22"/>
      <c r="I796" s="22"/>
      <c r="J796" s="22"/>
      <c r="K796" s="22"/>
      <c r="L796" s="22"/>
      <c r="M796" s="22"/>
      <c r="N796" s="23"/>
    </row>
    <row r="797" spans="1:14" ht="15" x14ac:dyDescent="0.2">
      <c r="A797" s="24"/>
      <c r="B797" s="440" t="s">
        <v>1460</v>
      </c>
      <c r="C797" s="441"/>
      <c r="D797" s="441"/>
      <c r="E797" s="441"/>
      <c r="F797" s="441"/>
      <c r="G797" s="441"/>
      <c r="H797" s="441"/>
      <c r="I797" s="441"/>
      <c r="J797" s="441"/>
      <c r="K797" s="441"/>
      <c r="L797" s="441"/>
      <c r="M797" s="442"/>
      <c r="N797" s="25" t="s">
        <v>664</v>
      </c>
    </row>
    <row r="798" spans="1:14" x14ac:dyDescent="0.2">
      <c r="A798" s="24"/>
      <c r="B798" s="26" t="s">
        <v>428</v>
      </c>
      <c r="C798" s="27" t="s">
        <v>1461</v>
      </c>
      <c r="D798" s="27"/>
      <c r="E798" s="28"/>
      <c r="F798" s="28"/>
      <c r="G798" s="28"/>
      <c r="H798" s="28"/>
      <c r="I798" s="28"/>
      <c r="J798" s="28"/>
      <c r="K798" s="28"/>
      <c r="L798" s="28"/>
      <c r="M798" s="28"/>
      <c r="N798" s="29"/>
    </row>
    <row r="799" spans="1:14" x14ac:dyDescent="0.2">
      <c r="A799" s="24"/>
      <c r="B799" s="26" t="s">
        <v>429</v>
      </c>
      <c r="C799" s="27" t="s">
        <v>1176</v>
      </c>
      <c r="D799" s="27"/>
      <c r="E799" s="28"/>
      <c r="F799" s="28"/>
      <c r="G799" s="28"/>
      <c r="H799" s="28"/>
      <c r="I799" s="28"/>
      <c r="J799" s="28"/>
      <c r="K799" s="28"/>
      <c r="L799" s="28"/>
      <c r="M799" s="28"/>
      <c r="N799" s="29"/>
    </row>
    <row r="800" spans="1:14" x14ac:dyDescent="0.2">
      <c r="A800" s="24"/>
      <c r="B800" s="26" t="s">
        <v>427</v>
      </c>
      <c r="C800" s="444" t="s">
        <v>1226</v>
      </c>
      <c r="D800" s="444"/>
      <c r="E800" s="444"/>
      <c r="F800" s="444"/>
      <c r="G800" s="444"/>
      <c r="H800" s="444"/>
      <c r="I800" s="444"/>
      <c r="J800" s="444"/>
      <c r="K800" s="444"/>
      <c r="L800" s="444"/>
      <c r="M800" s="444"/>
      <c r="N800" s="445"/>
    </row>
    <row r="801" spans="1:14" x14ac:dyDescent="0.2">
      <c r="A801" s="24"/>
      <c r="B801" s="26"/>
      <c r="C801" s="444"/>
      <c r="D801" s="444"/>
      <c r="E801" s="444"/>
      <c r="F801" s="444"/>
      <c r="G801" s="444"/>
      <c r="H801" s="444"/>
      <c r="I801" s="444"/>
      <c r="J801" s="444"/>
      <c r="K801" s="444"/>
      <c r="L801" s="444"/>
      <c r="M801" s="444"/>
      <c r="N801" s="445"/>
    </row>
    <row r="802" spans="1:14" x14ac:dyDescent="0.2">
      <c r="A802" s="24"/>
      <c r="B802" s="26"/>
      <c r="C802" s="444"/>
      <c r="D802" s="444"/>
      <c r="E802" s="444"/>
      <c r="F802" s="444"/>
      <c r="G802" s="444"/>
      <c r="H802" s="444"/>
      <c r="I802" s="444"/>
      <c r="J802" s="444"/>
      <c r="K802" s="444"/>
      <c r="L802" s="444"/>
      <c r="M802" s="444"/>
      <c r="N802" s="445"/>
    </row>
    <row r="803" spans="1:14" x14ac:dyDescent="0.2">
      <c r="A803" s="24"/>
      <c r="B803" s="26"/>
      <c r="C803" s="444"/>
      <c r="D803" s="444"/>
      <c r="E803" s="444"/>
      <c r="F803" s="444"/>
      <c r="G803" s="444"/>
      <c r="H803" s="444"/>
      <c r="I803" s="444"/>
      <c r="J803" s="444"/>
      <c r="K803" s="444"/>
      <c r="L803" s="444"/>
      <c r="M803" s="444"/>
      <c r="N803" s="445"/>
    </row>
    <row r="804" spans="1:14" x14ac:dyDescent="0.2">
      <c r="A804" s="24"/>
      <c r="B804" s="26"/>
      <c r="C804" s="444"/>
      <c r="D804" s="444"/>
      <c r="E804" s="444"/>
      <c r="F804" s="444"/>
      <c r="G804" s="444"/>
      <c r="H804" s="444"/>
      <c r="I804" s="444"/>
      <c r="J804" s="444"/>
      <c r="K804" s="444"/>
      <c r="L804" s="444"/>
      <c r="M804" s="444"/>
      <c r="N804" s="445"/>
    </row>
    <row r="805" spans="1:14" x14ac:dyDescent="0.2">
      <c r="A805" s="24"/>
      <c r="C805" s="444"/>
      <c r="D805" s="444"/>
      <c r="E805" s="444"/>
      <c r="F805" s="444"/>
      <c r="G805" s="444"/>
      <c r="H805" s="444"/>
      <c r="I805" s="444"/>
      <c r="J805" s="444"/>
      <c r="K805" s="444"/>
      <c r="L805" s="444"/>
      <c r="M805" s="444"/>
      <c r="N805" s="445"/>
    </row>
    <row r="806" spans="1:14" x14ac:dyDescent="0.2">
      <c r="A806" s="24"/>
      <c r="B806" s="26" t="s">
        <v>426</v>
      </c>
      <c r="C806" s="27"/>
      <c r="D806" s="27"/>
      <c r="E806" s="28"/>
      <c r="F806" s="28"/>
      <c r="G806" s="28"/>
      <c r="H806" s="28"/>
      <c r="I806" s="28"/>
      <c r="J806" s="27"/>
      <c r="K806" s="28"/>
      <c r="L806" s="28"/>
      <c r="M806" s="28"/>
      <c r="N806" s="29"/>
    </row>
    <row r="807" spans="1:14" ht="13.5" thickBot="1" x14ac:dyDescent="0.25">
      <c r="A807" s="30"/>
      <c r="B807" s="47" t="s">
        <v>430</v>
      </c>
      <c r="C807" s="31"/>
      <c r="D807" s="31"/>
      <c r="E807" s="32"/>
      <c r="F807" s="32"/>
      <c r="G807" s="32"/>
      <c r="H807" s="32"/>
      <c r="I807" s="32"/>
      <c r="J807" s="31"/>
      <c r="K807" s="32"/>
      <c r="L807" s="32"/>
      <c r="M807" s="32"/>
      <c r="N807" s="33"/>
    </row>
    <row r="808" spans="1:14" ht="13.5" thickBot="1" x14ac:dyDescent="0.25">
      <c r="A808" s="24"/>
      <c r="B808" s="55" t="s">
        <v>263</v>
      </c>
      <c r="C808" s="27"/>
      <c r="D808" s="27"/>
      <c r="E808" s="28"/>
      <c r="F808" s="28"/>
      <c r="G808" s="28"/>
      <c r="H808" s="28"/>
      <c r="I808" s="28"/>
      <c r="J808" s="40" t="s">
        <v>611</v>
      </c>
      <c r="K808" s="40"/>
      <c r="L808" s="40"/>
      <c r="M808" s="40"/>
      <c r="N808" s="40"/>
    </row>
    <row r="809" spans="1:14" x14ac:dyDescent="0.2">
      <c r="A809" s="20"/>
      <c r="B809" s="434" t="s">
        <v>67</v>
      </c>
      <c r="C809" s="434"/>
      <c r="D809" s="434"/>
      <c r="E809" s="22"/>
      <c r="F809" s="22" t="s">
        <v>1180</v>
      </c>
      <c r="G809" s="22" t="s">
        <v>68</v>
      </c>
      <c r="H809" s="22" t="s">
        <v>702</v>
      </c>
      <c r="I809" s="22"/>
      <c r="J809" s="75">
        <f>55.9/O1*O2</f>
        <v>101.63636363636363</v>
      </c>
      <c r="K809" s="75"/>
      <c r="L809" s="44"/>
      <c r="M809" s="42"/>
      <c r="N809" s="42"/>
    </row>
    <row r="810" spans="1:14" x14ac:dyDescent="0.2">
      <c r="A810" s="24"/>
      <c r="B810" s="435" t="s">
        <v>67</v>
      </c>
      <c r="C810" s="435"/>
      <c r="D810" s="435"/>
      <c r="E810" s="28"/>
      <c r="F810" s="28" t="s">
        <v>1181</v>
      </c>
      <c r="G810" s="28" t="s">
        <v>68</v>
      </c>
      <c r="H810" s="28" t="s">
        <v>702</v>
      </c>
      <c r="I810" s="28"/>
      <c r="J810" s="75">
        <f>35.9/O1*O2</f>
        <v>65.272727272727266</v>
      </c>
      <c r="K810" s="75"/>
      <c r="L810" s="44"/>
      <c r="M810" s="44"/>
      <c r="N810" s="44"/>
    </row>
    <row r="811" spans="1:14" x14ac:dyDescent="0.2">
      <c r="A811" s="24"/>
      <c r="B811" s="435" t="s">
        <v>67</v>
      </c>
      <c r="C811" s="435"/>
      <c r="D811" s="435"/>
      <c r="E811" s="28"/>
      <c r="F811" s="28" t="s">
        <v>1182</v>
      </c>
      <c r="G811" s="28" t="s">
        <v>68</v>
      </c>
      <c r="H811" s="28" t="s">
        <v>702</v>
      </c>
      <c r="I811" s="28"/>
      <c r="J811" s="75">
        <f>29.5/O1*O2</f>
        <v>53.636363636363633</v>
      </c>
      <c r="K811" s="75"/>
      <c r="L811" s="44"/>
      <c r="M811" s="44"/>
      <c r="N811" s="44"/>
    </row>
    <row r="812" spans="1:14" ht="13.5" thickBot="1" x14ac:dyDescent="0.25">
      <c r="A812" s="30"/>
      <c r="B812" s="443"/>
      <c r="C812" s="443"/>
      <c r="D812" s="443"/>
      <c r="E812" s="32"/>
      <c r="F812" s="32"/>
      <c r="G812" s="32"/>
      <c r="H812" s="32"/>
      <c r="I812" s="32"/>
      <c r="J812" s="76"/>
      <c r="K812" s="76"/>
      <c r="L812" s="46"/>
      <c r="M812" s="46"/>
      <c r="N812" s="46"/>
    </row>
    <row r="815" spans="1:14" ht="13.5" thickBot="1" x14ac:dyDescent="0.25"/>
    <row r="816" spans="1:14" x14ac:dyDescent="0.2">
      <c r="A816" s="20"/>
      <c r="B816" s="21"/>
      <c r="C816" s="21"/>
      <c r="D816" s="21"/>
      <c r="E816" s="22"/>
      <c r="F816" s="22"/>
      <c r="G816" s="22"/>
      <c r="H816" s="22"/>
      <c r="I816" s="22"/>
      <c r="J816" s="22"/>
      <c r="K816" s="22"/>
      <c r="L816" s="22"/>
      <c r="M816" s="22"/>
      <c r="N816" s="23"/>
    </row>
    <row r="817" spans="1:14" ht="15" x14ac:dyDescent="0.2">
      <c r="A817" s="24"/>
      <c r="B817" s="440" t="s">
        <v>859</v>
      </c>
      <c r="C817" s="441"/>
      <c r="D817" s="441"/>
      <c r="E817" s="441"/>
      <c r="F817" s="441"/>
      <c r="G817" s="441"/>
      <c r="H817" s="441"/>
      <c r="I817" s="441"/>
      <c r="J817" s="441"/>
      <c r="K817" s="441"/>
      <c r="L817" s="441"/>
      <c r="M817" s="442"/>
      <c r="N817" s="25" t="s">
        <v>664</v>
      </c>
    </row>
    <row r="818" spans="1:14" x14ac:dyDescent="0.2">
      <c r="A818" s="24"/>
      <c r="B818" s="26" t="s">
        <v>428</v>
      </c>
      <c r="C818" s="27" t="s">
        <v>1089</v>
      </c>
      <c r="D818" s="27"/>
      <c r="E818" s="28"/>
      <c r="F818" s="28"/>
      <c r="G818" s="28"/>
      <c r="H818" s="28"/>
      <c r="I818" s="28"/>
      <c r="J818" s="28"/>
      <c r="K818" s="28"/>
      <c r="L818" s="28"/>
      <c r="M818" s="28"/>
      <c r="N818" s="29"/>
    </row>
    <row r="819" spans="1:14" x14ac:dyDescent="0.2">
      <c r="A819" s="24"/>
      <c r="B819" s="26" t="s">
        <v>429</v>
      </c>
      <c r="C819" s="70" t="s">
        <v>303</v>
      </c>
      <c r="D819" s="27"/>
      <c r="E819" s="28"/>
      <c r="F819" s="28"/>
      <c r="G819" s="28"/>
      <c r="H819" s="28"/>
      <c r="I819" s="28"/>
      <c r="J819" s="28"/>
      <c r="K819" s="28"/>
      <c r="L819" s="28"/>
      <c r="M819" s="28"/>
      <c r="N819" s="29"/>
    </row>
    <row r="820" spans="1:14" x14ac:dyDescent="0.2">
      <c r="A820" s="24"/>
      <c r="B820" s="26" t="s">
        <v>427</v>
      </c>
      <c r="C820" s="444" t="s">
        <v>1227</v>
      </c>
      <c r="D820" s="444"/>
      <c r="E820" s="444"/>
      <c r="F820" s="444"/>
      <c r="G820" s="444"/>
      <c r="H820" s="444"/>
      <c r="I820" s="444"/>
      <c r="J820" s="444"/>
      <c r="K820" s="444"/>
      <c r="L820" s="444"/>
      <c r="M820" s="444"/>
      <c r="N820" s="445"/>
    </row>
    <row r="821" spans="1:14" x14ac:dyDescent="0.2">
      <c r="A821" s="24"/>
      <c r="C821" s="444"/>
      <c r="D821" s="444"/>
      <c r="E821" s="444"/>
      <c r="F821" s="444"/>
      <c r="G821" s="444"/>
      <c r="H821" s="444"/>
      <c r="I821" s="444"/>
      <c r="J821" s="444"/>
      <c r="K821" s="444"/>
      <c r="L821" s="444"/>
      <c r="M821" s="444"/>
      <c r="N821" s="445"/>
    </row>
    <row r="822" spans="1:14" x14ac:dyDescent="0.2">
      <c r="A822" s="24"/>
      <c r="B822" s="26" t="s">
        <v>426</v>
      </c>
      <c r="C822" s="27"/>
      <c r="D822" s="27"/>
      <c r="E822" s="28"/>
      <c r="F822" s="28"/>
      <c r="G822" s="28"/>
      <c r="H822" s="28"/>
      <c r="I822" s="28"/>
      <c r="J822" s="28"/>
      <c r="K822" s="28"/>
      <c r="L822" s="28"/>
      <c r="M822" s="28"/>
      <c r="N822" s="29"/>
    </row>
    <row r="823" spans="1:14" ht="13.5" thickBot="1" x14ac:dyDescent="0.25">
      <c r="A823" s="30"/>
      <c r="B823" s="26" t="s">
        <v>430</v>
      </c>
      <c r="C823" s="31"/>
      <c r="D823" s="31"/>
      <c r="E823" s="32"/>
      <c r="F823" s="32"/>
      <c r="G823" s="32"/>
      <c r="H823" s="32"/>
      <c r="I823" s="32"/>
      <c r="J823" s="32"/>
      <c r="K823" s="32"/>
      <c r="L823" s="32"/>
      <c r="M823" s="32"/>
      <c r="N823" s="33"/>
    </row>
    <row r="824" spans="1:14" ht="13.5" thickBot="1" x14ac:dyDescent="0.25">
      <c r="A824" s="20"/>
      <c r="B824" s="55" t="s">
        <v>263</v>
      </c>
      <c r="C824" s="55"/>
      <c r="D824" s="55"/>
      <c r="E824" s="64"/>
      <c r="F824" s="64"/>
      <c r="G824" s="64"/>
      <c r="H824" s="64"/>
      <c r="I824" s="64"/>
      <c r="J824" s="69" t="s">
        <v>1750</v>
      </c>
      <c r="K824" s="56" t="s">
        <v>1751</v>
      </c>
      <c r="L824" s="56" t="s">
        <v>1752</v>
      </c>
      <c r="M824" s="56"/>
      <c r="N824" s="56"/>
    </row>
    <row r="825" spans="1:14" ht="13.5" thickBot="1" x14ac:dyDescent="0.25">
      <c r="A825" s="20"/>
      <c r="B825" s="27"/>
      <c r="C825" s="27"/>
      <c r="D825" s="27"/>
      <c r="E825" s="28"/>
      <c r="F825" s="28"/>
      <c r="G825" s="28"/>
      <c r="H825" s="28"/>
      <c r="I825" s="28"/>
      <c r="J825" s="67"/>
      <c r="K825" s="63" t="s">
        <v>1856</v>
      </c>
      <c r="L825" s="63"/>
      <c r="M825" s="63"/>
      <c r="N825" s="63"/>
    </row>
    <row r="826" spans="1:14" x14ac:dyDescent="0.2">
      <c r="A826" s="20"/>
      <c r="B826" s="435" t="s">
        <v>67</v>
      </c>
      <c r="C826" s="435"/>
      <c r="D826" s="435"/>
      <c r="E826" s="28"/>
      <c r="F826" s="28" t="s">
        <v>1180</v>
      </c>
      <c r="G826" s="28" t="s">
        <v>68</v>
      </c>
      <c r="H826" s="28" t="s">
        <v>702</v>
      </c>
      <c r="I826" s="28"/>
      <c r="J826" s="75">
        <f>44/O1*O2</f>
        <v>80</v>
      </c>
      <c r="K826" s="75">
        <f>50/O1*O2</f>
        <v>90.909090909090907</v>
      </c>
      <c r="L826" s="44">
        <f>55/O1*O2</f>
        <v>99.999999999999986</v>
      </c>
      <c r="M826" s="44"/>
      <c r="N826" s="44"/>
    </row>
    <row r="827" spans="1:14" x14ac:dyDescent="0.2">
      <c r="A827" s="24"/>
      <c r="B827" s="435" t="s">
        <v>67</v>
      </c>
      <c r="C827" s="435"/>
      <c r="D827" s="435"/>
      <c r="E827" s="28"/>
      <c r="F827" s="28" t="s">
        <v>1181</v>
      </c>
      <c r="G827" s="28" t="s">
        <v>68</v>
      </c>
      <c r="H827" s="28" t="s">
        <v>702</v>
      </c>
      <c r="I827" s="28"/>
      <c r="J827" s="75">
        <f>28.5/O1*O2</f>
        <v>51.818181818181813</v>
      </c>
      <c r="K827" s="75">
        <f>31.5/O1*O2</f>
        <v>57.272727272727266</v>
      </c>
      <c r="L827" s="44">
        <f>35/O1*O2</f>
        <v>63.636363636363633</v>
      </c>
      <c r="M827" s="44"/>
      <c r="N827" s="44"/>
    </row>
    <row r="828" spans="1:14" x14ac:dyDescent="0.2">
      <c r="A828" s="24"/>
      <c r="B828" s="435" t="s">
        <v>67</v>
      </c>
      <c r="C828" s="435"/>
      <c r="D828" s="435"/>
      <c r="E828" s="28"/>
      <c r="F828" s="28" t="s">
        <v>1182</v>
      </c>
      <c r="G828" s="28" t="s">
        <v>68</v>
      </c>
      <c r="H828" s="28" t="s">
        <v>702</v>
      </c>
      <c r="I828" s="28"/>
      <c r="J828" s="75">
        <f>24/O1*O2</f>
        <v>43.636363636363633</v>
      </c>
      <c r="K828" s="75">
        <f>26/O1*O2</f>
        <v>47.272727272727266</v>
      </c>
      <c r="L828" s="44">
        <f>28.5/O1*O2</f>
        <v>51.818181818181813</v>
      </c>
      <c r="M828" s="44"/>
      <c r="N828" s="44"/>
    </row>
    <row r="829" spans="1:14" ht="13.5" thickBot="1" x14ac:dyDescent="0.25">
      <c r="A829" s="30"/>
      <c r="B829" s="443" t="s">
        <v>67</v>
      </c>
      <c r="C829" s="443"/>
      <c r="D829" s="443"/>
      <c r="E829" s="32"/>
      <c r="F829" s="32" t="s">
        <v>1208</v>
      </c>
      <c r="G829" s="32" t="s">
        <v>68</v>
      </c>
      <c r="H829" s="32" t="s">
        <v>702</v>
      </c>
      <c r="I829" s="33"/>
      <c r="J829" s="76">
        <f>22.5/O1*O2</f>
        <v>40.909090909090907</v>
      </c>
      <c r="K829" s="76">
        <f>24.5/O1*O2</f>
        <v>44.54545454545454</v>
      </c>
      <c r="L829" s="46">
        <f>26.5/O1*O2</f>
        <v>48.18181818181818</v>
      </c>
      <c r="M829" s="46"/>
      <c r="N829" s="46"/>
    </row>
    <row r="830" spans="1:14" ht="13.5" thickBot="1" x14ac:dyDescent="0.25"/>
    <row r="831" spans="1:14" x14ac:dyDescent="0.2">
      <c r="A831" s="20"/>
      <c r="B831" s="21"/>
      <c r="C831" s="21"/>
      <c r="D831" s="21"/>
      <c r="E831" s="22"/>
      <c r="F831" s="22"/>
      <c r="G831" s="22"/>
      <c r="H831" s="22"/>
      <c r="I831" s="22"/>
      <c r="J831" s="22"/>
      <c r="K831" s="22"/>
      <c r="L831" s="22"/>
      <c r="M831" s="22"/>
      <c r="N831" s="23"/>
    </row>
    <row r="832" spans="1:14" ht="15" x14ac:dyDescent="0.2">
      <c r="A832" s="24"/>
      <c r="B832" s="440" t="s">
        <v>1088</v>
      </c>
      <c r="C832" s="441"/>
      <c r="D832" s="441"/>
      <c r="E832" s="441"/>
      <c r="F832" s="441"/>
      <c r="G832" s="441"/>
      <c r="H832" s="441"/>
      <c r="I832" s="441"/>
      <c r="J832" s="441"/>
      <c r="K832" s="441"/>
      <c r="L832" s="441"/>
      <c r="M832" s="442"/>
      <c r="N832" s="25" t="s">
        <v>664</v>
      </c>
    </row>
    <row r="833" spans="1:14" x14ac:dyDescent="0.2">
      <c r="A833" s="24"/>
      <c r="B833" s="26" t="s">
        <v>428</v>
      </c>
      <c r="C833" s="27" t="s">
        <v>886</v>
      </c>
      <c r="D833" s="27"/>
      <c r="E833" s="28"/>
      <c r="F833" s="28"/>
      <c r="G833" s="28"/>
      <c r="H833" s="28"/>
      <c r="I833" s="28"/>
      <c r="J833" s="28"/>
      <c r="K833" s="28"/>
      <c r="L833" s="28"/>
      <c r="M833" s="28"/>
      <c r="N833" s="29"/>
    </row>
    <row r="834" spans="1:14" x14ac:dyDescent="0.2">
      <c r="A834" s="24"/>
      <c r="B834" s="26" t="s">
        <v>429</v>
      </c>
      <c r="C834" s="27" t="s">
        <v>887</v>
      </c>
      <c r="D834" s="27"/>
      <c r="E834" s="28"/>
      <c r="F834" s="28"/>
      <c r="G834" s="28"/>
      <c r="H834" s="28"/>
      <c r="I834" s="28"/>
      <c r="J834" s="28"/>
      <c r="K834" s="28"/>
      <c r="L834" s="28"/>
      <c r="M834" s="28"/>
      <c r="N834" s="29"/>
    </row>
    <row r="835" spans="1:14" x14ac:dyDescent="0.2">
      <c r="A835" s="24"/>
      <c r="B835" s="26" t="s">
        <v>427</v>
      </c>
      <c r="C835" s="444" t="s">
        <v>1228</v>
      </c>
      <c r="D835" s="444"/>
      <c r="E835" s="444"/>
      <c r="F835" s="444"/>
      <c r="G835" s="444"/>
      <c r="H835" s="444"/>
      <c r="I835" s="444"/>
      <c r="J835" s="444"/>
      <c r="K835" s="444"/>
      <c r="L835" s="444"/>
      <c r="M835" s="444"/>
      <c r="N835" s="445"/>
    </row>
    <row r="836" spans="1:14" x14ac:dyDescent="0.2">
      <c r="A836" s="24"/>
      <c r="B836" s="26"/>
      <c r="C836" s="444"/>
      <c r="D836" s="444"/>
      <c r="E836" s="444"/>
      <c r="F836" s="444"/>
      <c r="G836" s="444"/>
      <c r="H836" s="444"/>
      <c r="I836" s="444"/>
      <c r="J836" s="444"/>
      <c r="K836" s="444"/>
      <c r="L836" s="444"/>
      <c r="M836" s="444"/>
      <c r="N836" s="445"/>
    </row>
    <row r="837" spans="1:14" x14ac:dyDescent="0.2">
      <c r="A837" s="24"/>
      <c r="C837" s="444"/>
      <c r="D837" s="444"/>
      <c r="E837" s="444"/>
      <c r="F837" s="444"/>
      <c r="G837" s="444"/>
      <c r="H837" s="444"/>
      <c r="I837" s="444"/>
      <c r="J837" s="444"/>
      <c r="K837" s="444"/>
      <c r="L837" s="444"/>
      <c r="M837" s="444"/>
      <c r="N837" s="445"/>
    </row>
    <row r="838" spans="1:14" x14ac:dyDescent="0.2">
      <c r="A838" s="24"/>
      <c r="B838" s="26" t="s">
        <v>426</v>
      </c>
      <c r="C838" s="27"/>
      <c r="D838" s="27"/>
      <c r="E838" s="28"/>
      <c r="F838" s="28"/>
      <c r="G838" s="28"/>
      <c r="H838" s="28"/>
      <c r="I838" s="28"/>
      <c r="J838" s="28"/>
      <c r="K838" s="28"/>
      <c r="L838" s="28"/>
      <c r="M838" s="28"/>
      <c r="N838" s="29"/>
    </row>
    <row r="839" spans="1:14" ht="13.5" thickBot="1" x14ac:dyDescent="0.25">
      <c r="A839" s="30"/>
      <c r="B839" s="26" t="s">
        <v>430</v>
      </c>
      <c r="C839" s="31"/>
      <c r="D839" s="31"/>
      <c r="E839" s="32"/>
      <c r="F839" s="32"/>
      <c r="G839" s="32"/>
      <c r="H839" s="32"/>
      <c r="I839" s="32"/>
      <c r="J839" s="32"/>
      <c r="K839" s="32"/>
      <c r="L839" s="32"/>
      <c r="M839" s="32"/>
      <c r="N839" s="33"/>
    </row>
    <row r="840" spans="1:14" ht="13.5" thickBot="1" x14ac:dyDescent="0.25">
      <c r="A840" s="20"/>
      <c r="B840" s="55" t="s">
        <v>263</v>
      </c>
      <c r="C840" s="55"/>
      <c r="D840" s="55"/>
      <c r="E840" s="64"/>
      <c r="F840" s="64"/>
      <c r="G840" s="64"/>
      <c r="H840" s="64"/>
      <c r="I840" s="64"/>
      <c r="J840" s="69" t="s">
        <v>1750</v>
      </c>
      <c r="K840" s="56" t="s">
        <v>1751</v>
      </c>
      <c r="L840" s="56" t="s">
        <v>1752</v>
      </c>
      <c r="M840" s="56"/>
      <c r="N840" s="56"/>
    </row>
    <row r="841" spans="1:14" ht="13.5" thickBot="1" x14ac:dyDescent="0.25">
      <c r="A841" s="20"/>
      <c r="B841" s="27"/>
      <c r="C841" s="27"/>
      <c r="D841" s="27"/>
      <c r="E841" s="28"/>
      <c r="F841" s="28"/>
      <c r="G841" s="28"/>
      <c r="H841" s="28"/>
      <c r="I841" s="28"/>
      <c r="J841" s="67"/>
      <c r="K841" s="63" t="s">
        <v>1856</v>
      </c>
      <c r="L841" s="63"/>
      <c r="M841" s="63"/>
      <c r="N841" s="63"/>
    </row>
    <row r="842" spans="1:14" x14ac:dyDescent="0.2">
      <c r="A842" s="20"/>
      <c r="B842" s="435" t="s">
        <v>67</v>
      </c>
      <c r="C842" s="435"/>
      <c r="D842" s="435"/>
      <c r="E842" s="28"/>
      <c r="F842" s="28" t="s">
        <v>1180</v>
      </c>
      <c r="G842" s="28" t="s">
        <v>68</v>
      </c>
      <c r="H842" s="28" t="s">
        <v>702</v>
      </c>
      <c r="I842" s="28"/>
      <c r="J842" s="75">
        <f>42/O1*O2</f>
        <v>76.36363636363636</v>
      </c>
      <c r="K842" s="75">
        <f>48/O1*O2</f>
        <v>87.272727272727266</v>
      </c>
      <c r="L842" s="44">
        <f>54/O1*O2</f>
        <v>98.181818181818173</v>
      </c>
      <c r="M842" s="44"/>
      <c r="N842" s="44"/>
    </row>
    <row r="843" spans="1:14" x14ac:dyDescent="0.2">
      <c r="A843" s="24"/>
      <c r="B843" s="435" t="s">
        <v>67</v>
      </c>
      <c r="C843" s="435"/>
      <c r="D843" s="435"/>
      <c r="E843" s="28"/>
      <c r="F843" s="28" t="s">
        <v>1181</v>
      </c>
      <c r="G843" s="28" t="s">
        <v>68</v>
      </c>
      <c r="H843" s="28" t="s">
        <v>702</v>
      </c>
      <c r="I843" s="28"/>
      <c r="J843" s="75">
        <f>26.5/O1*O2</f>
        <v>48.18181818181818</v>
      </c>
      <c r="K843" s="75">
        <f>29/O1*O2</f>
        <v>52.72727272727272</v>
      </c>
      <c r="L843" s="44">
        <f>32/O1*O2</f>
        <v>58.18181818181818</v>
      </c>
      <c r="M843" s="44"/>
      <c r="N843" s="44"/>
    </row>
    <row r="844" spans="1:14" ht="13.5" thickBot="1" x14ac:dyDescent="0.25">
      <c r="A844" s="30"/>
      <c r="B844" s="443" t="s">
        <v>67</v>
      </c>
      <c r="C844" s="443"/>
      <c r="D844" s="443"/>
      <c r="E844" s="32"/>
      <c r="F844" s="32" t="s">
        <v>1182</v>
      </c>
      <c r="G844" s="32" t="s">
        <v>68</v>
      </c>
      <c r="H844" s="32" t="s">
        <v>702</v>
      </c>
      <c r="I844" s="32"/>
      <c r="J844" s="76">
        <f>22.5/O1*O2</f>
        <v>40.909090909090907</v>
      </c>
      <c r="K844" s="76">
        <f>24.5/O1*O2</f>
        <v>44.54545454545454</v>
      </c>
      <c r="L844" s="46">
        <f>26.5/O1*O2</f>
        <v>48.18181818181818</v>
      </c>
      <c r="M844" s="46"/>
      <c r="N844" s="46"/>
    </row>
    <row r="846" spans="1:14" x14ac:dyDescent="0.2">
      <c r="A846" s="52"/>
      <c r="B846" s="27"/>
      <c r="C846" s="27"/>
      <c r="D846" s="27"/>
      <c r="E846" s="28"/>
      <c r="F846" s="28"/>
      <c r="G846" s="28"/>
      <c r="H846" s="28"/>
      <c r="I846" s="28"/>
      <c r="J846" s="229"/>
      <c r="K846" s="229"/>
      <c r="L846" s="229"/>
      <c r="M846" s="229"/>
      <c r="N846" s="53"/>
    </row>
    <row r="848" spans="1:14" ht="13.5" thickBot="1" x14ac:dyDescent="0.25"/>
    <row r="849" spans="1:14" x14ac:dyDescent="0.2">
      <c r="A849" s="20"/>
      <c r="B849" s="21"/>
      <c r="C849" s="21"/>
      <c r="D849" s="21"/>
      <c r="E849" s="22"/>
      <c r="F849" s="22"/>
      <c r="G849" s="22"/>
      <c r="H849" s="22"/>
      <c r="I849" s="22"/>
      <c r="J849" s="22"/>
      <c r="K849" s="22"/>
      <c r="L849" s="22"/>
      <c r="M849" s="22"/>
      <c r="N849" s="23"/>
    </row>
    <row r="850" spans="1:14" ht="15" x14ac:dyDescent="0.2">
      <c r="A850" s="24"/>
      <c r="B850" s="440" t="s">
        <v>402</v>
      </c>
      <c r="C850" s="441"/>
      <c r="D850" s="441"/>
      <c r="E850" s="441"/>
      <c r="F850" s="441"/>
      <c r="G850" s="441"/>
      <c r="H850" s="441"/>
      <c r="I850" s="441"/>
      <c r="J850" s="441"/>
      <c r="K850" s="441"/>
      <c r="L850" s="441"/>
      <c r="M850" s="442"/>
      <c r="N850" s="25" t="s">
        <v>664</v>
      </c>
    </row>
    <row r="851" spans="1:14" x14ac:dyDescent="0.2">
      <c r="A851" s="24"/>
      <c r="B851" s="26" t="s">
        <v>428</v>
      </c>
      <c r="C851" s="27" t="s">
        <v>403</v>
      </c>
      <c r="D851" s="27"/>
      <c r="E851" s="28"/>
      <c r="F851" s="28"/>
      <c r="G851" s="28"/>
      <c r="H851" s="28"/>
      <c r="I851" s="28"/>
      <c r="J851" s="28"/>
      <c r="K851" s="28"/>
      <c r="L851" s="28"/>
      <c r="M851" s="28"/>
      <c r="N851" s="29"/>
    </row>
    <row r="852" spans="1:14" x14ac:dyDescent="0.2">
      <c r="A852" s="24"/>
      <c r="B852" s="26" t="s">
        <v>429</v>
      </c>
      <c r="C852" s="27" t="s">
        <v>404</v>
      </c>
      <c r="D852" s="27"/>
      <c r="E852" s="28"/>
      <c r="F852" s="28"/>
      <c r="G852" s="28"/>
      <c r="H852" s="28"/>
      <c r="I852" s="28"/>
      <c r="J852" s="28"/>
      <c r="K852" s="28"/>
      <c r="L852" s="28"/>
      <c r="M852" s="28"/>
      <c r="N852" s="29"/>
    </row>
    <row r="853" spans="1:14" x14ac:dyDescent="0.2">
      <c r="A853" s="24"/>
      <c r="B853" s="26" t="s">
        <v>427</v>
      </c>
      <c r="C853" s="444" t="s">
        <v>461</v>
      </c>
      <c r="D853" s="444"/>
      <c r="E853" s="444"/>
      <c r="F853" s="444"/>
      <c r="G853" s="444"/>
      <c r="H853" s="444"/>
      <c r="I853" s="444"/>
      <c r="J853" s="444"/>
      <c r="K853" s="444"/>
      <c r="L853" s="444"/>
      <c r="M853" s="444"/>
      <c r="N853" s="445"/>
    </row>
    <row r="854" spans="1:14" x14ac:dyDescent="0.2">
      <c r="A854" s="24"/>
      <c r="B854" s="26"/>
      <c r="C854" s="444"/>
      <c r="D854" s="444"/>
      <c r="E854" s="444"/>
      <c r="F854" s="444"/>
      <c r="G854" s="444"/>
      <c r="H854" s="444"/>
      <c r="I854" s="444"/>
      <c r="J854" s="444"/>
      <c r="K854" s="444"/>
      <c r="L854" s="444"/>
      <c r="M854" s="444"/>
      <c r="N854" s="445"/>
    </row>
    <row r="855" spans="1:14" x14ac:dyDescent="0.2">
      <c r="A855" s="24"/>
      <c r="C855" s="444"/>
      <c r="D855" s="444"/>
      <c r="E855" s="444"/>
      <c r="F855" s="444"/>
      <c r="G855" s="444"/>
      <c r="H855" s="444"/>
      <c r="I855" s="444"/>
      <c r="J855" s="444"/>
      <c r="K855" s="444"/>
      <c r="L855" s="444"/>
      <c r="M855" s="444"/>
      <c r="N855" s="445"/>
    </row>
    <row r="856" spans="1:14" x14ac:dyDescent="0.2">
      <c r="A856" s="24"/>
      <c r="B856" s="26" t="s">
        <v>426</v>
      </c>
      <c r="C856" s="27"/>
      <c r="D856" s="27"/>
      <c r="E856" s="28"/>
      <c r="F856" s="28"/>
      <c r="G856" s="28"/>
      <c r="H856" s="28"/>
      <c r="I856" s="28"/>
      <c r="J856" s="28"/>
      <c r="K856" s="28"/>
      <c r="L856" s="28"/>
      <c r="M856" s="28"/>
      <c r="N856" s="29"/>
    </row>
    <row r="857" spans="1:14" ht="13.5" thickBot="1" x14ac:dyDescent="0.25">
      <c r="A857" s="30"/>
      <c r="B857" s="47" t="s">
        <v>430</v>
      </c>
      <c r="C857" s="31"/>
      <c r="D857" s="31"/>
      <c r="E857" s="32"/>
      <c r="F857" s="32"/>
      <c r="G857" s="32"/>
      <c r="H857" s="32"/>
      <c r="I857" s="32"/>
      <c r="J857" s="32"/>
      <c r="K857" s="32"/>
      <c r="L857" s="32"/>
      <c r="M857" s="32"/>
      <c r="N857" s="33"/>
    </row>
    <row r="858" spans="1:14" ht="13.5" thickBot="1" x14ac:dyDescent="0.25">
      <c r="A858" s="24"/>
      <c r="B858" s="55" t="s">
        <v>263</v>
      </c>
      <c r="C858" s="27"/>
      <c r="D858" s="27"/>
      <c r="E858" s="28"/>
      <c r="F858" s="28"/>
      <c r="G858" s="28"/>
      <c r="H858" s="28"/>
      <c r="I858" s="28"/>
      <c r="J858" s="40" t="s">
        <v>907</v>
      </c>
      <c r="K858" s="40" t="s">
        <v>611</v>
      </c>
      <c r="L858" s="40"/>
      <c r="M858" s="40"/>
      <c r="N858" s="40"/>
    </row>
    <row r="859" spans="1:14" x14ac:dyDescent="0.2">
      <c r="A859" s="20"/>
      <c r="B859" s="434" t="s">
        <v>67</v>
      </c>
      <c r="C859" s="434"/>
      <c r="D859" s="434"/>
      <c r="E859" s="22"/>
      <c r="F859" s="22" t="s">
        <v>1180</v>
      </c>
      <c r="G859" s="22" t="s">
        <v>68</v>
      </c>
      <c r="H859" s="22" t="s">
        <v>702</v>
      </c>
      <c r="I859" s="22"/>
      <c r="J859" s="74">
        <f>34/O1*O2</f>
        <v>61.818181818181813</v>
      </c>
      <c r="K859" s="74">
        <f>54/O1*O2</f>
        <v>98.181818181818173</v>
      </c>
      <c r="L859" s="42"/>
      <c r="M859" s="42"/>
      <c r="N859" s="42"/>
    </row>
    <row r="860" spans="1:14" x14ac:dyDescent="0.2">
      <c r="A860" s="24"/>
      <c r="B860" s="435" t="s">
        <v>67</v>
      </c>
      <c r="C860" s="435"/>
      <c r="D860" s="435"/>
      <c r="E860" s="28"/>
      <c r="F860" s="28" t="s">
        <v>1181</v>
      </c>
      <c r="G860" s="28" t="s">
        <v>68</v>
      </c>
      <c r="H860" s="28" t="s">
        <v>702</v>
      </c>
      <c r="I860" s="28"/>
      <c r="J860" s="75">
        <f>18/O1*O2</f>
        <v>32.727272727272727</v>
      </c>
      <c r="K860" s="75">
        <f>29/O1*O2</f>
        <v>52.72727272727272</v>
      </c>
      <c r="L860" s="44"/>
      <c r="M860" s="44"/>
      <c r="N860" s="44"/>
    </row>
    <row r="861" spans="1:14" x14ac:dyDescent="0.2">
      <c r="A861" s="24"/>
      <c r="B861" s="435" t="s">
        <v>67</v>
      </c>
      <c r="C861" s="435"/>
      <c r="D861" s="435"/>
      <c r="E861" s="28"/>
      <c r="F861" s="28" t="s">
        <v>1181</v>
      </c>
      <c r="G861" s="28" t="s">
        <v>68</v>
      </c>
      <c r="H861" s="28" t="s">
        <v>702</v>
      </c>
      <c r="I861" s="28"/>
      <c r="J861" s="75">
        <f>17/O1*O2</f>
        <v>30.909090909090907</v>
      </c>
      <c r="K861" s="75">
        <f>26/O1*O2</f>
        <v>47.272727272727266</v>
      </c>
      <c r="L861" s="44"/>
      <c r="M861" s="44"/>
      <c r="N861" s="44"/>
    </row>
    <row r="862" spans="1:14" ht="13.5" thickBot="1" x14ac:dyDescent="0.25">
      <c r="A862" s="30"/>
      <c r="B862" s="443" t="s">
        <v>902</v>
      </c>
      <c r="C862" s="443"/>
      <c r="D862" s="443"/>
      <c r="E862" s="32"/>
      <c r="F862" s="32"/>
      <c r="G862" s="32"/>
      <c r="H862" s="32" t="s">
        <v>702</v>
      </c>
      <c r="I862" s="33"/>
      <c r="J862" s="76">
        <f>10/O1*O2</f>
        <v>18.18181818181818</v>
      </c>
      <c r="K862" s="76">
        <f>12/O1*O2</f>
        <v>21.818181818181817</v>
      </c>
      <c r="L862" s="46"/>
      <c r="M862" s="46"/>
      <c r="N862" s="46"/>
    </row>
    <row r="863" spans="1:14" ht="13.5" thickBot="1" x14ac:dyDescent="0.25"/>
    <row r="864" spans="1:14" x14ac:dyDescent="0.2">
      <c r="A864" s="20"/>
      <c r="B864" s="21"/>
      <c r="C864" s="21"/>
      <c r="D864" s="21"/>
      <c r="E864" s="22"/>
      <c r="F864" s="22"/>
      <c r="G864" s="22"/>
      <c r="H864" s="22"/>
      <c r="I864" s="22"/>
      <c r="J864" s="22"/>
      <c r="K864" s="22"/>
      <c r="L864" s="22"/>
      <c r="M864" s="22"/>
      <c r="N864" s="23"/>
    </row>
    <row r="865" spans="1:14" ht="15" x14ac:dyDescent="0.2">
      <c r="A865" s="24"/>
      <c r="B865" s="440" t="s">
        <v>679</v>
      </c>
      <c r="C865" s="441"/>
      <c r="D865" s="441"/>
      <c r="E865" s="441"/>
      <c r="F865" s="441"/>
      <c r="G865" s="441"/>
      <c r="H865" s="441"/>
      <c r="I865" s="441"/>
      <c r="J865" s="441"/>
      <c r="K865" s="441"/>
      <c r="L865" s="441"/>
      <c r="M865" s="442"/>
      <c r="N865" s="25" t="s">
        <v>664</v>
      </c>
    </row>
    <row r="866" spans="1:14" x14ac:dyDescent="0.2">
      <c r="A866" s="24"/>
      <c r="B866" s="26" t="s">
        <v>428</v>
      </c>
      <c r="C866" s="27" t="s">
        <v>400</v>
      </c>
      <c r="D866" s="27"/>
      <c r="E866" s="28"/>
      <c r="F866" s="28"/>
      <c r="G866" s="28"/>
      <c r="H866" s="28"/>
      <c r="I866" s="28"/>
      <c r="J866" s="28"/>
      <c r="K866" s="28"/>
      <c r="L866" s="28"/>
      <c r="M866" s="28"/>
      <c r="N866" s="29"/>
    </row>
    <row r="867" spans="1:14" x14ac:dyDescent="0.2">
      <c r="A867" s="24"/>
      <c r="B867" s="26" t="s">
        <v>429</v>
      </c>
      <c r="C867" s="27" t="s">
        <v>401</v>
      </c>
      <c r="D867" s="27"/>
      <c r="E867" s="28"/>
      <c r="F867" s="28"/>
      <c r="G867" s="28"/>
      <c r="H867" s="28"/>
      <c r="I867" s="28"/>
      <c r="J867" s="28"/>
      <c r="K867" s="28"/>
      <c r="L867" s="28"/>
      <c r="M867" s="28"/>
      <c r="N867" s="29"/>
    </row>
    <row r="868" spans="1:14" x14ac:dyDescent="0.2">
      <c r="A868" s="24"/>
      <c r="B868" s="26" t="s">
        <v>427</v>
      </c>
      <c r="C868" s="444" t="s">
        <v>462</v>
      </c>
      <c r="D868" s="444"/>
      <c r="E868" s="444"/>
      <c r="F868" s="444"/>
      <c r="G868" s="444"/>
      <c r="H868" s="444"/>
      <c r="I868" s="444"/>
      <c r="J868" s="444"/>
      <c r="K868" s="444"/>
      <c r="L868" s="444"/>
      <c r="M868" s="444"/>
      <c r="N868" s="445"/>
    </row>
    <row r="869" spans="1:14" x14ac:dyDescent="0.2">
      <c r="A869" s="24"/>
      <c r="B869" s="26"/>
      <c r="C869" s="444"/>
      <c r="D869" s="444"/>
      <c r="E869" s="444"/>
      <c r="F869" s="444"/>
      <c r="G869" s="444"/>
      <c r="H869" s="444"/>
      <c r="I869" s="444"/>
      <c r="J869" s="444"/>
      <c r="K869" s="444"/>
      <c r="L869" s="444"/>
      <c r="M869" s="444"/>
      <c r="N869" s="445"/>
    </row>
    <row r="870" spans="1:14" x14ac:dyDescent="0.2">
      <c r="A870" s="24"/>
      <c r="B870" s="26"/>
      <c r="C870" s="444"/>
      <c r="D870" s="444"/>
      <c r="E870" s="444"/>
      <c r="F870" s="444"/>
      <c r="G870" s="444"/>
      <c r="H870" s="444"/>
      <c r="I870" s="444"/>
      <c r="J870" s="444"/>
      <c r="K870" s="444"/>
      <c r="L870" s="444"/>
      <c r="M870" s="444"/>
      <c r="N870" s="445"/>
    </row>
    <row r="871" spans="1:14" x14ac:dyDescent="0.2">
      <c r="A871" s="24"/>
      <c r="C871" s="444"/>
      <c r="D871" s="444"/>
      <c r="E871" s="444"/>
      <c r="F871" s="444"/>
      <c r="G871" s="444"/>
      <c r="H871" s="444"/>
      <c r="I871" s="444"/>
      <c r="J871" s="444"/>
      <c r="K871" s="444"/>
      <c r="L871" s="444"/>
      <c r="M871" s="444"/>
      <c r="N871" s="445"/>
    </row>
    <row r="872" spans="1:14" x14ac:dyDescent="0.2">
      <c r="A872" s="24"/>
      <c r="B872" s="26" t="s">
        <v>426</v>
      </c>
      <c r="C872" s="27"/>
      <c r="D872" s="27"/>
      <c r="E872" s="28"/>
      <c r="F872" s="28"/>
      <c r="G872" s="28"/>
      <c r="H872" s="28"/>
      <c r="I872" s="28"/>
      <c r="J872" s="28"/>
      <c r="K872" s="28"/>
      <c r="L872" s="28"/>
      <c r="M872" s="28"/>
      <c r="N872" s="29"/>
    </row>
    <row r="873" spans="1:14" ht="13.5" thickBot="1" x14ac:dyDescent="0.25">
      <c r="A873" s="30"/>
      <c r="B873" s="47" t="s">
        <v>430</v>
      </c>
      <c r="C873" s="31"/>
      <c r="D873" s="31"/>
      <c r="E873" s="32"/>
      <c r="F873" s="32"/>
      <c r="G873" s="32"/>
      <c r="H873" s="32"/>
      <c r="I873" s="32"/>
      <c r="J873" s="32"/>
      <c r="K873" s="32"/>
      <c r="L873" s="32"/>
      <c r="M873" s="32"/>
      <c r="N873" s="33"/>
    </row>
    <row r="874" spans="1:14" ht="13.5" thickBot="1" x14ac:dyDescent="0.25">
      <c r="A874" s="24"/>
      <c r="B874" s="55" t="s">
        <v>263</v>
      </c>
      <c r="C874" s="27"/>
      <c r="D874" s="27"/>
      <c r="E874" s="28"/>
      <c r="F874" s="28"/>
      <c r="G874" s="28"/>
      <c r="H874" s="28"/>
      <c r="I874" s="28"/>
      <c r="J874" s="40" t="s">
        <v>907</v>
      </c>
      <c r="K874" s="40" t="s">
        <v>611</v>
      </c>
      <c r="L874" s="40"/>
      <c r="M874" s="40"/>
      <c r="N874" s="40"/>
    </row>
    <row r="875" spans="1:14" x14ac:dyDescent="0.2">
      <c r="A875" s="20"/>
      <c r="B875" s="434" t="s">
        <v>67</v>
      </c>
      <c r="C875" s="434"/>
      <c r="D875" s="434"/>
      <c r="E875" s="22"/>
      <c r="F875" s="22" t="s">
        <v>1180</v>
      </c>
      <c r="G875" s="22" t="s">
        <v>68</v>
      </c>
      <c r="H875" s="22" t="s">
        <v>702</v>
      </c>
      <c r="I875" s="22"/>
      <c r="J875" s="74">
        <f>35/O1*O2</f>
        <v>63.636363636363633</v>
      </c>
      <c r="K875" s="74">
        <f>54/O1*O2</f>
        <v>98.181818181818173</v>
      </c>
      <c r="L875" s="42"/>
      <c r="M875" s="42"/>
      <c r="N875" s="42"/>
    </row>
    <row r="876" spans="1:14" x14ac:dyDescent="0.2">
      <c r="A876" s="24"/>
      <c r="B876" s="435" t="s">
        <v>67</v>
      </c>
      <c r="C876" s="435"/>
      <c r="D876" s="435"/>
      <c r="E876" s="28"/>
      <c r="F876" s="28" t="s">
        <v>1181</v>
      </c>
      <c r="G876" s="28" t="s">
        <v>68</v>
      </c>
      <c r="H876" s="28" t="s">
        <v>702</v>
      </c>
      <c r="I876" s="28"/>
      <c r="J876" s="75">
        <f>20/O1*O2</f>
        <v>36.36363636363636</v>
      </c>
      <c r="K876" s="75">
        <f>32/O1*O2</f>
        <v>58.18181818181818</v>
      </c>
      <c r="L876" s="44"/>
      <c r="M876" s="44"/>
      <c r="N876" s="44"/>
    </row>
    <row r="877" spans="1:14" ht="13.5" thickBot="1" x14ac:dyDescent="0.25">
      <c r="A877" s="30"/>
      <c r="B877" s="443" t="s">
        <v>67</v>
      </c>
      <c r="C877" s="443"/>
      <c r="D877" s="443"/>
      <c r="E877" s="32"/>
      <c r="F877" s="32" t="s">
        <v>1181</v>
      </c>
      <c r="G877" s="32" t="s">
        <v>68</v>
      </c>
      <c r="H877" s="32" t="s">
        <v>702</v>
      </c>
      <c r="I877" s="32"/>
      <c r="J877" s="76">
        <f>19/O1*O2</f>
        <v>34.54545454545454</v>
      </c>
      <c r="K877" s="76">
        <f>27/O1*O2</f>
        <v>49.090909090909086</v>
      </c>
      <c r="L877" s="46"/>
      <c r="M877" s="46"/>
      <c r="N877" s="46"/>
    </row>
    <row r="878" spans="1:14" x14ac:dyDescent="0.2">
      <c r="A878" s="52"/>
      <c r="B878" s="27"/>
      <c r="C878" s="27"/>
      <c r="D878" s="27"/>
      <c r="E878" s="28"/>
      <c r="F878" s="28"/>
      <c r="G878" s="28"/>
      <c r="H878" s="28"/>
      <c r="I878" s="28"/>
      <c r="J878" s="229"/>
      <c r="K878" s="229"/>
      <c r="L878" s="53"/>
      <c r="M878" s="53"/>
      <c r="N878" s="53"/>
    </row>
    <row r="880" spans="1:14" x14ac:dyDescent="0.2">
      <c r="A880" s="17"/>
      <c r="B880" s="17"/>
      <c r="C880" s="17"/>
      <c r="D880" s="17"/>
      <c r="E880" s="17"/>
      <c r="F880" s="17"/>
      <c r="G880" s="17"/>
      <c r="H880" s="17"/>
      <c r="I880" s="17"/>
      <c r="J880" s="17"/>
      <c r="K880" s="17"/>
      <c r="L880" s="17"/>
      <c r="M880" s="17"/>
      <c r="N880" s="17"/>
    </row>
    <row r="881" spans="1:14" ht="13.5" thickBot="1" x14ac:dyDescent="0.25">
      <c r="A881" s="17"/>
      <c r="B881" s="17"/>
      <c r="C881" s="17"/>
      <c r="D881" s="17"/>
      <c r="E881" s="17"/>
      <c r="F881" s="17"/>
      <c r="G881" s="17"/>
      <c r="H881" s="17"/>
      <c r="I881" s="17"/>
      <c r="J881" s="17"/>
      <c r="K881" s="17"/>
      <c r="L881" s="17"/>
      <c r="M881" s="17"/>
      <c r="N881" s="17"/>
    </row>
    <row r="882" spans="1:14" x14ac:dyDescent="0.2">
      <c r="A882" s="20"/>
      <c r="B882" s="21"/>
      <c r="C882" s="21"/>
      <c r="D882" s="21"/>
      <c r="E882" s="22"/>
      <c r="F882" s="22"/>
      <c r="G882" s="22"/>
      <c r="H882" s="22"/>
      <c r="I882" s="22"/>
      <c r="J882" s="22"/>
      <c r="K882" s="22"/>
      <c r="L882" s="22"/>
      <c r="M882" s="22"/>
      <c r="N882" s="23"/>
    </row>
    <row r="883" spans="1:14" ht="15" x14ac:dyDescent="0.2">
      <c r="A883" s="24"/>
      <c r="B883" s="440" t="s">
        <v>856</v>
      </c>
      <c r="C883" s="441"/>
      <c r="D883" s="441"/>
      <c r="E883" s="441"/>
      <c r="F883" s="441"/>
      <c r="G883" s="441"/>
      <c r="H883" s="441"/>
      <c r="I883" s="441"/>
      <c r="J883" s="441"/>
      <c r="K883" s="441"/>
      <c r="L883" s="441"/>
      <c r="M883" s="442"/>
      <c r="N883" s="25" t="s">
        <v>664</v>
      </c>
    </row>
    <row r="884" spans="1:14" x14ac:dyDescent="0.2">
      <c r="A884" s="24"/>
      <c r="B884" s="26" t="s">
        <v>428</v>
      </c>
      <c r="C884" s="27" t="s">
        <v>857</v>
      </c>
      <c r="D884" s="27"/>
      <c r="E884" s="28"/>
      <c r="F884" s="28"/>
      <c r="G884" s="28"/>
      <c r="H884" s="28"/>
      <c r="I884" s="28"/>
      <c r="J884" s="28"/>
      <c r="K884" s="28"/>
      <c r="L884" s="28"/>
      <c r="M884" s="28"/>
      <c r="N884" s="29"/>
    </row>
    <row r="885" spans="1:14" x14ac:dyDescent="0.2">
      <c r="A885" s="24"/>
      <c r="B885" s="26" t="s">
        <v>429</v>
      </c>
      <c r="C885" s="27" t="s">
        <v>401</v>
      </c>
      <c r="D885" s="27"/>
      <c r="E885" s="28"/>
      <c r="F885" s="28"/>
      <c r="G885" s="28"/>
      <c r="H885" s="28"/>
      <c r="I885" s="28"/>
      <c r="J885" s="28"/>
      <c r="K885" s="28"/>
      <c r="L885" s="28"/>
      <c r="M885" s="28"/>
      <c r="N885" s="29"/>
    </row>
    <row r="886" spans="1:14" x14ac:dyDescent="0.2">
      <c r="A886" s="24"/>
      <c r="B886" s="26" t="s">
        <v>427</v>
      </c>
      <c r="C886" s="444" t="s">
        <v>463</v>
      </c>
      <c r="D886" s="444"/>
      <c r="E886" s="444"/>
      <c r="F886" s="444"/>
      <c r="G886" s="444"/>
      <c r="H886" s="444"/>
      <c r="I886" s="444"/>
      <c r="J886" s="444"/>
      <c r="K886" s="444"/>
      <c r="L886" s="444"/>
      <c r="M886" s="444"/>
      <c r="N886" s="445"/>
    </row>
    <row r="887" spans="1:14" x14ac:dyDescent="0.2">
      <c r="A887" s="24"/>
      <c r="C887" s="444"/>
      <c r="D887" s="444"/>
      <c r="E887" s="444"/>
      <c r="F887" s="444"/>
      <c r="G887" s="444"/>
      <c r="H887" s="444"/>
      <c r="I887" s="444"/>
      <c r="J887" s="444"/>
      <c r="K887" s="444"/>
      <c r="L887" s="444"/>
      <c r="M887" s="444"/>
      <c r="N887" s="445"/>
    </row>
    <row r="888" spans="1:14" ht="13.5" thickBot="1" x14ac:dyDescent="0.25">
      <c r="A888" s="30"/>
      <c r="B888" s="47" t="s">
        <v>430</v>
      </c>
      <c r="C888" s="31"/>
      <c r="D888" s="31"/>
      <c r="E888" s="32"/>
      <c r="F888" s="32"/>
      <c r="G888" s="32"/>
      <c r="H888" s="32"/>
      <c r="I888" s="32"/>
      <c r="J888" s="32"/>
      <c r="K888" s="32"/>
      <c r="L888" s="32"/>
      <c r="M888" s="32"/>
      <c r="N888" s="33"/>
    </row>
    <row r="889" spans="1:14" x14ac:dyDescent="0.2">
      <c r="A889" s="24"/>
      <c r="B889" s="58" t="s">
        <v>263</v>
      </c>
      <c r="C889" s="27"/>
      <c r="D889" s="27"/>
      <c r="E889" s="28"/>
      <c r="F889" s="28"/>
      <c r="G889" s="28"/>
      <c r="H889" s="28"/>
      <c r="I889" s="28"/>
      <c r="J889" s="37" t="s">
        <v>858</v>
      </c>
      <c r="K889" s="37" t="s">
        <v>759</v>
      </c>
      <c r="L889" s="37"/>
      <c r="M889" s="37"/>
      <c r="N889" s="37"/>
    </row>
    <row r="890" spans="1:14" ht="13.5" thickBot="1" x14ac:dyDescent="0.25">
      <c r="A890" s="24"/>
      <c r="B890" s="31"/>
      <c r="C890" s="27"/>
      <c r="D890" s="27"/>
      <c r="E890" s="28"/>
      <c r="F890" s="28"/>
      <c r="G890" s="28"/>
      <c r="H890" s="28"/>
      <c r="I890" s="28"/>
      <c r="J890" s="40" t="s">
        <v>512</v>
      </c>
      <c r="K890" s="40" t="s">
        <v>481</v>
      </c>
      <c r="L890" s="40" t="s">
        <v>1619</v>
      </c>
      <c r="M890" s="40"/>
      <c r="N890" s="40"/>
    </row>
    <row r="891" spans="1:14" x14ac:dyDescent="0.2">
      <c r="A891" s="20"/>
      <c r="B891" s="434" t="s">
        <v>67</v>
      </c>
      <c r="C891" s="434"/>
      <c r="D891" s="434"/>
      <c r="E891" s="22"/>
      <c r="F891" s="22" t="s">
        <v>1180</v>
      </c>
      <c r="G891" s="22" t="s">
        <v>1484</v>
      </c>
      <c r="H891" s="22" t="s">
        <v>702</v>
      </c>
      <c r="I891" s="22"/>
      <c r="J891" s="74">
        <f>45/O1*O2</f>
        <v>81.818181818181813</v>
      </c>
      <c r="K891" s="74">
        <f>58/O1*O2</f>
        <v>105.45454545454544</v>
      </c>
      <c r="L891" s="42">
        <f>75/O1*O2</f>
        <v>136.36363636363635</v>
      </c>
      <c r="M891" s="42"/>
      <c r="N891" s="42"/>
    </row>
    <row r="892" spans="1:14" x14ac:dyDescent="0.2">
      <c r="A892" s="24"/>
      <c r="B892" s="435" t="s">
        <v>67</v>
      </c>
      <c r="C892" s="435"/>
      <c r="D892" s="435"/>
      <c r="E892" s="28"/>
      <c r="F892" s="28" t="s">
        <v>1181</v>
      </c>
      <c r="G892" s="28" t="s">
        <v>1484</v>
      </c>
      <c r="H892" s="28" t="s">
        <v>702</v>
      </c>
      <c r="I892" s="28"/>
      <c r="J892" s="75">
        <f>25/O1*O2</f>
        <v>45.454545454545453</v>
      </c>
      <c r="K892" s="75">
        <f>32/O1*O2</f>
        <v>58.18181818181818</v>
      </c>
      <c r="L892" s="44">
        <f>40/O1*O2</f>
        <v>72.72727272727272</v>
      </c>
      <c r="M892" s="44"/>
      <c r="N892" s="44"/>
    </row>
    <row r="893" spans="1:14" ht="13.5" thickBot="1" x14ac:dyDescent="0.25">
      <c r="A893" s="30"/>
      <c r="B893" s="443" t="s">
        <v>67</v>
      </c>
      <c r="C893" s="443"/>
      <c r="D893" s="443"/>
      <c r="E893" s="32"/>
      <c r="F893" s="32" t="s">
        <v>1182</v>
      </c>
      <c r="G893" s="32" t="s">
        <v>1484</v>
      </c>
      <c r="H893" s="32" t="s">
        <v>702</v>
      </c>
      <c r="I893" s="32"/>
      <c r="J893" s="76">
        <f>18.5/O1*O2</f>
        <v>33.636363636363633</v>
      </c>
      <c r="K893" s="76">
        <f>22.6/O1*O2</f>
        <v>41.090909090909093</v>
      </c>
      <c r="L893" s="46">
        <f>29/O1*O2</f>
        <v>52.72727272727272</v>
      </c>
      <c r="M893" s="46"/>
      <c r="N893" s="46"/>
    </row>
    <row r="894" spans="1:14" ht="13.5" thickBot="1" x14ac:dyDescent="0.25"/>
    <row r="895" spans="1:14" x14ac:dyDescent="0.2">
      <c r="A895" s="20"/>
      <c r="B895" s="21"/>
      <c r="C895" s="21"/>
      <c r="D895" s="21"/>
      <c r="E895" s="22"/>
      <c r="F895" s="22"/>
      <c r="G895" s="22"/>
      <c r="H895" s="22"/>
      <c r="I895" s="22"/>
      <c r="J895" s="22"/>
      <c r="K895" s="22"/>
      <c r="L895" s="22"/>
      <c r="M895" s="22"/>
      <c r="N895" s="23"/>
    </row>
    <row r="896" spans="1:14" ht="15" x14ac:dyDescent="0.2">
      <c r="A896" s="24"/>
      <c r="B896" s="440" t="s">
        <v>1204</v>
      </c>
      <c r="C896" s="441"/>
      <c r="D896" s="441"/>
      <c r="E896" s="441"/>
      <c r="F896" s="441"/>
      <c r="G896" s="441"/>
      <c r="H896" s="441"/>
      <c r="I896" s="441"/>
      <c r="J896" s="441"/>
      <c r="K896" s="441"/>
      <c r="L896" s="441"/>
      <c r="M896" s="442"/>
      <c r="N896" s="25" t="s">
        <v>664</v>
      </c>
    </row>
    <row r="897" spans="1:14" x14ac:dyDescent="0.2">
      <c r="A897" s="24"/>
      <c r="B897" s="26" t="s">
        <v>428</v>
      </c>
      <c r="C897" s="27" t="s">
        <v>1205</v>
      </c>
      <c r="D897" s="27"/>
      <c r="E897" s="28"/>
      <c r="F897" s="28"/>
      <c r="G897" s="28"/>
      <c r="H897" s="28"/>
      <c r="I897" s="28"/>
      <c r="J897" s="28"/>
      <c r="K897" s="28"/>
      <c r="L897" s="28"/>
      <c r="M897" s="28"/>
      <c r="N897" s="29"/>
    </row>
    <row r="898" spans="1:14" x14ac:dyDescent="0.2">
      <c r="A898" s="24"/>
      <c r="B898" s="26" t="s">
        <v>429</v>
      </c>
      <c r="C898" s="27" t="s">
        <v>1206</v>
      </c>
      <c r="D898" s="27"/>
      <c r="E898" s="28"/>
      <c r="F898" s="28"/>
      <c r="G898" s="28"/>
      <c r="H898" s="28"/>
      <c r="I898" s="28"/>
      <c r="J898" s="28"/>
      <c r="K898" s="28"/>
      <c r="L898" s="28"/>
      <c r="M898" s="28"/>
      <c r="N898" s="29"/>
    </row>
    <row r="899" spans="1:14" x14ac:dyDescent="0.2">
      <c r="A899" s="24"/>
      <c r="B899" s="26" t="s">
        <v>427</v>
      </c>
      <c r="C899" s="444" t="s">
        <v>464</v>
      </c>
      <c r="D899" s="444"/>
      <c r="E899" s="444"/>
      <c r="F899" s="444"/>
      <c r="G899" s="444"/>
      <c r="H899" s="444"/>
      <c r="I899" s="444"/>
      <c r="J899" s="444"/>
      <c r="K899" s="444"/>
      <c r="L899" s="444"/>
      <c r="M899" s="444"/>
      <c r="N899" s="445"/>
    </row>
    <row r="900" spans="1:14" x14ac:dyDescent="0.2">
      <c r="A900" s="24"/>
      <c r="B900" s="26"/>
      <c r="C900" s="444"/>
      <c r="D900" s="444"/>
      <c r="E900" s="444"/>
      <c r="F900" s="444"/>
      <c r="G900" s="444"/>
      <c r="H900" s="444"/>
      <c r="I900" s="444"/>
      <c r="J900" s="444"/>
      <c r="K900" s="444"/>
      <c r="L900" s="444"/>
      <c r="M900" s="444"/>
      <c r="N900" s="445"/>
    </row>
    <row r="901" spans="1:14" x14ac:dyDescent="0.2">
      <c r="A901" s="24"/>
      <c r="C901" s="444"/>
      <c r="D901" s="444"/>
      <c r="E901" s="444"/>
      <c r="F901" s="444"/>
      <c r="G901" s="444"/>
      <c r="H901" s="444"/>
      <c r="I901" s="444"/>
      <c r="J901" s="444"/>
      <c r="K901" s="444"/>
      <c r="L901" s="444"/>
      <c r="M901" s="444"/>
      <c r="N901" s="445"/>
    </row>
    <row r="902" spans="1:14" ht="13.5" thickBot="1" x14ac:dyDescent="0.25">
      <c r="A902" s="30"/>
      <c r="B902" s="47" t="s">
        <v>430</v>
      </c>
      <c r="C902" s="31"/>
      <c r="D902" s="31"/>
      <c r="E902" s="32"/>
      <c r="F902" s="32"/>
      <c r="G902" s="32"/>
      <c r="H902" s="32"/>
      <c r="I902" s="32"/>
      <c r="J902" s="32"/>
      <c r="K902" s="32"/>
      <c r="L902" s="32"/>
      <c r="M902" s="32"/>
      <c r="N902" s="33"/>
    </row>
    <row r="903" spans="1:14" ht="13.5" thickBot="1" x14ac:dyDescent="0.25">
      <c r="A903" s="24"/>
      <c r="B903" s="58" t="s">
        <v>263</v>
      </c>
      <c r="C903" s="27"/>
      <c r="D903" s="27"/>
      <c r="E903" s="28"/>
      <c r="F903" s="28"/>
      <c r="G903" s="28"/>
      <c r="H903" s="28"/>
      <c r="I903" s="28"/>
      <c r="J903" s="37" t="s">
        <v>907</v>
      </c>
      <c r="K903" s="37" t="s">
        <v>908</v>
      </c>
      <c r="L903" s="37"/>
      <c r="M903" s="37"/>
      <c r="N903" s="37"/>
    </row>
    <row r="904" spans="1:14" x14ac:dyDescent="0.2">
      <c r="A904" s="20"/>
      <c r="B904" s="434" t="s">
        <v>67</v>
      </c>
      <c r="C904" s="434"/>
      <c r="D904" s="434"/>
      <c r="E904" s="22"/>
      <c r="F904" s="22" t="s">
        <v>1180</v>
      </c>
      <c r="G904" s="22" t="s">
        <v>68</v>
      </c>
      <c r="H904" s="22" t="s">
        <v>702</v>
      </c>
      <c r="I904" s="22"/>
      <c r="J904" s="74">
        <f>33/O1*O2</f>
        <v>59.999999999999993</v>
      </c>
      <c r="K904" s="74">
        <f>43/O1*O2</f>
        <v>78.181818181818173</v>
      </c>
      <c r="L904" s="74"/>
      <c r="M904" s="42"/>
      <c r="N904" s="42"/>
    </row>
    <row r="905" spans="1:14" x14ac:dyDescent="0.2">
      <c r="A905" s="24"/>
      <c r="B905" s="435" t="s">
        <v>67</v>
      </c>
      <c r="C905" s="435"/>
      <c r="D905" s="435"/>
      <c r="E905" s="28"/>
      <c r="F905" s="28" t="s">
        <v>1181</v>
      </c>
      <c r="G905" s="28" t="s">
        <v>68</v>
      </c>
      <c r="H905" s="28" t="s">
        <v>702</v>
      </c>
      <c r="I905" s="28"/>
      <c r="J905" s="75">
        <f>18/O1*O2</f>
        <v>32.727272727272727</v>
      </c>
      <c r="K905" s="75">
        <f>23/O1*O2</f>
        <v>41.818181818181813</v>
      </c>
      <c r="L905" s="75"/>
      <c r="M905" s="44"/>
      <c r="N905" s="44"/>
    </row>
    <row r="906" spans="1:14" x14ac:dyDescent="0.2">
      <c r="A906" s="24"/>
      <c r="B906" s="27" t="s">
        <v>67</v>
      </c>
      <c r="C906" s="27"/>
      <c r="D906" s="27"/>
      <c r="E906" s="28"/>
      <c r="F906" s="28" t="s">
        <v>1182</v>
      </c>
      <c r="G906" s="28" t="s">
        <v>68</v>
      </c>
      <c r="H906" s="28" t="s">
        <v>702</v>
      </c>
      <c r="I906" s="28"/>
      <c r="J906" s="75">
        <f>16/O1*O2</f>
        <v>29.09090909090909</v>
      </c>
      <c r="K906" s="75">
        <f>19/O1*O2</f>
        <v>34.54545454545454</v>
      </c>
      <c r="L906" s="75"/>
      <c r="M906" s="44"/>
      <c r="N906" s="44"/>
    </row>
    <row r="907" spans="1:14" ht="13.5" thickBot="1" x14ac:dyDescent="0.25">
      <c r="A907" s="30"/>
      <c r="B907" s="443" t="s">
        <v>1446</v>
      </c>
      <c r="C907" s="443"/>
      <c r="D907" s="443"/>
      <c r="E907" s="32"/>
      <c r="F907" s="32"/>
      <c r="G907" s="32"/>
      <c r="H907" s="32" t="s">
        <v>702</v>
      </c>
      <c r="I907" s="33"/>
      <c r="J907" s="76">
        <f>10/O1*O2</f>
        <v>18.18181818181818</v>
      </c>
      <c r="K907" s="76">
        <f>10/O1*O2</f>
        <v>18.18181818181818</v>
      </c>
      <c r="L907" s="76"/>
      <c r="M907" s="46"/>
      <c r="N907" s="46"/>
    </row>
    <row r="908" spans="1:14" ht="13.5" thickBot="1" x14ac:dyDescent="0.25"/>
    <row r="909" spans="1:14" x14ac:dyDescent="0.2">
      <c r="A909" s="20"/>
      <c r="B909" s="21"/>
      <c r="C909" s="21"/>
      <c r="D909" s="21"/>
      <c r="E909" s="22"/>
      <c r="F909" s="22"/>
      <c r="G909" s="22"/>
      <c r="H909" s="22"/>
      <c r="I909" s="22"/>
      <c r="J909" s="22"/>
      <c r="K909" s="22"/>
      <c r="L909" s="22"/>
      <c r="M909" s="22"/>
      <c r="N909" s="23"/>
    </row>
    <row r="910" spans="1:14" ht="15" x14ac:dyDescent="0.2">
      <c r="A910" s="24"/>
      <c r="B910" s="440" t="s">
        <v>627</v>
      </c>
      <c r="C910" s="441"/>
      <c r="D910" s="441"/>
      <c r="E910" s="441"/>
      <c r="F910" s="441"/>
      <c r="G910" s="441"/>
      <c r="H910" s="441"/>
      <c r="I910" s="441"/>
      <c r="J910" s="441"/>
      <c r="K910" s="441"/>
      <c r="L910" s="441"/>
      <c r="M910" s="442"/>
      <c r="N910" s="25" t="s">
        <v>664</v>
      </c>
    </row>
    <row r="911" spans="1:14" x14ac:dyDescent="0.2">
      <c r="A911" s="24"/>
      <c r="B911" s="26" t="s">
        <v>428</v>
      </c>
      <c r="C911" s="27" t="s">
        <v>628</v>
      </c>
      <c r="D911" s="27"/>
      <c r="E911" s="28"/>
      <c r="F911" s="28"/>
      <c r="G911" s="28"/>
      <c r="H911" s="28"/>
      <c r="I911" s="28"/>
      <c r="J911" s="28"/>
      <c r="K911" s="28"/>
      <c r="L911" s="28"/>
      <c r="M911" s="28"/>
      <c r="N911" s="29"/>
    </row>
    <row r="912" spans="1:14" x14ac:dyDescent="0.2">
      <c r="A912" s="24"/>
      <c r="B912" s="26" t="s">
        <v>429</v>
      </c>
      <c r="C912" s="27" t="s">
        <v>379</v>
      </c>
      <c r="D912" s="27"/>
      <c r="E912" s="28"/>
      <c r="F912" s="28"/>
      <c r="G912" s="28"/>
      <c r="H912" s="28"/>
      <c r="I912" s="28"/>
      <c r="J912" s="28"/>
      <c r="K912" s="28"/>
      <c r="L912" s="28"/>
      <c r="M912" s="28"/>
      <c r="N912" s="29"/>
    </row>
    <row r="913" spans="1:14" x14ac:dyDescent="0.2">
      <c r="A913" s="24"/>
      <c r="B913" s="26" t="s">
        <v>427</v>
      </c>
      <c r="C913" s="444" t="s">
        <v>465</v>
      </c>
      <c r="D913" s="444"/>
      <c r="E913" s="444"/>
      <c r="F913" s="444"/>
      <c r="G913" s="444"/>
      <c r="H913" s="444"/>
      <c r="I913" s="444"/>
      <c r="J913" s="444"/>
      <c r="K913" s="444"/>
      <c r="L913" s="444"/>
      <c r="M913" s="444"/>
      <c r="N913" s="445"/>
    </row>
    <row r="914" spans="1:14" x14ac:dyDescent="0.2">
      <c r="A914" s="24"/>
      <c r="C914" s="444"/>
      <c r="D914" s="444"/>
      <c r="E914" s="444"/>
      <c r="F914" s="444"/>
      <c r="G914" s="444"/>
      <c r="H914" s="444"/>
      <c r="I914" s="444"/>
      <c r="J914" s="444"/>
      <c r="K914" s="444"/>
      <c r="L914" s="444"/>
      <c r="M914" s="444"/>
      <c r="N914" s="445"/>
    </row>
    <row r="915" spans="1:14" ht="13.5" thickBot="1" x14ac:dyDescent="0.25">
      <c r="A915" s="30"/>
      <c r="B915" s="47" t="s">
        <v>430</v>
      </c>
      <c r="C915" s="31"/>
      <c r="D915" s="31"/>
      <c r="E915" s="32"/>
      <c r="F915" s="32"/>
      <c r="G915" s="32"/>
      <c r="H915" s="32"/>
      <c r="I915" s="32"/>
      <c r="J915" s="32"/>
      <c r="K915" s="32"/>
      <c r="L915" s="32"/>
      <c r="M915" s="32"/>
      <c r="N915" s="33"/>
    </row>
    <row r="916" spans="1:14" x14ac:dyDescent="0.2">
      <c r="A916" s="24"/>
      <c r="B916" s="58" t="s">
        <v>263</v>
      </c>
      <c r="C916" s="27"/>
      <c r="D916" s="27"/>
      <c r="E916" s="28"/>
      <c r="F916" s="28"/>
      <c r="G916" s="28"/>
      <c r="H916" s="28"/>
      <c r="I916" s="28"/>
      <c r="J916" s="37" t="s">
        <v>907</v>
      </c>
      <c r="K916" s="37" t="s">
        <v>753</v>
      </c>
      <c r="L916" s="37" t="s">
        <v>513</v>
      </c>
      <c r="M916" s="37" t="s">
        <v>1341</v>
      </c>
      <c r="N916" s="37"/>
    </row>
    <row r="917" spans="1:14" ht="13.5" thickBot="1" x14ac:dyDescent="0.25">
      <c r="A917" s="24"/>
      <c r="B917" s="31"/>
      <c r="C917" s="27"/>
      <c r="D917" s="27"/>
      <c r="E917" s="28"/>
      <c r="F917" s="28"/>
      <c r="G917" s="28"/>
      <c r="H917" s="28"/>
      <c r="I917" s="28"/>
      <c r="J917" s="86"/>
      <c r="K917" s="86" t="s">
        <v>123</v>
      </c>
      <c r="L917" s="40" t="s">
        <v>612</v>
      </c>
      <c r="M917" s="40"/>
      <c r="N917" s="40"/>
    </row>
    <row r="918" spans="1:14" x14ac:dyDescent="0.2">
      <c r="A918" s="20"/>
      <c r="B918" s="434" t="s">
        <v>67</v>
      </c>
      <c r="C918" s="434"/>
      <c r="D918" s="434"/>
      <c r="E918" s="22"/>
      <c r="F918" s="22" t="s">
        <v>1180</v>
      </c>
      <c r="G918" s="22" t="s">
        <v>68</v>
      </c>
      <c r="H918" s="22" t="s">
        <v>702</v>
      </c>
      <c r="I918" s="22"/>
      <c r="J918" s="74">
        <f>51/O1*O2</f>
        <v>92.72727272727272</v>
      </c>
      <c r="K918" s="74">
        <f>68/O1*O2</f>
        <v>123.63636363636363</v>
      </c>
      <c r="L918" s="74">
        <f>80/O1*O2</f>
        <v>145.45454545454544</v>
      </c>
      <c r="M918" s="74">
        <f>73/O1*O2</f>
        <v>132.72727272727272</v>
      </c>
      <c r="N918" s="42"/>
    </row>
    <row r="919" spans="1:14" x14ac:dyDescent="0.2">
      <c r="A919" s="24"/>
      <c r="B919" s="435" t="s">
        <v>67</v>
      </c>
      <c r="C919" s="435"/>
      <c r="D919" s="435"/>
      <c r="E919" s="28"/>
      <c r="F919" s="28" t="s">
        <v>1181</v>
      </c>
      <c r="G919" s="28" t="s">
        <v>68</v>
      </c>
      <c r="H919" s="28" t="s">
        <v>702</v>
      </c>
      <c r="I919" s="28"/>
      <c r="J919" s="75">
        <f>30/O1*O2</f>
        <v>54.54545454545454</v>
      </c>
      <c r="K919" s="75">
        <f>42.5/O1*O2</f>
        <v>77.272727272727266</v>
      </c>
      <c r="L919" s="75">
        <f>48/O1*O2</f>
        <v>87.272727272727266</v>
      </c>
      <c r="M919" s="75">
        <f>44.5/O1*O2</f>
        <v>80.909090909090907</v>
      </c>
      <c r="N919" s="44"/>
    </row>
    <row r="920" spans="1:14" x14ac:dyDescent="0.2">
      <c r="A920" s="24"/>
      <c r="B920" s="435" t="s">
        <v>67</v>
      </c>
      <c r="C920" s="435"/>
      <c r="D920" s="435"/>
      <c r="E920" s="28"/>
      <c r="F920" s="28" t="s">
        <v>1182</v>
      </c>
      <c r="G920" s="28" t="s">
        <v>68</v>
      </c>
      <c r="H920" s="28" t="s">
        <v>702</v>
      </c>
      <c r="I920" s="28"/>
      <c r="J920" s="75">
        <f>25/O1*O2</f>
        <v>45.454545454545453</v>
      </c>
      <c r="K920" s="75">
        <f>36/O1*O2</f>
        <v>65.454545454545453</v>
      </c>
      <c r="L920" s="75">
        <f>38/O1*O2</f>
        <v>69.090909090909079</v>
      </c>
      <c r="M920" s="75">
        <f>36.6/O1*O2</f>
        <v>66.545454545454547</v>
      </c>
      <c r="N920" s="44"/>
    </row>
    <row r="921" spans="1:14" x14ac:dyDescent="0.2">
      <c r="A921" s="24"/>
      <c r="B921" s="435" t="s">
        <v>67</v>
      </c>
      <c r="C921" s="435"/>
      <c r="D921" s="435"/>
      <c r="E921" s="28"/>
      <c r="F921" s="28" t="s">
        <v>257</v>
      </c>
      <c r="G921" s="28" t="s">
        <v>68</v>
      </c>
      <c r="H921" s="28" t="s">
        <v>702</v>
      </c>
      <c r="I921" s="29"/>
      <c r="J921" s="75">
        <f>21.5/O1*O2</f>
        <v>39.090909090909086</v>
      </c>
      <c r="K921" s="75">
        <f>31.5/O1*O2</f>
        <v>57.272727272727266</v>
      </c>
      <c r="L921" s="75">
        <f>33.75/O1*O2</f>
        <v>61.36363636363636</v>
      </c>
      <c r="M921" s="75">
        <f>32.5/O1*O2</f>
        <v>59.090909090909086</v>
      </c>
      <c r="N921" s="44"/>
    </row>
    <row r="922" spans="1:14" ht="13.5" thickBot="1" x14ac:dyDescent="0.25">
      <c r="A922" s="30"/>
      <c r="B922" s="443" t="s">
        <v>902</v>
      </c>
      <c r="C922" s="443"/>
      <c r="D922" s="443"/>
      <c r="E922" s="32"/>
      <c r="F922" s="32"/>
      <c r="G922" s="32"/>
      <c r="H922" s="32"/>
      <c r="I922" s="33"/>
      <c r="J922" s="76">
        <f>21/O1*O2</f>
        <v>38.18181818181818</v>
      </c>
      <c r="K922" s="76">
        <f>21/O1*O2</f>
        <v>38.18181818181818</v>
      </c>
      <c r="L922" s="76">
        <f>21/O1*O2</f>
        <v>38.18181818181818</v>
      </c>
      <c r="M922" s="76">
        <f>21/O1*O2</f>
        <v>38.18181818181818</v>
      </c>
      <c r="N922" s="46"/>
    </row>
    <row r="923" spans="1:14" x14ac:dyDescent="0.2">
      <c r="A923" s="52"/>
      <c r="B923" s="27"/>
      <c r="C923" s="27"/>
      <c r="D923" s="27"/>
      <c r="E923" s="28"/>
      <c r="F923" s="28"/>
      <c r="G923" s="28"/>
      <c r="H923" s="28"/>
      <c r="I923" s="28"/>
      <c r="J923" s="229"/>
      <c r="K923" s="229"/>
      <c r="L923" s="229"/>
      <c r="M923" s="229"/>
      <c r="N923" s="53"/>
    </row>
    <row r="924" spans="1:14" x14ac:dyDescent="0.2">
      <c r="A924" s="52"/>
      <c r="B924" s="27"/>
      <c r="C924" s="27"/>
      <c r="D924" s="27"/>
      <c r="E924" s="28"/>
      <c r="F924" s="28"/>
      <c r="G924" s="28"/>
      <c r="H924" s="28"/>
      <c r="I924" s="28"/>
      <c r="J924" s="229"/>
      <c r="K924" s="229"/>
      <c r="L924" s="229"/>
      <c r="M924" s="229"/>
      <c r="N924" s="53"/>
    </row>
    <row r="925" spans="1:14" x14ac:dyDescent="0.2">
      <c r="A925" s="52"/>
      <c r="B925" s="27"/>
      <c r="C925" s="27"/>
      <c r="D925" s="27"/>
      <c r="E925" s="28"/>
      <c r="F925" s="28"/>
      <c r="G925" s="28"/>
      <c r="H925" s="28"/>
      <c r="I925" s="28"/>
      <c r="J925" s="229"/>
      <c r="K925" s="229"/>
      <c r="L925" s="229"/>
      <c r="M925" s="229"/>
      <c r="N925" s="53"/>
    </row>
    <row r="926" spans="1:14" x14ac:dyDescent="0.2">
      <c r="A926" s="52"/>
      <c r="B926" s="27"/>
      <c r="C926" s="27"/>
      <c r="D926" s="27"/>
      <c r="E926" s="28"/>
      <c r="F926" s="28"/>
      <c r="G926" s="28"/>
      <c r="H926" s="28"/>
      <c r="I926" s="28"/>
      <c r="J926" s="229"/>
      <c r="K926" s="229"/>
      <c r="L926" s="229"/>
      <c r="M926" s="229"/>
      <c r="N926" s="53"/>
    </row>
    <row r="927" spans="1:14" x14ac:dyDescent="0.2">
      <c r="A927" s="52"/>
      <c r="B927" s="27"/>
      <c r="C927" s="27"/>
      <c r="D927" s="27"/>
      <c r="E927" s="28"/>
      <c r="F927" s="28"/>
      <c r="G927" s="28"/>
      <c r="H927" s="28"/>
      <c r="I927" s="28"/>
      <c r="J927" s="229"/>
      <c r="K927" s="229"/>
      <c r="L927" s="229"/>
      <c r="M927" s="229"/>
      <c r="N927" s="53"/>
    </row>
    <row r="928" spans="1:14" x14ac:dyDescent="0.2">
      <c r="A928" s="52"/>
      <c r="B928" s="27"/>
      <c r="C928" s="27"/>
      <c r="D928" s="27"/>
      <c r="E928" s="28"/>
      <c r="F928" s="28"/>
      <c r="G928" s="28"/>
      <c r="H928" s="28"/>
      <c r="I928" s="28"/>
      <c r="J928" s="229"/>
      <c r="K928" s="229"/>
      <c r="L928" s="229"/>
      <c r="M928" s="229"/>
      <c r="N928" s="53"/>
    </row>
    <row r="929" spans="1:14" x14ac:dyDescent="0.2">
      <c r="A929" s="52"/>
      <c r="B929" s="27"/>
      <c r="C929" s="27"/>
      <c r="D929" s="27"/>
      <c r="E929" s="28"/>
      <c r="F929" s="28"/>
      <c r="G929" s="28"/>
      <c r="H929" s="28"/>
      <c r="I929" s="28"/>
      <c r="J929" s="229"/>
      <c r="K929" s="229"/>
      <c r="L929" s="229"/>
      <c r="M929" s="229"/>
      <c r="N929" s="53"/>
    </row>
    <row r="930" spans="1:14" x14ac:dyDescent="0.2">
      <c r="A930" s="52"/>
      <c r="B930" s="27"/>
      <c r="C930" s="27"/>
      <c r="D930" s="27"/>
      <c r="E930" s="28"/>
      <c r="F930" s="28"/>
      <c r="G930" s="28"/>
      <c r="H930" s="28"/>
      <c r="I930" s="28"/>
      <c r="J930" s="229"/>
      <c r="K930" s="229"/>
      <c r="L930" s="229"/>
      <c r="M930" s="229"/>
      <c r="N930" s="53"/>
    </row>
    <row r="931" spans="1:14" x14ac:dyDescent="0.2">
      <c r="A931" s="52"/>
      <c r="B931" s="27"/>
      <c r="C931" s="27"/>
      <c r="D931" s="27"/>
      <c r="E931" s="28"/>
      <c r="F931" s="28"/>
      <c r="G931" s="28"/>
      <c r="H931" s="28"/>
      <c r="I931" s="28"/>
      <c r="J931" s="229"/>
      <c r="K931" s="229"/>
      <c r="L931" s="229"/>
      <c r="M931" s="229"/>
      <c r="N931" s="53"/>
    </row>
    <row r="932" spans="1:14" x14ac:dyDescent="0.2">
      <c r="A932" s="52"/>
      <c r="B932" s="27"/>
      <c r="C932" s="27"/>
      <c r="D932" s="27"/>
      <c r="E932" s="28"/>
      <c r="F932" s="28"/>
      <c r="G932" s="28"/>
      <c r="H932" s="28"/>
      <c r="I932" s="28"/>
      <c r="J932" s="229"/>
      <c r="K932" s="229"/>
      <c r="L932" s="229"/>
      <c r="M932" s="229"/>
      <c r="N932" s="53"/>
    </row>
    <row r="933" spans="1:14" x14ac:dyDescent="0.2">
      <c r="A933" s="52"/>
      <c r="B933" s="27"/>
      <c r="C933" s="27"/>
      <c r="D933" s="27"/>
      <c r="E933" s="28"/>
      <c r="F933" s="28"/>
      <c r="G933" s="28"/>
      <c r="H933" s="28"/>
      <c r="I933" s="28"/>
      <c r="J933" s="229"/>
      <c r="K933" s="229"/>
      <c r="L933" s="229"/>
      <c r="M933" s="229"/>
      <c r="N933" s="53"/>
    </row>
    <row r="934" spans="1:14" x14ac:dyDescent="0.2">
      <c r="A934" s="52"/>
      <c r="B934" s="27"/>
      <c r="C934" s="27"/>
      <c r="D934" s="27"/>
      <c r="E934" s="28"/>
      <c r="F934" s="28"/>
      <c r="G934" s="28"/>
      <c r="H934" s="28"/>
      <c r="I934" s="28"/>
      <c r="J934" s="229"/>
      <c r="K934" s="229"/>
      <c r="L934" s="229"/>
      <c r="M934" s="229"/>
      <c r="N934" s="53"/>
    </row>
    <row r="935" spans="1:14" x14ac:dyDescent="0.2">
      <c r="A935" s="52"/>
      <c r="B935" s="27"/>
      <c r="C935" s="27"/>
      <c r="D935" s="27"/>
      <c r="E935" s="28"/>
      <c r="F935" s="28"/>
      <c r="G935" s="28"/>
      <c r="H935" s="28"/>
      <c r="I935" s="28"/>
      <c r="J935" s="229"/>
      <c r="K935" s="229"/>
      <c r="L935" s="229"/>
      <c r="M935" s="229"/>
      <c r="N935" s="53"/>
    </row>
    <row r="936" spans="1:14" x14ac:dyDescent="0.2">
      <c r="A936" s="52"/>
      <c r="B936" s="27"/>
      <c r="C936" s="27"/>
      <c r="D936" s="27"/>
      <c r="E936" s="28"/>
      <c r="F936" s="28"/>
      <c r="G936" s="28"/>
      <c r="H936" s="28"/>
      <c r="I936" s="28"/>
      <c r="J936" s="229"/>
      <c r="K936" s="229"/>
      <c r="L936" s="229"/>
      <c r="M936" s="229"/>
      <c r="N936" s="53"/>
    </row>
    <row r="937" spans="1:14" x14ac:dyDescent="0.2">
      <c r="A937" s="52"/>
      <c r="B937" s="27"/>
      <c r="C937" s="27"/>
      <c r="D937" s="27"/>
      <c r="E937" s="28"/>
      <c r="F937" s="28"/>
      <c r="G937" s="28"/>
      <c r="H937" s="28"/>
      <c r="I937" s="28"/>
      <c r="J937" s="229"/>
      <c r="K937" s="229"/>
      <c r="L937" s="229"/>
      <c r="M937" s="229"/>
      <c r="N937" s="53"/>
    </row>
    <row r="938" spans="1:14" ht="13.5" thickBot="1" x14ac:dyDescent="0.25"/>
    <row r="939" spans="1:14" x14ac:dyDescent="0.2">
      <c r="A939" s="20"/>
      <c r="B939" s="21"/>
      <c r="C939" s="21"/>
      <c r="D939" s="21"/>
      <c r="E939" s="22"/>
      <c r="F939" s="22"/>
      <c r="G939" s="22"/>
      <c r="H939" s="22"/>
      <c r="I939" s="22"/>
      <c r="J939" s="22"/>
      <c r="K939" s="22"/>
      <c r="L939" s="22"/>
      <c r="M939" s="22"/>
      <c r="N939" s="23"/>
    </row>
    <row r="940" spans="1:14" ht="15" x14ac:dyDescent="0.2">
      <c r="A940" s="24"/>
      <c r="B940" s="440" t="s">
        <v>380</v>
      </c>
      <c r="C940" s="441"/>
      <c r="D940" s="441"/>
      <c r="E940" s="441"/>
      <c r="F940" s="441"/>
      <c r="G940" s="441"/>
      <c r="H940" s="441"/>
      <c r="I940" s="441"/>
      <c r="J940" s="441"/>
      <c r="K940" s="441"/>
      <c r="L940" s="441"/>
      <c r="M940" s="442"/>
      <c r="N940" s="25" t="s">
        <v>664</v>
      </c>
    </row>
    <row r="941" spans="1:14" x14ac:dyDescent="0.2">
      <c r="A941" s="24"/>
      <c r="B941" s="26" t="s">
        <v>428</v>
      </c>
      <c r="C941" s="27" t="s">
        <v>381</v>
      </c>
      <c r="D941" s="27"/>
      <c r="E941" s="28"/>
      <c r="F941" s="28"/>
      <c r="G941" s="28"/>
      <c r="H941" s="28"/>
      <c r="I941" s="28"/>
      <c r="J941" s="28"/>
      <c r="K941" s="28"/>
      <c r="L941" s="28"/>
      <c r="M941" s="28"/>
      <c r="N941" s="29"/>
    </row>
    <row r="942" spans="1:14" x14ac:dyDescent="0.2">
      <c r="A942" s="24"/>
      <c r="B942" s="26" t="s">
        <v>429</v>
      </c>
      <c r="C942" s="27" t="s">
        <v>382</v>
      </c>
      <c r="D942" s="27"/>
      <c r="E942" s="28"/>
      <c r="F942" s="28"/>
      <c r="G942" s="28"/>
      <c r="H942" s="28"/>
      <c r="I942" s="28"/>
      <c r="J942" s="28"/>
      <c r="K942" s="28"/>
      <c r="L942" s="28"/>
      <c r="M942" s="28"/>
      <c r="N942" s="29"/>
    </row>
    <row r="943" spans="1:14" x14ac:dyDescent="0.2">
      <c r="A943" s="24"/>
      <c r="B943" s="26" t="s">
        <v>427</v>
      </c>
      <c r="C943" s="444" t="s">
        <v>466</v>
      </c>
      <c r="D943" s="444"/>
      <c r="E943" s="444"/>
      <c r="F943" s="444"/>
      <c r="G943" s="444"/>
      <c r="H943" s="444"/>
      <c r="I943" s="444"/>
      <c r="J943" s="444"/>
      <c r="K943" s="444"/>
      <c r="L943" s="444"/>
      <c r="M943" s="444"/>
      <c r="N943" s="445"/>
    </row>
    <row r="944" spans="1:14" x14ac:dyDescent="0.2">
      <c r="A944" s="24"/>
      <c r="B944" s="26"/>
      <c r="C944" s="444"/>
      <c r="D944" s="444"/>
      <c r="E944" s="444"/>
      <c r="F944" s="444"/>
      <c r="G944" s="444"/>
      <c r="H944" s="444"/>
      <c r="I944" s="444"/>
      <c r="J944" s="444"/>
      <c r="K944" s="444"/>
      <c r="L944" s="444"/>
      <c r="M944" s="444"/>
      <c r="N944" s="445"/>
    </row>
    <row r="945" spans="1:14" x14ac:dyDescent="0.2">
      <c r="A945" s="24"/>
      <c r="C945" s="444"/>
      <c r="D945" s="444"/>
      <c r="E945" s="444"/>
      <c r="F945" s="444"/>
      <c r="G945" s="444"/>
      <c r="H945" s="444"/>
      <c r="I945" s="444"/>
      <c r="J945" s="444"/>
      <c r="K945" s="444"/>
      <c r="L945" s="444"/>
      <c r="M945" s="444"/>
      <c r="N945" s="445"/>
    </row>
    <row r="946" spans="1:14" x14ac:dyDescent="0.2">
      <c r="A946" s="24"/>
      <c r="B946" s="26" t="s">
        <v>426</v>
      </c>
      <c r="C946" s="27"/>
      <c r="D946" s="27"/>
      <c r="E946" s="28"/>
      <c r="F946" s="28"/>
      <c r="G946" s="28"/>
      <c r="H946" s="28"/>
      <c r="I946" s="28"/>
      <c r="J946" s="28"/>
      <c r="K946" s="28"/>
      <c r="L946" s="28"/>
      <c r="M946" s="28"/>
      <c r="N946" s="29"/>
    </row>
    <row r="947" spans="1:14" ht="13.5" thickBot="1" x14ac:dyDescent="0.25">
      <c r="A947" s="30"/>
      <c r="B947" s="47" t="s">
        <v>430</v>
      </c>
      <c r="C947" s="31"/>
      <c r="D947" s="31"/>
      <c r="E947" s="32"/>
      <c r="F947" s="32"/>
      <c r="G947" s="32"/>
      <c r="H947" s="32"/>
      <c r="I947" s="32"/>
      <c r="J947" s="32"/>
      <c r="K947" s="32"/>
      <c r="L947" s="32"/>
      <c r="M947" s="32"/>
      <c r="N947" s="33"/>
    </row>
    <row r="948" spans="1:14" ht="13.5" thickBot="1" x14ac:dyDescent="0.25">
      <c r="A948" s="30"/>
      <c r="B948" s="55" t="s">
        <v>263</v>
      </c>
      <c r="C948" s="31"/>
      <c r="D948" s="31"/>
      <c r="E948" s="32"/>
      <c r="F948" s="32"/>
      <c r="G948" s="32"/>
      <c r="H948" s="32"/>
      <c r="I948" s="32"/>
      <c r="J948" s="32"/>
      <c r="K948" s="32"/>
      <c r="L948" s="32" t="s">
        <v>2092</v>
      </c>
      <c r="M948" s="32"/>
      <c r="N948" s="33"/>
    </row>
    <row r="949" spans="1:14" ht="13.5" thickBot="1" x14ac:dyDescent="0.25">
      <c r="A949" s="30"/>
      <c r="B949" s="55" t="s">
        <v>263</v>
      </c>
      <c r="C949" s="31"/>
      <c r="D949" s="31"/>
      <c r="E949" s="32"/>
      <c r="F949" s="32"/>
      <c r="G949" s="32"/>
      <c r="H949" s="32"/>
      <c r="I949" s="32"/>
      <c r="J949" s="49" t="s">
        <v>2090</v>
      </c>
      <c r="K949" s="40" t="s">
        <v>2091</v>
      </c>
      <c r="L949" s="40" t="s">
        <v>612</v>
      </c>
      <c r="M949" s="40" t="s">
        <v>123</v>
      </c>
      <c r="N949" s="40"/>
    </row>
    <row r="950" spans="1:14" x14ac:dyDescent="0.2">
      <c r="A950" s="20"/>
      <c r="B950" s="434" t="s">
        <v>67</v>
      </c>
      <c r="C950" s="434"/>
      <c r="D950" s="434"/>
      <c r="E950" s="22"/>
      <c r="F950" s="22" t="s">
        <v>1180</v>
      </c>
      <c r="G950" s="22" t="s">
        <v>68</v>
      </c>
      <c r="H950" s="22" t="s">
        <v>702</v>
      </c>
      <c r="I950" s="22"/>
      <c r="J950" s="74">
        <f>59.6/O1*O2</f>
        <v>108.36363636363636</v>
      </c>
      <c r="K950" s="74">
        <f>82.5/O1*O2</f>
        <v>150</v>
      </c>
      <c r="L950" s="57">
        <f>92/O1*O2</f>
        <v>167.27272727272725</v>
      </c>
      <c r="M950" s="42">
        <f>90/O1*O2</f>
        <v>163.63636363636363</v>
      </c>
      <c r="N950" s="42"/>
    </row>
    <row r="951" spans="1:14" x14ac:dyDescent="0.2">
      <c r="A951" s="24"/>
      <c r="B951" s="435" t="s">
        <v>67</v>
      </c>
      <c r="C951" s="435"/>
      <c r="D951" s="435"/>
      <c r="E951" s="28"/>
      <c r="F951" s="28" t="s">
        <v>1181</v>
      </c>
      <c r="G951" s="28" t="s">
        <v>68</v>
      </c>
      <c r="H951" s="28" t="s">
        <v>702</v>
      </c>
      <c r="I951" s="28"/>
      <c r="J951" s="75">
        <f>32.5/O1*O2</f>
        <v>59.090909090909086</v>
      </c>
      <c r="K951" s="75">
        <f>46.5/O1*O2</f>
        <v>84.545454545454533</v>
      </c>
      <c r="L951" s="44">
        <f>59/O1*O2</f>
        <v>107.27272727272727</v>
      </c>
      <c r="M951" s="44">
        <f>57/O1*O2</f>
        <v>103.63636363636363</v>
      </c>
      <c r="N951" s="44"/>
    </row>
    <row r="952" spans="1:14" x14ac:dyDescent="0.2">
      <c r="A952" s="24"/>
      <c r="B952" s="27" t="s">
        <v>67</v>
      </c>
      <c r="C952" s="27"/>
      <c r="D952" s="27"/>
      <c r="E952" s="28"/>
      <c r="F952" s="28" t="s">
        <v>1182</v>
      </c>
      <c r="G952" s="28" t="s">
        <v>68</v>
      </c>
      <c r="H952" s="28" t="s">
        <v>702</v>
      </c>
      <c r="I952" s="28"/>
      <c r="J952" s="75">
        <f>29.5/O1*O2</f>
        <v>53.636363636363633</v>
      </c>
      <c r="K952" s="75">
        <f>37.9/O1*O2</f>
        <v>68.909090909090907</v>
      </c>
      <c r="L952" s="44">
        <f>46/O1*O2</f>
        <v>83.636363636363626</v>
      </c>
      <c r="M952" s="44">
        <f>42/O1*O2</f>
        <v>76.36363636363636</v>
      </c>
      <c r="N952" s="44"/>
    </row>
    <row r="953" spans="1:14" ht="13.5" thickBot="1" x14ac:dyDescent="0.25">
      <c r="A953" s="30"/>
      <c r="B953" s="443"/>
      <c r="C953" s="443"/>
      <c r="D953" s="443"/>
      <c r="E953" s="32"/>
      <c r="F953" s="32"/>
      <c r="G953" s="32"/>
      <c r="H953" s="32"/>
      <c r="I953" s="32"/>
      <c r="J953" s="76"/>
      <c r="K953" s="76"/>
      <c r="L953" s="46"/>
      <c r="M953" s="46"/>
      <c r="N953" s="46"/>
    </row>
    <row r="954" spans="1:14" ht="13.5" thickBot="1" x14ac:dyDescent="0.25">
      <c r="A954" s="52"/>
      <c r="B954" s="27"/>
      <c r="C954" s="27"/>
      <c r="D954" s="27"/>
      <c r="E954" s="28"/>
      <c r="F954" s="28"/>
      <c r="G954" s="28"/>
      <c r="H954" s="28"/>
      <c r="I954" s="28"/>
      <c r="J954" s="229"/>
      <c r="K954" s="229"/>
      <c r="L954" s="229"/>
      <c r="M954" s="229"/>
      <c r="N954" s="53"/>
    </row>
    <row r="955" spans="1:14" x14ac:dyDescent="0.2">
      <c r="A955" s="20"/>
      <c r="B955" s="21"/>
      <c r="C955" s="21"/>
      <c r="D955" s="21"/>
      <c r="E955" s="22"/>
      <c r="F955" s="22"/>
      <c r="G955" s="22"/>
      <c r="H955" s="22"/>
      <c r="I955" s="22"/>
      <c r="J955" s="22"/>
      <c r="K955" s="22"/>
      <c r="L955" s="22"/>
      <c r="M955" s="22"/>
      <c r="N955" s="23"/>
    </row>
    <row r="956" spans="1:14" ht="15" x14ac:dyDescent="0.2">
      <c r="A956" s="24"/>
      <c r="B956" s="440" t="s">
        <v>416</v>
      </c>
      <c r="C956" s="441"/>
      <c r="D956" s="441"/>
      <c r="E956" s="441"/>
      <c r="F956" s="441"/>
      <c r="G956" s="441"/>
      <c r="H956" s="441"/>
      <c r="I956" s="441"/>
      <c r="J956" s="441"/>
      <c r="K956" s="441"/>
      <c r="L956" s="441"/>
      <c r="M956" s="442"/>
      <c r="N956" s="25" t="s">
        <v>664</v>
      </c>
    </row>
    <row r="957" spans="1:14" x14ac:dyDescent="0.2">
      <c r="A957" s="24"/>
      <c r="B957" s="26" t="s">
        <v>428</v>
      </c>
      <c r="C957" s="27" t="s">
        <v>417</v>
      </c>
      <c r="D957" s="27"/>
      <c r="E957" s="28"/>
      <c r="F957" s="28"/>
      <c r="G957" s="28"/>
      <c r="H957" s="28"/>
      <c r="I957" s="28"/>
      <c r="J957" s="28"/>
      <c r="K957" s="28"/>
      <c r="L957" s="28"/>
      <c r="M957" s="28"/>
      <c r="N957" s="29"/>
    </row>
    <row r="958" spans="1:14" x14ac:dyDescent="0.2">
      <c r="A958" s="24"/>
      <c r="B958" s="26" t="s">
        <v>429</v>
      </c>
      <c r="C958" s="27" t="s">
        <v>418</v>
      </c>
      <c r="D958" s="27"/>
      <c r="E958" s="28"/>
      <c r="F958" s="28"/>
      <c r="G958" s="28"/>
      <c r="H958" s="28"/>
      <c r="I958" s="28"/>
      <c r="J958" s="28"/>
      <c r="K958" s="28"/>
      <c r="L958" s="28"/>
      <c r="M958" s="28"/>
      <c r="N958" s="29"/>
    </row>
    <row r="959" spans="1:14" x14ac:dyDescent="0.2">
      <c r="A959" s="24"/>
      <c r="B959" s="26" t="s">
        <v>427</v>
      </c>
      <c r="C959" s="444" t="s">
        <v>467</v>
      </c>
      <c r="D959" s="444"/>
      <c r="E959" s="444"/>
      <c r="F959" s="444"/>
      <c r="G959" s="444"/>
      <c r="H959" s="444"/>
      <c r="I959" s="444"/>
      <c r="J959" s="444"/>
      <c r="K959" s="444"/>
      <c r="L959" s="444"/>
      <c r="M959" s="444"/>
      <c r="N959" s="445"/>
    </row>
    <row r="960" spans="1:14" x14ac:dyDescent="0.2">
      <c r="A960" s="24"/>
      <c r="B960" s="26"/>
      <c r="C960" s="444"/>
      <c r="D960" s="444"/>
      <c r="E960" s="444"/>
      <c r="F960" s="444"/>
      <c r="G960" s="444"/>
      <c r="H960" s="444"/>
      <c r="I960" s="444"/>
      <c r="J960" s="444"/>
      <c r="K960" s="444"/>
      <c r="L960" s="444"/>
      <c r="M960" s="444"/>
      <c r="N960" s="445"/>
    </row>
    <row r="961" spans="1:14" x14ac:dyDescent="0.2">
      <c r="A961" s="24"/>
      <c r="B961" s="26"/>
      <c r="C961" s="444"/>
      <c r="D961" s="444"/>
      <c r="E961" s="444"/>
      <c r="F961" s="444"/>
      <c r="G961" s="444"/>
      <c r="H961" s="444"/>
      <c r="I961" s="444"/>
      <c r="J961" s="444"/>
      <c r="K961" s="444"/>
      <c r="L961" s="444"/>
      <c r="M961" s="444"/>
      <c r="N961" s="445"/>
    </row>
    <row r="962" spans="1:14" x14ac:dyDescent="0.2">
      <c r="A962" s="24"/>
      <c r="C962" s="444"/>
      <c r="D962" s="444"/>
      <c r="E962" s="444"/>
      <c r="F962" s="444"/>
      <c r="G962" s="444"/>
      <c r="H962" s="444"/>
      <c r="I962" s="444"/>
      <c r="J962" s="444"/>
      <c r="K962" s="444"/>
      <c r="L962" s="444"/>
      <c r="M962" s="444"/>
      <c r="N962" s="445"/>
    </row>
    <row r="963" spans="1:14" x14ac:dyDescent="0.2">
      <c r="A963" s="24"/>
      <c r="B963" s="26" t="s">
        <v>426</v>
      </c>
      <c r="C963" s="27"/>
      <c r="D963" s="27"/>
      <c r="E963" s="28"/>
      <c r="F963" s="28"/>
      <c r="G963" s="28"/>
      <c r="H963" s="28"/>
      <c r="I963" s="28"/>
      <c r="J963" s="28"/>
      <c r="K963" s="28"/>
      <c r="L963" s="28"/>
      <c r="M963" s="28"/>
      <c r="N963" s="29"/>
    </row>
    <row r="964" spans="1:14" ht="13.5" thickBot="1" x14ac:dyDescent="0.25">
      <c r="A964" s="30"/>
      <c r="B964" s="47" t="s">
        <v>430</v>
      </c>
      <c r="C964" s="31"/>
      <c r="D964" s="31"/>
      <c r="E964" s="32"/>
      <c r="F964" s="32"/>
      <c r="G964" s="32"/>
      <c r="H964" s="32"/>
      <c r="I964" s="32"/>
      <c r="J964" s="32"/>
      <c r="K964" s="32"/>
      <c r="L964" s="32"/>
      <c r="M964" s="32"/>
      <c r="N964" s="33"/>
    </row>
    <row r="965" spans="1:14" ht="13.5" thickBot="1" x14ac:dyDescent="0.25">
      <c r="A965" s="30"/>
      <c r="B965" s="55" t="s">
        <v>263</v>
      </c>
      <c r="C965" s="31"/>
      <c r="D965" s="31"/>
      <c r="E965" s="32"/>
      <c r="F965" s="32"/>
      <c r="G965" s="32"/>
      <c r="H965" s="32"/>
      <c r="I965" s="32"/>
      <c r="J965" s="49" t="s">
        <v>229</v>
      </c>
      <c r="K965" s="40"/>
      <c r="L965" s="40"/>
      <c r="M965" s="40"/>
      <c r="N965" s="40"/>
    </row>
    <row r="966" spans="1:14" x14ac:dyDescent="0.2">
      <c r="A966" s="20"/>
      <c r="B966" s="434" t="s">
        <v>67</v>
      </c>
      <c r="C966" s="434"/>
      <c r="D966" s="434"/>
      <c r="E966" s="22"/>
      <c r="F966" s="22" t="s">
        <v>1180</v>
      </c>
      <c r="G966" s="22" t="s">
        <v>68</v>
      </c>
      <c r="H966" s="22" t="s">
        <v>702</v>
      </c>
      <c r="I966" s="22"/>
      <c r="J966" s="74">
        <f>55.5/O1*O2</f>
        <v>100.90909090909091</v>
      </c>
      <c r="K966" s="42"/>
      <c r="L966" s="57"/>
      <c r="M966" s="42"/>
      <c r="N966" s="42"/>
    </row>
    <row r="967" spans="1:14" x14ac:dyDescent="0.2">
      <c r="A967" s="24"/>
      <c r="B967" s="435" t="s">
        <v>67</v>
      </c>
      <c r="C967" s="435"/>
      <c r="D967" s="435"/>
      <c r="E967" s="28"/>
      <c r="F967" s="28" t="s">
        <v>1181</v>
      </c>
      <c r="G967" s="28" t="s">
        <v>68</v>
      </c>
      <c r="H967" s="28" t="s">
        <v>702</v>
      </c>
      <c r="I967" s="28"/>
      <c r="J967" s="75">
        <f>31.5/O1*O2</f>
        <v>57.272727272727266</v>
      </c>
      <c r="K967" s="44"/>
      <c r="L967" s="44"/>
      <c r="M967" s="44"/>
      <c r="N967" s="44"/>
    </row>
    <row r="968" spans="1:14" ht="13.5" thickBot="1" x14ac:dyDescent="0.25">
      <c r="A968" s="30"/>
      <c r="B968" s="443" t="s">
        <v>67</v>
      </c>
      <c r="C968" s="443"/>
      <c r="D968" s="443"/>
      <c r="E968" s="32"/>
      <c r="F968" s="32" t="s">
        <v>1182</v>
      </c>
      <c r="G968" s="32" t="s">
        <v>68</v>
      </c>
      <c r="H968" s="32" t="s">
        <v>702</v>
      </c>
      <c r="I968" s="32"/>
      <c r="J968" s="76">
        <f>23/O1*O2</f>
        <v>41.818181818181813</v>
      </c>
      <c r="K968" s="46"/>
      <c r="L968" s="46"/>
      <c r="M968" s="46"/>
      <c r="N968" s="46"/>
    </row>
    <row r="970" spans="1:14" x14ac:dyDescent="0.2">
      <c r="A970" s="52"/>
      <c r="B970" s="27"/>
      <c r="C970" s="27"/>
      <c r="D970" s="27"/>
      <c r="E970" s="28"/>
      <c r="F970" s="28"/>
      <c r="G970" s="28"/>
      <c r="H970" s="28"/>
      <c r="I970" s="28"/>
      <c r="J970" s="229"/>
      <c r="K970" s="229"/>
      <c r="L970" s="229"/>
      <c r="M970" s="229"/>
      <c r="N970" s="53"/>
    </row>
    <row r="971" spans="1:14" x14ac:dyDescent="0.2">
      <c r="A971" s="52"/>
      <c r="B971" s="27"/>
      <c r="C971" s="27"/>
      <c r="D971" s="27"/>
      <c r="E971" s="28"/>
      <c r="F971" s="28"/>
      <c r="G971" s="28"/>
      <c r="H971" s="28"/>
      <c r="I971" s="28"/>
      <c r="J971" s="229"/>
      <c r="K971" s="229"/>
      <c r="L971" s="229"/>
      <c r="M971" s="229"/>
      <c r="N971" s="53"/>
    </row>
    <row r="972" spans="1:14" x14ac:dyDescent="0.2">
      <c r="A972" s="52"/>
      <c r="B972" s="27"/>
      <c r="C972" s="27"/>
      <c r="D972" s="27"/>
      <c r="E972" s="28"/>
      <c r="F972" s="28"/>
      <c r="G972" s="28"/>
      <c r="H972" s="28"/>
      <c r="I972" s="28"/>
      <c r="J972" s="229"/>
      <c r="K972" s="229"/>
      <c r="L972" s="229"/>
      <c r="M972" s="229"/>
      <c r="N972" s="53"/>
    </row>
    <row r="973" spans="1:14" x14ac:dyDescent="0.2">
      <c r="A973" s="52"/>
      <c r="B973" s="27"/>
      <c r="C973" s="27"/>
      <c r="D973" s="27"/>
      <c r="E973" s="28"/>
      <c r="F973" s="28"/>
      <c r="G973" s="28"/>
      <c r="H973" s="28"/>
      <c r="I973" s="28"/>
      <c r="J973" s="229"/>
      <c r="K973" s="229"/>
      <c r="L973" s="229"/>
      <c r="M973" s="229"/>
      <c r="N973" s="53"/>
    </row>
    <row r="974" spans="1:14" x14ac:dyDescent="0.2">
      <c r="A974" s="52"/>
      <c r="B974" s="27"/>
      <c r="C974" s="27"/>
      <c r="D974" s="27"/>
      <c r="E974" s="28"/>
      <c r="F974" s="28"/>
      <c r="G974" s="28"/>
      <c r="H974" s="28"/>
      <c r="I974" s="28"/>
      <c r="J974" s="229"/>
      <c r="K974" s="229"/>
      <c r="L974" s="229"/>
      <c r="M974" s="229"/>
      <c r="N974" s="53"/>
    </row>
    <row r="975" spans="1:14" x14ac:dyDescent="0.2">
      <c r="A975" s="52"/>
      <c r="B975" s="27"/>
      <c r="C975" s="27"/>
      <c r="D975" s="27"/>
      <c r="E975" s="28"/>
      <c r="F975" s="28"/>
      <c r="G975" s="28"/>
      <c r="H975" s="28"/>
      <c r="I975" s="28"/>
      <c r="J975" s="229"/>
      <c r="K975" s="229"/>
      <c r="L975" s="229"/>
      <c r="M975" s="229"/>
      <c r="N975" s="53"/>
    </row>
    <row r="976" spans="1:14" x14ac:dyDescent="0.2">
      <c r="A976" s="52"/>
      <c r="B976" s="27"/>
      <c r="C976" s="27"/>
      <c r="D976" s="27"/>
      <c r="E976" s="28"/>
      <c r="F976" s="28"/>
      <c r="G976" s="28"/>
      <c r="H976" s="28"/>
      <c r="I976" s="28"/>
      <c r="J976" s="229"/>
      <c r="K976" s="229"/>
      <c r="L976" s="229"/>
      <c r="M976" s="229"/>
      <c r="N976" s="53"/>
    </row>
    <row r="977" spans="1:14" x14ac:dyDescent="0.2">
      <c r="A977" s="52"/>
      <c r="B977" s="27"/>
      <c r="C977" s="27"/>
      <c r="D977" s="27"/>
      <c r="E977" s="28"/>
      <c r="F977" s="28"/>
      <c r="G977" s="28"/>
      <c r="H977" s="28"/>
      <c r="I977" s="28"/>
      <c r="J977" s="229"/>
      <c r="K977" s="229"/>
      <c r="L977" s="229"/>
      <c r="M977" s="229"/>
      <c r="N977" s="53"/>
    </row>
    <row r="978" spans="1:14" x14ac:dyDescent="0.2">
      <c r="A978" s="52"/>
      <c r="B978" s="27"/>
      <c r="C978" s="27"/>
      <c r="D978" s="27"/>
      <c r="E978" s="28"/>
      <c r="F978" s="28"/>
      <c r="G978" s="28"/>
      <c r="H978" s="28"/>
      <c r="I978" s="28"/>
      <c r="J978" s="229"/>
      <c r="K978" s="229"/>
      <c r="L978" s="229"/>
      <c r="M978" s="229"/>
      <c r="N978" s="53"/>
    </row>
    <row r="979" spans="1:14" x14ac:dyDescent="0.2">
      <c r="A979" s="52"/>
      <c r="B979" s="27"/>
      <c r="C979" s="27"/>
      <c r="D979" s="27"/>
      <c r="E979" s="28"/>
      <c r="F979" s="28"/>
      <c r="G979" s="28"/>
      <c r="H979" s="28"/>
      <c r="I979" s="28"/>
      <c r="J979" s="229"/>
      <c r="K979" s="229"/>
      <c r="L979" s="229"/>
      <c r="M979" s="229"/>
      <c r="N979" s="53"/>
    </row>
    <row r="980" spans="1:14" x14ac:dyDescent="0.2">
      <c r="A980" s="52"/>
      <c r="B980" s="27"/>
      <c r="C980" s="27"/>
      <c r="D980" s="27"/>
      <c r="E980" s="28"/>
      <c r="F980" s="28"/>
      <c r="G980" s="28"/>
      <c r="H980" s="28"/>
      <c r="I980" s="28"/>
      <c r="J980" s="229"/>
      <c r="K980" s="229"/>
      <c r="L980" s="229"/>
      <c r="M980" s="229"/>
      <c r="N980" s="53"/>
    </row>
    <row r="981" spans="1:14" x14ac:dyDescent="0.2">
      <c r="A981" s="52"/>
      <c r="B981" s="27"/>
      <c r="C981" s="27"/>
      <c r="D981" s="27"/>
      <c r="E981" s="28"/>
      <c r="F981" s="28"/>
      <c r="G981" s="28"/>
      <c r="H981" s="28"/>
      <c r="I981" s="28"/>
      <c r="J981" s="229"/>
      <c r="K981" s="229"/>
      <c r="L981" s="229"/>
      <c r="M981" s="229"/>
      <c r="N981" s="53"/>
    </row>
    <row r="982" spans="1:14" x14ac:dyDescent="0.2">
      <c r="A982" s="52"/>
      <c r="B982" s="27"/>
      <c r="C982" s="27"/>
      <c r="D982" s="27"/>
      <c r="E982" s="28"/>
      <c r="F982" s="28"/>
      <c r="G982" s="28"/>
      <c r="H982" s="28"/>
      <c r="I982" s="28"/>
      <c r="J982" s="229"/>
      <c r="K982" s="229"/>
      <c r="L982" s="229"/>
      <c r="M982" s="229"/>
      <c r="N982" s="53"/>
    </row>
  </sheetData>
  <customSheetViews>
    <customSheetView guid="{3C76061C-A85D-4390-B9DB-73E13038638C}" showPageBreaks="1" showGridLines="0" view="pageLayout" topLeftCell="A73">
      <selection activeCell="M51" sqref="M51"/>
      <rowBreaks count="13" manualBreakCount="13">
        <brk id="31" max="14" man="1"/>
        <brk id="69" max="16383" man="1"/>
        <brk id="185" max="13" man="1"/>
        <brk id="281" max="16383" man="1"/>
        <brk id="331" max="16383" man="1"/>
        <brk id="370" max="16383" man="1"/>
        <brk id="428" max="16383" man="1"/>
        <brk id="480" max="16383" man="1"/>
        <brk id="705" max="16383" man="1"/>
        <brk id="813" max="16383" man="1"/>
        <brk id="846" max="13" man="1"/>
        <brk id="879" max="16383" man="1"/>
        <brk id="982" max="16383" man="1"/>
      </rowBreaks>
      <pageMargins left="0.28125" right="0.25" top="0.6692913385826772" bottom="0.70866141732283472" header="0.23622047244094491" footer="0.47244094488188981"/>
      <printOptions horizontalCentered="1"/>
      <pageSetup paperSize="9"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 guid="{777CFE61-6F99-11D9-974B-0050BFD074B6}" printArea="1" hiddenRows="1" hiddenColumns="1" showRuler="0">
      <selection activeCell="K14" sqref="K14:N18"/>
      <pageMargins left="0" right="0" top="0" bottom="0" header="0.19685039370078741" footer="0.19685039370078741"/>
      <pageSetup paperSize="9" orientation="portrait" horizontalDpi="300" verticalDpi="300" r:id="rId2"/>
      <headerFooter alignWithMargins="0"/>
    </customSheetView>
    <customSheetView guid="{95D45CB7-1E39-11D6-AFD7-008048E20DDD}" showRuler="0">
      <selection activeCell="P2" sqref="P2"/>
      <pageMargins left="0" right="0" top="0" bottom="0" header="0.19685039370078741" footer="0.19685039370078741"/>
      <pageSetup paperSize="9" orientation="portrait" r:id="rId3"/>
      <headerFooter alignWithMargins="0"/>
    </customSheetView>
  </customSheetViews>
  <mergeCells count="298">
    <mergeCell ref="C435:N436"/>
    <mergeCell ref="B455:D455"/>
    <mergeCell ref="B454:D454"/>
    <mergeCell ref="B553:D553"/>
    <mergeCell ref="B460:M460"/>
    <mergeCell ref="C487:N488"/>
    <mergeCell ref="B493:D493"/>
    <mergeCell ref="B495:D495"/>
    <mergeCell ref="B541:M541"/>
    <mergeCell ref="B494:D494"/>
    <mergeCell ref="B552:D552"/>
    <mergeCell ref="C544:N546"/>
    <mergeCell ref="C519:N521"/>
    <mergeCell ref="B516:M516"/>
    <mergeCell ref="B469:D469"/>
    <mergeCell ref="B470:D470"/>
    <mergeCell ref="B551:D551"/>
    <mergeCell ref="B512:D512"/>
    <mergeCell ref="B513:D513"/>
    <mergeCell ref="B843:D843"/>
    <mergeCell ref="B793:D793"/>
    <mergeCell ref="B829:D829"/>
    <mergeCell ref="B742:D742"/>
    <mergeCell ref="C820:N821"/>
    <mergeCell ref="B554:D554"/>
    <mergeCell ref="B569:D569"/>
    <mergeCell ref="B568:D568"/>
    <mergeCell ref="C660:N663"/>
    <mergeCell ref="B667:D667"/>
    <mergeCell ref="B739:D739"/>
    <mergeCell ref="B668:D668"/>
    <mergeCell ref="B624:D624"/>
    <mergeCell ref="B627:D627"/>
    <mergeCell ref="B783:M783"/>
    <mergeCell ref="B557:M557"/>
    <mergeCell ref="C560:N562"/>
    <mergeCell ref="B811:D811"/>
    <mergeCell ref="B728:M728"/>
    <mergeCell ref="B725:D725"/>
    <mergeCell ref="B687:D687"/>
    <mergeCell ref="C694:N696"/>
    <mergeCell ref="B701:D701"/>
    <mergeCell ref="B586:D586"/>
    <mergeCell ref="B968:D968"/>
    <mergeCell ref="B953:D953"/>
    <mergeCell ref="B703:D703"/>
    <mergeCell ref="B587:D587"/>
    <mergeCell ref="B891:D891"/>
    <mergeCell ref="C886:N887"/>
    <mergeCell ref="B832:M832"/>
    <mergeCell ref="B850:M850"/>
    <mergeCell ref="B859:D859"/>
    <mergeCell ref="B702:D702"/>
    <mergeCell ref="B828:D828"/>
    <mergeCell ref="B778:D778"/>
    <mergeCell ref="B724:D724"/>
    <mergeCell ref="B691:M691"/>
    <mergeCell ref="B860:D860"/>
    <mergeCell ref="C853:N855"/>
    <mergeCell ref="B842:D842"/>
    <mergeCell ref="B794:D794"/>
    <mergeCell ref="B792:D792"/>
    <mergeCell ref="C786:N787"/>
    <mergeCell ref="B809:D809"/>
    <mergeCell ref="B810:D810"/>
    <mergeCell ref="C835:N837"/>
    <mergeCell ref="B893:D893"/>
    <mergeCell ref="B892:D892"/>
    <mergeCell ref="C868:N871"/>
    <mergeCell ref="B883:M883"/>
    <mergeCell ref="B865:M865"/>
    <mergeCell ref="B919:D919"/>
    <mergeCell ref="B918:D918"/>
    <mergeCell ref="C913:N914"/>
    <mergeCell ref="B907:D907"/>
    <mergeCell ref="B896:M896"/>
    <mergeCell ref="B967:D967"/>
    <mergeCell ref="B956:M956"/>
    <mergeCell ref="C959:N962"/>
    <mergeCell ref="C899:N901"/>
    <mergeCell ref="B921:D921"/>
    <mergeCell ref="B817:M817"/>
    <mergeCell ref="B844:D844"/>
    <mergeCell ref="B966:D966"/>
    <mergeCell ref="B910:M910"/>
    <mergeCell ref="B861:D861"/>
    <mergeCell ref="B951:D951"/>
    <mergeCell ref="B940:M940"/>
    <mergeCell ref="C943:N945"/>
    <mergeCell ref="B922:D922"/>
    <mergeCell ref="B920:D920"/>
    <mergeCell ref="B950:D950"/>
    <mergeCell ref="B876:D876"/>
    <mergeCell ref="B904:D904"/>
    <mergeCell ref="B905:D905"/>
    <mergeCell ref="B877:D877"/>
    <mergeCell ref="B827:D827"/>
    <mergeCell ref="B826:D826"/>
    <mergeCell ref="B875:D875"/>
    <mergeCell ref="B862:D862"/>
    <mergeCell ref="C770:N772"/>
    <mergeCell ref="B780:D780"/>
    <mergeCell ref="B631:M631"/>
    <mergeCell ref="B584:D584"/>
    <mergeCell ref="B510:D510"/>
    <mergeCell ref="B643:D643"/>
    <mergeCell ref="B686:D686"/>
    <mergeCell ref="B674:M674"/>
    <mergeCell ref="B472:D472"/>
    <mergeCell ref="B570:D570"/>
    <mergeCell ref="B573:M573"/>
    <mergeCell ref="C576:N578"/>
    <mergeCell ref="B669:D669"/>
    <mergeCell ref="B499:M499"/>
    <mergeCell ref="B511:D511"/>
    <mergeCell ref="B626:D626"/>
    <mergeCell ref="B756:D756"/>
    <mergeCell ref="B758:D758"/>
    <mergeCell ref="B642:D642"/>
    <mergeCell ref="C618:N619"/>
    <mergeCell ref="B615:M615"/>
    <mergeCell ref="C677:N680"/>
    <mergeCell ref="B641:D641"/>
    <mergeCell ref="C634:N635"/>
    <mergeCell ref="B601:M601"/>
    <mergeCell ref="B612:D612"/>
    <mergeCell ref="B374:M374"/>
    <mergeCell ref="B327:D327"/>
    <mergeCell ref="B443:D443"/>
    <mergeCell ref="C463:N465"/>
    <mergeCell ref="B446:M446"/>
    <mergeCell ref="C449:N450"/>
    <mergeCell ref="B404:D404"/>
    <mergeCell ref="B432:M432"/>
    <mergeCell ref="B442:D442"/>
    <mergeCell ref="B387:D387"/>
    <mergeCell ref="B407:M407"/>
    <mergeCell ref="B610:D610"/>
    <mergeCell ref="B567:D567"/>
    <mergeCell ref="B609:D609"/>
    <mergeCell ref="B401:D401"/>
    <mergeCell ref="B456:D456"/>
    <mergeCell ref="B441:D441"/>
    <mergeCell ref="B471:D471"/>
    <mergeCell ref="B402:D402"/>
    <mergeCell ref="B419:D419"/>
    <mergeCell ref="B416:D416"/>
    <mergeCell ref="B384:D384"/>
    <mergeCell ref="C393:N396"/>
    <mergeCell ref="B233:D233"/>
    <mergeCell ref="C206:N209"/>
    <mergeCell ref="C288:N291"/>
    <mergeCell ref="B276:D276"/>
    <mergeCell ref="B232:D232"/>
    <mergeCell ref="B390:M390"/>
    <mergeCell ref="B258:D258"/>
    <mergeCell ref="C377:N378"/>
    <mergeCell ref="B273:D273"/>
    <mergeCell ref="B346:D346"/>
    <mergeCell ref="C306:N308"/>
    <mergeCell ref="B313:D313"/>
    <mergeCell ref="B257:D257"/>
    <mergeCell ref="B256:D256"/>
    <mergeCell ref="B383:D383"/>
    <mergeCell ref="B296:D296"/>
    <mergeCell ref="B385:D385"/>
    <mergeCell ref="B2:M2"/>
    <mergeCell ref="B5:M5"/>
    <mergeCell ref="B68:D68"/>
    <mergeCell ref="C224:N227"/>
    <mergeCell ref="B221:M221"/>
    <mergeCell ref="B216:D216"/>
    <mergeCell ref="B217:D217"/>
    <mergeCell ref="B231:D231"/>
    <mergeCell ref="B111:D111"/>
    <mergeCell ref="B29:D29"/>
    <mergeCell ref="B14:D14"/>
    <mergeCell ref="B15:D15"/>
    <mergeCell ref="B16:D16"/>
    <mergeCell ref="B28:D28"/>
    <mergeCell ref="B20:M20"/>
    <mergeCell ref="B40:M40"/>
    <mergeCell ref="B54:D54"/>
    <mergeCell ref="C60:N62"/>
    <mergeCell ref="B66:D66"/>
    <mergeCell ref="B57:M57"/>
    <mergeCell ref="B51:D51"/>
    <mergeCell ref="B52:D52"/>
    <mergeCell ref="B53:D53"/>
    <mergeCell ref="B65:D65"/>
    <mergeCell ref="B71:M71"/>
    <mergeCell ref="C151:N157"/>
    <mergeCell ref="B188:M188"/>
    <mergeCell ref="B163:D163"/>
    <mergeCell ref="B162:D162"/>
    <mergeCell ref="B143:D143"/>
    <mergeCell ref="B99:D99"/>
    <mergeCell ref="C171:N174"/>
    <mergeCell ref="B180:D180"/>
    <mergeCell ref="B181:D181"/>
    <mergeCell ref="B97:D97"/>
    <mergeCell ref="C90:N92"/>
    <mergeCell ref="B98:D98"/>
    <mergeCell ref="B144:D144"/>
    <mergeCell ref="B147:M147"/>
    <mergeCell ref="B103:M103"/>
    <mergeCell ref="C106:N107"/>
    <mergeCell ref="B112:D112"/>
    <mergeCell ref="B114:D114"/>
    <mergeCell ref="B168:M168"/>
    <mergeCell ref="B82:D82"/>
    <mergeCell ref="B199:D199"/>
    <mergeCell ref="B182:D182"/>
    <mergeCell ref="C191:N193"/>
    <mergeCell ref="B134:M134"/>
    <mergeCell ref="C137:N138"/>
    <mergeCell ref="B234:D234"/>
    <mergeCell ref="B298:D298"/>
    <mergeCell ref="B246:M246"/>
    <mergeCell ref="C149:N150"/>
    <mergeCell ref="B200:D200"/>
    <mergeCell ref="B261:M261"/>
    <mergeCell ref="B274:D274"/>
    <mergeCell ref="C264:N267"/>
    <mergeCell ref="B297:D297"/>
    <mergeCell ref="C249:N251"/>
    <mergeCell ref="C43:N46"/>
    <mergeCell ref="C8:N9"/>
    <mergeCell ref="B745:M745"/>
    <mergeCell ref="B755:D755"/>
    <mergeCell ref="B31:D31"/>
    <mergeCell ref="C23:N25"/>
    <mergeCell ref="B84:D84"/>
    <mergeCell ref="B183:D183"/>
    <mergeCell ref="B87:M87"/>
    <mergeCell ref="B83:D83"/>
    <mergeCell ref="B363:D363"/>
    <mergeCell ref="B345:D345"/>
    <mergeCell ref="B350:M350"/>
    <mergeCell ref="B347:D347"/>
    <mergeCell ref="B328:D328"/>
    <mergeCell ref="B344:D344"/>
    <mergeCell ref="B362:D362"/>
    <mergeCell ref="C353:N358"/>
    <mergeCell ref="B335:M335"/>
    <mergeCell ref="B275:D275"/>
    <mergeCell ref="C320:N321"/>
    <mergeCell ref="B67:D67"/>
    <mergeCell ref="B164:D164"/>
    <mergeCell ref="B165:D165"/>
    <mergeCell ref="B812:D812"/>
    <mergeCell ref="B585:D585"/>
    <mergeCell ref="B740:D740"/>
    <mergeCell ref="C338:N339"/>
    <mergeCell ref="B688:D688"/>
    <mergeCell ref="C800:N805"/>
    <mergeCell ref="B723:D723"/>
    <mergeCell ref="B797:M797"/>
    <mergeCell ref="B779:D779"/>
    <mergeCell ref="C604:N605"/>
    <mergeCell ref="C714:N716"/>
    <mergeCell ref="C731:N734"/>
    <mergeCell ref="B657:M657"/>
    <mergeCell ref="C748:N750"/>
    <mergeCell ref="B777:D777"/>
    <mergeCell ref="B722:D722"/>
    <mergeCell ref="B670:D670"/>
    <mergeCell ref="B704:D704"/>
    <mergeCell ref="B528:D528"/>
    <mergeCell ref="C502:N505"/>
    <mergeCell ref="B496:D496"/>
    <mergeCell ref="C410:N411"/>
    <mergeCell ref="B527:D527"/>
    <mergeCell ref="B484:M484"/>
    <mergeCell ref="B791:D791"/>
    <mergeCell ref="B741:D741"/>
    <mergeCell ref="B526:D526"/>
    <mergeCell ref="B525:D525"/>
    <mergeCell ref="B215:D215"/>
    <mergeCell ref="C74:N78"/>
    <mergeCell ref="B141:D141"/>
    <mergeCell ref="B417:D417"/>
    <mergeCell ref="B418:D418"/>
    <mergeCell ref="B767:M767"/>
    <mergeCell ref="B625:D625"/>
    <mergeCell ref="B640:D640"/>
    <mergeCell ref="B711:M711"/>
    <mergeCell ref="B685:D685"/>
    <mergeCell ref="B203:M203"/>
    <mergeCell ref="B314:D314"/>
    <mergeCell ref="B326:D326"/>
    <mergeCell ref="B214:D214"/>
    <mergeCell ref="B317:M317"/>
    <mergeCell ref="B303:M303"/>
    <mergeCell ref="B285:M285"/>
    <mergeCell ref="B198:D198"/>
    <mergeCell ref="B100:D100"/>
    <mergeCell ref="B142:D142"/>
  </mergeCells>
  <phoneticPr fontId="0" type="noConversion"/>
  <hyperlinks>
    <hyperlink ref="B40:M40" r:id="rId4" display="Crowne Plaza" xr:uid="{00000000-0004-0000-0600-000000000000}"/>
    <hyperlink ref="B374:M374" r:id="rId5" display="Astor" xr:uid="{00000000-0004-0000-0600-000001000000}"/>
    <hyperlink ref="B71:M71" r:id="rId6" display="Divani Apollon Palace" xr:uid="{00000000-0004-0000-0600-000002000000}"/>
    <hyperlink ref="B350:M350" r:id="rId7" display="Amalia" xr:uid="{00000000-0004-0000-0600-000003000000}"/>
    <hyperlink ref="B541:M541" r:id="rId8" display="Golden Age" xr:uid="{00000000-0004-0000-0600-000004000000}"/>
    <hyperlink ref="B691:M691" r:id="rId9" display="Stanley" xr:uid="{00000000-0004-0000-0600-000005000000}"/>
    <hyperlink ref="B5:M5" r:id="rId10" display="Astir Palace - The Westin Athens" xr:uid="{00000000-0004-0000-0600-000006000000}"/>
    <hyperlink ref="B221:M221" r:id="rId11" display="NJV Athens Plaza" xr:uid="{00000000-0004-0000-0600-000007000000}"/>
    <hyperlink ref="B20:M20" r:id="rId12" display="Attica Holiday Inn" xr:uid="{00000000-0004-0000-0600-000008000000}"/>
    <hyperlink ref="B134:M134" r:id="rId13" display="Electra Palace" xr:uid="{00000000-0004-0000-0600-000009000000}"/>
    <hyperlink ref="B745:M745" r:id="rId14" display="Classical Vouliagmeni Suites" xr:uid="{00000000-0004-0000-0600-00000A000000}"/>
    <hyperlink ref="B57:M57" r:id="rId15" display="Divani Palace Acropolis" xr:uid="{00000000-0004-0000-0600-00000B000000}"/>
    <hyperlink ref="B87:M87" r:id="rId16" display="Divani Caravel" xr:uid="{00000000-0004-0000-0600-00000C000000}"/>
    <hyperlink ref="B147:M147" r:id="rId17" display="Grand Resort Lagonissi" xr:uid="{00000000-0004-0000-0600-00000D000000}"/>
    <hyperlink ref="B168:M168" r:id="rId18" display="Grecotel Cape Sounio" xr:uid="{00000000-0004-0000-0600-00000E000000}"/>
    <hyperlink ref="B188:M188" r:id="rId19" display="Hilton" xr:uid="{00000000-0004-0000-0600-00000F000000}"/>
    <hyperlink ref="B203:M203" r:id="rId20" display="Margi" xr:uid="{00000000-0004-0000-0600-000010000000}"/>
    <hyperlink ref="B246:M246" r:id="rId21" display="Plaza Resort" xr:uid="{00000000-0004-0000-0600-000011000000}"/>
    <hyperlink ref="B261:M261" r:id="rId22" display="Royal Olympic" xr:uid="{00000000-0004-0000-0600-000012000000}"/>
    <hyperlink ref="B285:M285" r:id="rId23" display="St George Lycabettus" xr:uid="{00000000-0004-0000-0600-000013000000}"/>
    <hyperlink ref="B303:M303" r:id="rId24" display="Sofitel Athens Airport Hotel" xr:uid="{00000000-0004-0000-0600-000014000000}"/>
    <hyperlink ref="B317:M317" r:id="rId25" display="Aegeon Beach" xr:uid="{00000000-0004-0000-0600-000015000000}"/>
    <hyperlink ref="B335:M335" r:id="rId26" display="Alexandros - Airotel" xr:uid="{00000000-0004-0000-0600-000016000000}"/>
    <hyperlink ref="B390:M390" r:id="rId27" display="Athenian Callirhoe Exclusive Hotel" xr:uid="{00000000-0004-0000-0600-000017000000}"/>
    <hyperlink ref="B432:M432" r:id="rId28" display="Athens Gate " xr:uid="{00000000-0004-0000-0600-000018000000}"/>
    <hyperlink ref="B446:M446" r:id="rId29" display="Athens Lotus" xr:uid="{00000000-0004-0000-0600-000019000000}"/>
    <hyperlink ref="B460:M460" r:id="rId30" display="Coral " xr:uid="{00000000-0004-0000-0600-00001A000000}"/>
    <hyperlink ref="B484:M484" r:id="rId31" display="Electra (Ermou)" xr:uid="{00000000-0004-0000-0600-00001B000000}"/>
    <hyperlink ref="B499:M499" r:id="rId32" display="Emmantina" xr:uid="{00000000-0004-0000-0600-00001C000000}"/>
    <hyperlink ref="B516:M516" r:id="rId33" display="Fenix - Best Western" xr:uid="{00000000-0004-0000-0600-00001D000000}"/>
    <hyperlink ref="B557:M557" r:id="rId34" display="Herodion " xr:uid="{00000000-0004-0000-0600-00001E000000}"/>
    <hyperlink ref="B573:M573" r:id="rId35" display="Holiday Suites" xr:uid="{00000000-0004-0000-0600-00001F000000}"/>
    <hyperlink ref="B615:M615" r:id="rId36" display="Parthenon - Airotel" xr:uid="{00000000-0004-0000-0600-000020000000}"/>
    <hyperlink ref="B631:M631" r:id="rId37" display="Polis Grand" xr:uid="{00000000-0004-0000-0600-000021000000}"/>
    <hyperlink ref="B674:M674" r:id="rId38" display="President" xr:uid="{00000000-0004-0000-0600-000022000000}"/>
    <hyperlink ref="B711:M711" r:id="rId39" display="Stratos Vassilikos - Airotel" xr:uid="{00000000-0004-0000-0600-000023000000}"/>
    <hyperlink ref="B728:M728" r:id="rId40" display="Titania" xr:uid="{00000000-0004-0000-0600-000024000000}"/>
    <hyperlink ref="B767:M767" r:id="rId41" display="Zafolia" xr:uid="{00000000-0004-0000-0600-000025000000}"/>
    <hyperlink ref="B783:M783" r:id="rId42" display="Acropolis Select" xr:uid="{00000000-0004-0000-0600-000026000000}"/>
    <hyperlink ref="B797:M797" r:id="rId43" display="Arethusa" xr:uid="{00000000-0004-0000-0600-000027000000}"/>
    <hyperlink ref="B407:M407" r:id="rId44" display="Athens Cypria" xr:uid="{00000000-0004-0000-0600-000028000000}"/>
    <hyperlink ref="B817:M817" r:id="rId45" display="Best Western Museum" xr:uid="{00000000-0004-0000-0600-000029000000}"/>
    <hyperlink ref="B832:M832" r:id="rId46" display="Best Western Pythagorion" xr:uid="{00000000-0004-0000-0600-00002A000000}"/>
    <hyperlink ref="B850:M850" r:id="rId47" display="Dorian Inn" xr:uid="{00000000-0004-0000-0600-00002B000000}"/>
    <hyperlink ref="B865:M865" r:id="rId48" display="Jason Inn" xr:uid="{00000000-0004-0000-0600-00002C000000}"/>
    <hyperlink ref="B883:M883" r:id="rId49" display="London" xr:uid="{00000000-0004-0000-0600-00002D000000}"/>
    <hyperlink ref="B896:M896" r:id="rId50" display="Oscar" xr:uid="{00000000-0004-0000-0600-00002E000000}"/>
    <hyperlink ref="B910:M910" r:id="rId51" display="Philippos" xr:uid="{00000000-0004-0000-0600-00002F000000}"/>
    <hyperlink ref="B940:M940" r:id="rId52" display="Plaka" xr:uid="{00000000-0004-0000-0600-000030000000}"/>
    <hyperlink ref="B956:M956" r:id="rId53" display="Savoy" xr:uid="{00000000-0004-0000-0600-000031000000}"/>
    <hyperlink ref="B657:M657" r:id="rId54" display="Poseidon" xr:uid="{00000000-0004-0000-0600-000032000000}"/>
    <hyperlink ref="B601:M601" r:id="rId55" display="Novus" xr:uid="{00000000-0004-0000-0600-000033000000}"/>
    <hyperlink ref="B103:M103" r:id="rId56" display="Electra Metropolis" xr:uid="{00000000-0004-0000-0600-000034000000}"/>
  </hyperlinks>
  <printOptions horizontalCentered="1"/>
  <pageMargins left="0.28125" right="0.25" top="0.6692913385826772" bottom="0.70866141732283472" header="0.23622047244094491" footer="0.47244094488188981"/>
  <pageSetup paperSize="9" orientation="portrait" useFirstPageNumber="1" horizontalDpi="300" verticalDpi="300" r:id="rId57"/>
  <headerFooter scaleWithDoc="0" alignWithMargins="0">
    <oddHeader xml:space="preserve">&amp;C TARIFF 2021
 (EURO)
</oddHeader>
    <oddFooter>&amp;LAll rates are in EURO&amp;C
TARIFF 2021
&amp;RPage &amp;P</oddFooter>
  </headerFooter>
  <rowBreaks count="13" manualBreakCount="13">
    <brk id="31" max="14" man="1"/>
    <brk id="69" max="16383" man="1"/>
    <brk id="185" max="13" man="1"/>
    <brk id="281" max="16383" man="1"/>
    <brk id="331" max="16383" man="1"/>
    <brk id="370" max="16383" man="1"/>
    <brk id="428" max="16383" man="1"/>
    <brk id="480" max="16383" man="1"/>
    <brk id="705" max="16383" man="1"/>
    <brk id="813" max="16383" man="1"/>
    <brk id="846" max="13" man="1"/>
    <brk id="879" max="16383" man="1"/>
    <brk id="982" max="16383" man="1"/>
  </rowBreaks>
  <webPublishItems count="1">
    <webPublishItem id="7229" divId="Book1_7229" sourceType="sheet" destinationFile="D:\Projects\Ovadias\Σελίδα.htm"/>
  </webPublishItem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15"/>
  <sheetViews>
    <sheetView showGridLines="0" view="pageLayout" workbookViewId="0">
      <selection activeCell="M53" sqref="M53"/>
    </sheetView>
  </sheetViews>
  <sheetFormatPr defaultRowHeight="12.75" x14ac:dyDescent="0.2"/>
  <cols>
    <col min="1" max="1" width="1.85546875" style="68" customWidth="1"/>
    <col min="2" max="3" width="10.7109375" style="68" customWidth="1"/>
    <col min="4" max="9" width="3.7109375" style="68" customWidth="1"/>
    <col min="10" max="13" width="10.7109375" style="68" customWidth="1"/>
    <col min="14" max="14" width="12.28515625" style="68" customWidth="1"/>
    <col min="15" max="16384" width="9.140625" style="68"/>
  </cols>
  <sheetData>
    <row r="1" spans="1:14" x14ac:dyDescent="0.2">
      <c r="A1" s="20"/>
      <c r="B1" s="21"/>
      <c r="C1" s="21"/>
      <c r="D1" s="21"/>
      <c r="E1" s="22"/>
      <c r="F1" s="22"/>
      <c r="G1" s="22"/>
      <c r="H1" s="22"/>
      <c r="I1" s="22"/>
      <c r="J1" s="22"/>
      <c r="K1" s="22"/>
      <c r="L1" s="22"/>
      <c r="M1" s="22"/>
      <c r="N1" s="23"/>
    </row>
    <row r="2" spans="1:14" ht="15" x14ac:dyDescent="0.2">
      <c r="A2" s="24"/>
      <c r="B2" s="440" t="s">
        <v>469</v>
      </c>
      <c r="C2" s="441"/>
      <c r="D2" s="441"/>
      <c r="E2" s="441"/>
      <c r="F2" s="441"/>
      <c r="G2" s="441"/>
      <c r="H2" s="441"/>
      <c r="I2" s="441"/>
      <c r="J2" s="441"/>
      <c r="K2" s="441"/>
      <c r="L2" s="441"/>
      <c r="M2" s="442"/>
      <c r="N2" s="25" t="s">
        <v>664</v>
      </c>
    </row>
    <row r="3" spans="1:14" x14ac:dyDescent="0.2">
      <c r="A3" s="24"/>
      <c r="B3" s="26" t="s">
        <v>428</v>
      </c>
      <c r="C3" s="27" t="s">
        <v>631</v>
      </c>
      <c r="D3" s="27"/>
      <c r="E3" s="28"/>
      <c r="F3" s="28"/>
      <c r="G3" s="28"/>
      <c r="H3" s="28"/>
      <c r="I3" s="28"/>
      <c r="J3" s="28"/>
      <c r="K3" s="28"/>
      <c r="L3" s="28"/>
      <c r="M3" s="28"/>
      <c r="N3" s="29"/>
    </row>
    <row r="4" spans="1:14" x14ac:dyDescent="0.2">
      <c r="A4" s="24"/>
      <c r="B4" s="26" t="s">
        <v>429</v>
      </c>
      <c r="C4" s="27" t="s">
        <v>889</v>
      </c>
      <c r="D4" s="27"/>
      <c r="E4" s="28"/>
      <c r="F4" s="28"/>
      <c r="G4" s="28"/>
      <c r="H4" s="28"/>
      <c r="I4" s="28"/>
      <c r="J4" s="28"/>
      <c r="K4" s="28"/>
      <c r="L4" s="28"/>
      <c r="M4" s="28"/>
      <c r="N4" s="29"/>
    </row>
    <row r="5" spans="1:14" ht="12.75" customHeight="1" x14ac:dyDescent="0.2">
      <c r="A5" s="24"/>
      <c r="B5" s="26" t="s">
        <v>427</v>
      </c>
      <c r="C5" s="436" t="s">
        <v>653</v>
      </c>
      <c r="D5" s="436"/>
      <c r="E5" s="436"/>
      <c r="F5" s="436"/>
      <c r="G5" s="436"/>
      <c r="H5" s="436"/>
      <c r="I5" s="436"/>
      <c r="J5" s="436"/>
      <c r="K5" s="436"/>
      <c r="L5" s="436"/>
      <c r="M5" s="436"/>
      <c r="N5" s="437"/>
    </row>
    <row r="6" spans="1:14" x14ac:dyDescent="0.2">
      <c r="A6" s="24"/>
      <c r="B6" s="15"/>
      <c r="C6" s="436"/>
      <c r="D6" s="436"/>
      <c r="E6" s="436"/>
      <c r="F6" s="436"/>
      <c r="G6" s="436"/>
      <c r="H6" s="436"/>
      <c r="I6" s="436"/>
      <c r="J6" s="436"/>
      <c r="K6" s="436"/>
      <c r="L6" s="436"/>
      <c r="M6" s="436"/>
      <c r="N6" s="437"/>
    </row>
    <row r="7" spans="1:14" x14ac:dyDescent="0.2">
      <c r="A7" s="24"/>
      <c r="B7" s="26" t="s">
        <v>426</v>
      </c>
      <c r="C7" s="27"/>
      <c r="D7" s="27"/>
      <c r="E7" s="28"/>
      <c r="F7" s="28"/>
      <c r="G7" s="28"/>
      <c r="H7" s="28"/>
      <c r="I7" s="28"/>
      <c r="J7" s="28"/>
      <c r="K7" s="28"/>
      <c r="L7" s="28"/>
      <c r="M7" s="28"/>
      <c r="N7" s="29"/>
    </row>
    <row r="8" spans="1:14" ht="13.5" thickBot="1" x14ac:dyDescent="0.25">
      <c r="A8" s="30"/>
      <c r="B8" s="26" t="s">
        <v>430</v>
      </c>
      <c r="C8" s="31"/>
      <c r="D8" s="31"/>
      <c r="E8" s="32"/>
      <c r="F8" s="32"/>
      <c r="G8" s="32"/>
      <c r="H8" s="32"/>
      <c r="I8" s="32"/>
      <c r="J8" s="32"/>
      <c r="K8" s="32"/>
      <c r="L8" s="32"/>
      <c r="M8" s="32"/>
      <c r="N8" s="33"/>
    </row>
    <row r="9" spans="1:14" x14ac:dyDescent="0.2">
      <c r="A9" s="24"/>
      <c r="B9" s="21" t="s">
        <v>263</v>
      </c>
      <c r="C9" s="27"/>
      <c r="D9" s="27"/>
      <c r="E9" s="28"/>
      <c r="F9" s="28"/>
      <c r="G9" s="28"/>
      <c r="H9" s="28"/>
      <c r="I9" s="28"/>
      <c r="J9" s="67" t="s">
        <v>339</v>
      </c>
      <c r="K9" s="63" t="s">
        <v>1931</v>
      </c>
      <c r="L9" s="63"/>
      <c r="M9" s="63"/>
      <c r="N9" s="63"/>
    </row>
    <row r="10" spans="1:14" ht="13.5" thickBot="1" x14ac:dyDescent="0.25">
      <c r="A10" s="30"/>
      <c r="B10" s="31"/>
      <c r="C10" s="31"/>
      <c r="D10" s="31"/>
      <c r="E10" s="32"/>
      <c r="F10" s="32"/>
      <c r="G10" s="32"/>
      <c r="H10" s="32"/>
      <c r="I10" s="32"/>
      <c r="J10" s="49" t="s">
        <v>481</v>
      </c>
      <c r="K10" s="40" t="s">
        <v>832</v>
      </c>
      <c r="L10" s="40" t="s">
        <v>1932</v>
      </c>
      <c r="M10" s="40"/>
      <c r="N10" s="40"/>
    </row>
    <row r="11" spans="1:14" x14ac:dyDescent="0.2">
      <c r="A11" s="20"/>
      <c r="B11" s="434" t="s">
        <v>67</v>
      </c>
      <c r="C11" s="434"/>
      <c r="D11" s="434"/>
      <c r="E11" s="22"/>
      <c r="F11" s="22" t="s">
        <v>1180</v>
      </c>
      <c r="G11" s="22" t="s">
        <v>68</v>
      </c>
      <c r="H11" s="22" t="s">
        <v>702</v>
      </c>
      <c r="I11" s="28"/>
      <c r="J11" s="75">
        <f>47/ATHENS!O1*ATHENS!O2</f>
        <v>85.454545454545453</v>
      </c>
      <c r="K11" s="75">
        <f>55/ATHENS!O1*ATHENS!O2</f>
        <v>99.999999999999986</v>
      </c>
      <c r="L11" s="75">
        <f>60/ATHENS!O1*ATHENS!O2</f>
        <v>109.09090909090908</v>
      </c>
      <c r="M11" s="42"/>
      <c r="N11" s="42"/>
    </row>
    <row r="12" spans="1:14" x14ac:dyDescent="0.2">
      <c r="A12" s="24"/>
      <c r="B12" s="435" t="s">
        <v>67</v>
      </c>
      <c r="C12" s="435"/>
      <c r="D12" s="435"/>
      <c r="E12" s="28"/>
      <c r="F12" s="28" t="s">
        <v>1181</v>
      </c>
      <c r="G12" s="28" t="s">
        <v>68</v>
      </c>
      <c r="H12" s="28" t="s">
        <v>702</v>
      </c>
      <c r="I12" s="28"/>
      <c r="J12" s="75">
        <f>30/ATHENS!O1*ATHENS!O2</f>
        <v>54.54545454545454</v>
      </c>
      <c r="K12" s="75">
        <f>34/ATHENS!O1*ATHENS!O2</f>
        <v>61.818181818181813</v>
      </c>
      <c r="L12" s="75">
        <f>38/ATHENS!O1*ATHENS!O2</f>
        <v>69.090909090909079</v>
      </c>
      <c r="M12" s="44"/>
      <c r="N12" s="44"/>
    </row>
    <row r="13" spans="1:14" x14ac:dyDescent="0.2">
      <c r="A13" s="24"/>
      <c r="B13" s="435" t="s">
        <v>67</v>
      </c>
      <c r="C13" s="435"/>
      <c r="D13" s="435"/>
      <c r="E13" s="28"/>
      <c r="F13" s="28" t="s">
        <v>1182</v>
      </c>
      <c r="G13" s="28" t="s">
        <v>68</v>
      </c>
      <c r="H13" s="28" t="s">
        <v>702</v>
      </c>
      <c r="I13" s="28"/>
      <c r="J13" s="75">
        <f>24/ATHENS!O1*ATHENS!O2</f>
        <v>43.636363636363633</v>
      </c>
      <c r="K13" s="75">
        <f>26.6/ATHENS!O1*ATHENS!O2</f>
        <v>48.36363636363636</v>
      </c>
      <c r="L13" s="75">
        <f>29.5/ATHENS!O1*ATHENS!O2</f>
        <v>53.636363636363633</v>
      </c>
      <c r="M13" s="44"/>
      <c r="N13" s="44"/>
    </row>
    <row r="14" spans="1:14" ht="13.5" thickBot="1" x14ac:dyDescent="0.25">
      <c r="A14" s="30"/>
      <c r="B14" s="443"/>
      <c r="C14" s="443"/>
      <c r="D14" s="443"/>
      <c r="E14" s="32"/>
      <c r="F14" s="32"/>
      <c r="G14" s="32"/>
      <c r="H14" s="32"/>
      <c r="I14" s="32"/>
      <c r="J14" s="76"/>
      <c r="K14" s="76"/>
      <c r="L14" s="76"/>
      <c r="M14" s="46"/>
      <c r="N14" s="46"/>
    </row>
    <row r="15" spans="1:14" x14ac:dyDescent="0.2">
      <c r="A15" s="14"/>
      <c r="B15" s="18"/>
      <c r="C15" s="18"/>
      <c r="D15" s="18"/>
      <c r="E15" s="19"/>
      <c r="F15" s="19"/>
      <c r="G15" s="19"/>
      <c r="H15" s="19"/>
      <c r="I15" s="19"/>
      <c r="J15" s="19"/>
      <c r="K15" s="19"/>
      <c r="L15" s="19"/>
      <c r="M15" s="19"/>
      <c r="N15" s="19"/>
    </row>
  </sheetData>
  <customSheetViews>
    <customSheetView guid="{3C76061C-A85D-4390-B9DB-73E13038638C}" showPageBreaks="1" showGridLines="0" view="pageLayout">
      <selection activeCell="M51" sqref="M51"/>
      <pageMargins left="0.28125" right="0.25" top="0.6692913385826772" bottom="0.70866141732283472" header="0.23622047244094491" footer="0.47244094488188981"/>
      <printOptions horizontalCentered="1"/>
      <pageSetup paperSize="9" firstPageNumber="22" orientation="portrait" useFirstPageNumber="1" r:id="rId1"/>
      <headerFooter scaleWithDoc="0" alignWithMargins="0">
        <oddHeader>&amp;C TARIFF 2019
 (EURO)
Accommodation in &amp;A</oddHeader>
        <oddFooter>&amp;LAll rates are in EURO&amp;C
TARIFF 2019
&amp;RPage &amp;P</oddFooter>
      </headerFooter>
    </customSheetView>
  </customSheetViews>
  <mergeCells count="6">
    <mergeCell ref="B14:D14"/>
    <mergeCell ref="B2:M2"/>
    <mergeCell ref="C5:N6"/>
    <mergeCell ref="B11:D11"/>
    <mergeCell ref="B12:D12"/>
    <mergeCell ref="B13:D13"/>
  </mergeCells>
  <phoneticPr fontId="17" type="noConversion"/>
  <printOptions horizontalCentered="1"/>
  <pageMargins left="0.28125" right="0.25" top="0.6692913385826772" bottom="0.70866141732283472" header="0.23622047244094491" footer="0.47244094488188981"/>
  <pageSetup paperSize="9" firstPageNumber="22" orientation="portrait" useFirstPageNumber="1" r:id="rId2"/>
  <headerFooter scaleWithDoc="0" alignWithMargins="0">
    <oddHeader xml:space="preserve">&amp;C TARIFF 2021
 (EURO)
</oddHeader>
    <oddFooter>&amp;LAll rates are in EURO&amp;C
TARIFF 2021
&amp;RPage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29"/>
  <sheetViews>
    <sheetView showGridLines="0" view="pageLayout" topLeftCell="D46" workbookViewId="0">
      <selection activeCell="M53" sqref="M53"/>
    </sheetView>
  </sheetViews>
  <sheetFormatPr defaultRowHeight="12.75" x14ac:dyDescent="0.2"/>
  <cols>
    <col min="1" max="1" width="1.85546875" style="68" customWidth="1"/>
    <col min="2" max="3" width="10.7109375" style="68" customWidth="1"/>
    <col min="4" max="9" width="3.7109375" style="68" customWidth="1"/>
    <col min="10" max="14" width="10.7109375" style="68" customWidth="1"/>
    <col min="15" max="16384" width="9.140625" style="68"/>
  </cols>
  <sheetData>
    <row r="1" spans="1:14" x14ac:dyDescent="0.2">
      <c r="A1" s="20"/>
      <c r="B1" s="21"/>
      <c r="C1" s="21"/>
      <c r="D1" s="21"/>
      <c r="E1" s="22"/>
      <c r="F1" s="22"/>
      <c r="G1" s="22"/>
      <c r="H1" s="22"/>
      <c r="I1" s="22"/>
      <c r="J1" s="22"/>
      <c r="K1" s="22"/>
      <c r="L1" s="22"/>
      <c r="M1" s="22"/>
      <c r="N1" s="23"/>
    </row>
    <row r="2" spans="1:14" ht="15" x14ac:dyDescent="0.2">
      <c r="A2" s="24"/>
      <c r="B2" s="440" t="s">
        <v>387</v>
      </c>
      <c r="C2" s="441"/>
      <c r="D2" s="441"/>
      <c r="E2" s="441"/>
      <c r="F2" s="441"/>
      <c r="G2" s="441"/>
      <c r="H2" s="441"/>
      <c r="I2" s="441"/>
      <c r="J2" s="441"/>
      <c r="K2" s="441"/>
      <c r="L2" s="441"/>
      <c r="M2" s="442"/>
      <c r="N2" s="25" t="s">
        <v>96</v>
      </c>
    </row>
    <row r="3" spans="1:14" x14ac:dyDescent="0.2">
      <c r="A3" s="24"/>
      <c r="B3" s="26" t="s">
        <v>428</v>
      </c>
      <c r="C3" s="27" t="s">
        <v>388</v>
      </c>
      <c r="D3" s="27"/>
      <c r="E3" s="28"/>
      <c r="F3" s="28"/>
      <c r="G3" s="28"/>
      <c r="H3" s="28"/>
      <c r="I3" s="28"/>
      <c r="J3" s="28"/>
      <c r="K3" s="28"/>
      <c r="L3" s="28"/>
      <c r="M3" s="28"/>
      <c r="N3" s="29"/>
    </row>
    <row r="4" spans="1:14" x14ac:dyDescent="0.2">
      <c r="A4" s="24"/>
      <c r="B4" s="26" t="s">
        <v>429</v>
      </c>
      <c r="C4" s="27" t="s">
        <v>890</v>
      </c>
      <c r="D4" s="27"/>
      <c r="E4" s="28"/>
      <c r="F4" s="28"/>
      <c r="G4" s="28"/>
      <c r="H4" s="28"/>
      <c r="I4" s="28"/>
      <c r="J4" s="28"/>
      <c r="K4" s="28"/>
      <c r="L4" s="28"/>
      <c r="M4" s="28"/>
      <c r="N4" s="29"/>
    </row>
    <row r="5" spans="1:14" x14ac:dyDescent="0.2">
      <c r="A5" s="24"/>
      <c r="B5" s="26" t="s">
        <v>427</v>
      </c>
      <c r="C5" s="436" t="s">
        <v>389</v>
      </c>
      <c r="D5" s="436"/>
      <c r="E5" s="436"/>
      <c r="F5" s="436"/>
      <c r="G5" s="436"/>
      <c r="H5" s="436"/>
      <c r="I5" s="436"/>
      <c r="J5" s="436"/>
      <c r="K5" s="436"/>
      <c r="L5" s="436"/>
      <c r="M5" s="436"/>
      <c r="N5" s="437"/>
    </row>
    <row r="6" spans="1:14" x14ac:dyDescent="0.2">
      <c r="A6" s="24"/>
      <c r="B6" s="15"/>
      <c r="C6" s="436"/>
      <c r="D6" s="436"/>
      <c r="E6" s="436"/>
      <c r="F6" s="436"/>
      <c r="G6" s="436"/>
      <c r="H6" s="436"/>
      <c r="I6" s="436"/>
      <c r="J6" s="436"/>
      <c r="K6" s="436"/>
      <c r="L6" s="436"/>
      <c r="M6" s="436"/>
      <c r="N6" s="437"/>
    </row>
    <row r="7" spans="1:14" x14ac:dyDescent="0.2">
      <c r="A7" s="24"/>
      <c r="B7" s="15"/>
      <c r="C7" s="438"/>
      <c r="D7" s="438"/>
      <c r="E7" s="438"/>
      <c r="F7" s="438"/>
      <c r="G7" s="438"/>
      <c r="H7" s="438"/>
      <c r="I7" s="438"/>
      <c r="J7" s="438"/>
      <c r="K7" s="438"/>
      <c r="L7" s="438"/>
      <c r="M7" s="438"/>
      <c r="N7" s="439"/>
    </row>
    <row r="8" spans="1:14" x14ac:dyDescent="0.2">
      <c r="A8" s="24"/>
      <c r="B8" s="26" t="s">
        <v>426</v>
      </c>
      <c r="C8" s="27"/>
      <c r="D8" s="27"/>
      <c r="E8" s="28"/>
      <c r="F8" s="28"/>
      <c r="G8" s="28"/>
      <c r="H8" s="28"/>
      <c r="I8" s="28"/>
      <c r="J8" s="28"/>
      <c r="K8" s="28"/>
      <c r="L8" s="28"/>
      <c r="M8" s="28"/>
      <c r="N8" s="29"/>
    </row>
    <row r="9" spans="1:14" ht="13.5" thickBot="1" x14ac:dyDescent="0.25">
      <c r="A9" s="30"/>
      <c r="B9" s="26" t="s">
        <v>430</v>
      </c>
      <c r="C9" s="31"/>
      <c r="D9" s="31"/>
      <c r="E9" s="32"/>
      <c r="F9" s="32"/>
      <c r="G9" s="32"/>
      <c r="H9" s="32"/>
      <c r="I9" s="32"/>
      <c r="J9" s="32"/>
      <c r="K9" s="32"/>
      <c r="L9" s="32"/>
      <c r="M9" s="32"/>
      <c r="N9" s="33"/>
    </row>
    <row r="10" spans="1:14" x14ac:dyDescent="0.2">
      <c r="A10" s="20"/>
      <c r="B10" s="21" t="s">
        <v>263</v>
      </c>
      <c r="C10" s="21"/>
      <c r="D10" s="21"/>
      <c r="E10" s="22"/>
      <c r="F10" s="22"/>
      <c r="G10" s="22"/>
      <c r="H10" s="22"/>
      <c r="I10" s="22"/>
      <c r="J10" s="48"/>
      <c r="K10" s="37"/>
      <c r="L10" s="37"/>
      <c r="M10" s="37"/>
      <c r="N10" s="37"/>
    </row>
    <row r="11" spans="1:14" ht="13.5" thickBot="1" x14ac:dyDescent="0.25">
      <c r="A11" s="30"/>
      <c r="B11" s="31"/>
      <c r="C11" s="31"/>
      <c r="D11" s="31"/>
      <c r="E11" s="32"/>
      <c r="F11" s="32"/>
      <c r="G11" s="32"/>
      <c r="H11" s="32"/>
      <c r="I11" s="32"/>
      <c r="J11" s="49" t="s">
        <v>1574</v>
      </c>
      <c r="K11" s="40"/>
      <c r="L11" s="40"/>
      <c r="M11" s="40"/>
      <c r="N11" s="40"/>
    </row>
    <row r="12" spans="1:14" x14ac:dyDescent="0.2">
      <c r="A12" s="20"/>
      <c r="B12" s="434" t="s">
        <v>67</v>
      </c>
      <c r="C12" s="434"/>
      <c r="D12" s="434"/>
      <c r="E12" s="22"/>
      <c r="F12" s="22" t="s">
        <v>1180</v>
      </c>
      <c r="G12" s="22" t="s">
        <v>1484</v>
      </c>
      <c r="H12" s="22" t="s">
        <v>702</v>
      </c>
      <c r="I12" s="22"/>
      <c r="J12" s="75">
        <f>52/ATHENS!O1*ATHENS!O2</f>
        <v>94.545454545454533</v>
      </c>
      <c r="K12" s="75"/>
      <c r="L12" s="44"/>
      <c r="M12" s="42"/>
      <c r="N12" s="42"/>
    </row>
    <row r="13" spans="1:14" x14ac:dyDescent="0.2">
      <c r="A13" s="24"/>
      <c r="B13" s="435" t="s">
        <v>67</v>
      </c>
      <c r="C13" s="435"/>
      <c r="D13" s="435"/>
      <c r="E13" s="28"/>
      <c r="F13" s="28" t="s">
        <v>1181</v>
      </c>
      <c r="G13" s="28" t="s">
        <v>1484</v>
      </c>
      <c r="H13" s="28" t="s">
        <v>702</v>
      </c>
      <c r="I13" s="28"/>
      <c r="J13" s="75">
        <f>33/ATHENS!O1*ATHENS!O2</f>
        <v>59.999999999999993</v>
      </c>
      <c r="K13" s="75"/>
      <c r="L13" s="44"/>
      <c r="M13" s="44"/>
      <c r="N13" s="44"/>
    </row>
    <row r="14" spans="1:14" ht="13.5" thickBot="1" x14ac:dyDescent="0.25">
      <c r="A14" s="24"/>
      <c r="B14" s="435" t="s">
        <v>67</v>
      </c>
      <c r="C14" s="435"/>
      <c r="D14" s="435"/>
      <c r="E14" s="28"/>
      <c r="F14" s="28" t="s">
        <v>1182</v>
      </c>
      <c r="G14" s="28" t="s">
        <v>1484</v>
      </c>
      <c r="H14" s="28" t="s">
        <v>702</v>
      </c>
      <c r="I14" s="28"/>
      <c r="J14" s="75">
        <f>29/ATHENS!O1*ATHENS!O2</f>
        <v>52.72727272727272</v>
      </c>
      <c r="K14" s="75"/>
      <c r="L14" s="44"/>
      <c r="M14" s="44"/>
      <c r="N14" s="44"/>
    </row>
    <row r="15" spans="1:14" x14ac:dyDescent="0.2">
      <c r="A15" s="20"/>
      <c r="B15" s="21"/>
      <c r="C15" s="21"/>
      <c r="D15" s="21"/>
      <c r="E15" s="22"/>
      <c r="F15" s="22"/>
      <c r="G15" s="22"/>
      <c r="H15" s="22"/>
      <c r="I15" s="22"/>
      <c r="J15" s="22"/>
      <c r="K15" s="22"/>
      <c r="L15" s="22"/>
      <c r="M15" s="22"/>
      <c r="N15" s="23"/>
    </row>
    <row r="16" spans="1:14" ht="15" x14ac:dyDescent="0.2">
      <c r="A16" s="24"/>
      <c r="B16" s="440" t="s">
        <v>390</v>
      </c>
      <c r="C16" s="441"/>
      <c r="D16" s="441"/>
      <c r="E16" s="441"/>
      <c r="F16" s="441"/>
      <c r="G16" s="441"/>
      <c r="H16" s="441"/>
      <c r="I16" s="441"/>
      <c r="J16" s="441"/>
      <c r="K16" s="441"/>
      <c r="L16" s="441"/>
      <c r="M16" s="442"/>
      <c r="N16" s="25" t="s">
        <v>96</v>
      </c>
    </row>
    <row r="17" spans="1:14" x14ac:dyDescent="0.2">
      <c r="A17" s="24"/>
      <c r="B17" s="26" t="s">
        <v>428</v>
      </c>
      <c r="C17" s="27" t="s">
        <v>388</v>
      </c>
      <c r="D17" s="27"/>
      <c r="E17" s="28"/>
      <c r="F17" s="28"/>
      <c r="G17" s="28"/>
      <c r="H17" s="28"/>
      <c r="I17" s="28"/>
      <c r="J17" s="28"/>
      <c r="K17" s="28"/>
      <c r="L17" s="28"/>
      <c r="M17" s="28"/>
      <c r="N17" s="29"/>
    </row>
    <row r="18" spans="1:14" x14ac:dyDescent="0.2">
      <c r="A18" s="24"/>
      <c r="B18" s="26" t="s">
        <v>429</v>
      </c>
      <c r="C18" s="27" t="s">
        <v>891</v>
      </c>
      <c r="D18" s="27"/>
      <c r="E18" s="28"/>
      <c r="F18" s="28"/>
      <c r="G18" s="28"/>
      <c r="H18" s="28"/>
      <c r="I18" s="28"/>
      <c r="J18" s="28"/>
      <c r="K18" s="28"/>
      <c r="L18" s="28"/>
      <c r="M18" s="28"/>
      <c r="N18" s="29"/>
    </row>
    <row r="19" spans="1:14" x14ac:dyDescent="0.2">
      <c r="A19" s="24"/>
      <c r="B19" s="26" t="s">
        <v>427</v>
      </c>
      <c r="C19" s="436" t="s">
        <v>391</v>
      </c>
      <c r="D19" s="436"/>
      <c r="E19" s="436"/>
      <c r="F19" s="436"/>
      <c r="G19" s="436"/>
      <c r="H19" s="436"/>
      <c r="I19" s="436"/>
      <c r="J19" s="436"/>
      <c r="K19" s="436"/>
      <c r="L19" s="436"/>
      <c r="M19" s="436"/>
      <c r="N19" s="437"/>
    </row>
    <row r="20" spans="1:14" x14ac:dyDescent="0.2">
      <c r="A20" s="24"/>
      <c r="B20" s="15"/>
      <c r="C20" s="436"/>
      <c r="D20" s="436"/>
      <c r="E20" s="436"/>
      <c r="F20" s="436"/>
      <c r="G20" s="436"/>
      <c r="H20" s="436"/>
      <c r="I20" s="436"/>
      <c r="J20" s="436"/>
      <c r="K20" s="436"/>
      <c r="L20" s="436"/>
      <c r="M20" s="436"/>
      <c r="N20" s="437"/>
    </row>
    <row r="21" spans="1:14" x14ac:dyDescent="0.2">
      <c r="A21" s="24"/>
      <c r="B21" s="26" t="s">
        <v>426</v>
      </c>
      <c r="C21" s="27"/>
      <c r="D21" s="27"/>
      <c r="E21" s="28"/>
      <c r="F21" s="28"/>
      <c r="G21" s="28"/>
      <c r="H21" s="28"/>
      <c r="I21" s="28"/>
      <c r="J21" s="28"/>
      <c r="K21" s="28"/>
      <c r="L21" s="28"/>
      <c r="M21" s="28"/>
      <c r="N21" s="29"/>
    </row>
    <row r="22" spans="1:14" ht="13.5" thickBot="1" x14ac:dyDescent="0.25">
      <c r="A22" s="30"/>
      <c r="B22" s="26" t="s">
        <v>430</v>
      </c>
      <c r="C22" s="31"/>
      <c r="D22" s="31"/>
      <c r="E22" s="32"/>
      <c r="F22" s="32"/>
      <c r="G22" s="32"/>
      <c r="H22" s="32"/>
      <c r="I22" s="32"/>
      <c r="J22" s="28"/>
      <c r="K22" s="28"/>
      <c r="L22" s="28"/>
      <c r="M22" s="32"/>
      <c r="N22" s="33"/>
    </row>
    <row r="23" spans="1:14" ht="13.5" thickBot="1" x14ac:dyDescent="0.25">
      <c r="A23" s="30"/>
      <c r="B23" s="55" t="s">
        <v>263</v>
      </c>
      <c r="C23" s="31"/>
      <c r="D23" s="31"/>
      <c r="E23" s="32"/>
      <c r="F23" s="32"/>
      <c r="G23" s="32"/>
      <c r="H23" s="32"/>
      <c r="I23" s="32"/>
      <c r="J23" s="231" t="s">
        <v>1804</v>
      </c>
      <c r="K23" s="232"/>
      <c r="L23" s="233"/>
      <c r="M23" s="32"/>
      <c r="N23" s="33"/>
    </row>
    <row r="24" spans="1:14" ht="13.5" thickBot="1" x14ac:dyDescent="0.25">
      <c r="A24" s="30"/>
      <c r="B24" s="55" t="s">
        <v>263</v>
      </c>
      <c r="C24" s="31"/>
      <c r="D24" s="31"/>
      <c r="E24" s="32"/>
      <c r="F24" s="32"/>
      <c r="G24" s="32"/>
      <c r="H24" s="32"/>
      <c r="I24" s="32"/>
      <c r="J24" s="234" t="s">
        <v>1805</v>
      </c>
      <c r="K24" s="230"/>
      <c r="L24" s="235"/>
      <c r="M24" s="32"/>
      <c r="N24" s="33"/>
    </row>
    <row r="25" spans="1:14" ht="13.5" thickBot="1" x14ac:dyDescent="0.25">
      <c r="A25" s="30"/>
      <c r="B25" s="55" t="s">
        <v>263</v>
      </c>
      <c r="C25" s="31"/>
      <c r="D25" s="31"/>
      <c r="E25" s="32"/>
      <c r="F25" s="32"/>
      <c r="G25" s="32"/>
      <c r="H25" s="32"/>
      <c r="I25" s="32"/>
      <c r="J25" s="236" t="s">
        <v>1800</v>
      </c>
      <c r="K25" s="237" t="s">
        <v>1806</v>
      </c>
      <c r="L25" s="238" t="s">
        <v>1619</v>
      </c>
      <c r="M25" s="33"/>
      <c r="N25" s="40"/>
    </row>
    <row r="26" spans="1:14" x14ac:dyDescent="0.2">
      <c r="A26" s="20"/>
      <c r="B26" s="434" t="s">
        <v>67</v>
      </c>
      <c r="C26" s="434"/>
      <c r="D26" s="434"/>
      <c r="E26" s="22"/>
      <c r="F26" s="22" t="s">
        <v>1180</v>
      </c>
      <c r="G26" s="22" t="s">
        <v>68</v>
      </c>
      <c r="H26" s="22" t="s">
        <v>702</v>
      </c>
      <c r="I26" s="22"/>
      <c r="J26" s="75">
        <f>64/ATHENS!O1*ATHENS!O2</f>
        <v>116.36363636363636</v>
      </c>
      <c r="K26" s="44">
        <f>50/ATHENS!O1*ATHENS!O2</f>
        <v>90.909090909090907</v>
      </c>
      <c r="L26" s="44">
        <f>37/ATHENS!O1*ATHENS!O2</f>
        <v>67.272727272727266</v>
      </c>
      <c r="M26" s="42"/>
      <c r="N26" s="42"/>
    </row>
    <row r="27" spans="1:14" x14ac:dyDescent="0.2">
      <c r="A27" s="24"/>
      <c r="B27" s="435" t="s">
        <v>67</v>
      </c>
      <c r="C27" s="435"/>
      <c r="D27" s="435"/>
      <c r="E27" s="28"/>
      <c r="F27" s="28" t="s">
        <v>1181</v>
      </c>
      <c r="G27" s="28" t="s">
        <v>68</v>
      </c>
      <c r="H27" s="28" t="s">
        <v>702</v>
      </c>
      <c r="I27" s="28"/>
      <c r="J27" s="75">
        <f>41/ATHENS!O1*ATHENS!O2</f>
        <v>74.545454545454533</v>
      </c>
      <c r="K27" s="44">
        <f>32/ATHENS!O1*ATHENS!O2</f>
        <v>58.18181818181818</v>
      </c>
      <c r="L27" s="44">
        <f>23/ATHENS!O1*ATHENS!O2</f>
        <v>41.818181818181813</v>
      </c>
      <c r="M27" s="44"/>
      <c r="N27" s="44"/>
    </row>
    <row r="28" spans="1:14" ht="13.5" thickBot="1" x14ac:dyDescent="0.25">
      <c r="A28" s="30"/>
      <c r="B28" s="443" t="s">
        <v>67</v>
      </c>
      <c r="C28" s="443"/>
      <c r="D28" s="443"/>
      <c r="E28" s="32"/>
      <c r="F28" s="32" t="s">
        <v>1182</v>
      </c>
      <c r="G28" s="32" t="s">
        <v>68</v>
      </c>
      <c r="H28" s="32" t="s">
        <v>702</v>
      </c>
      <c r="I28" s="32"/>
      <c r="J28" s="76">
        <f>32.66/ATHENS!O1*ATHENS!O2</f>
        <v>59.381818181818169</v>
      </c>
      <c r="K28" s="46">
        <f>25.5/ATHENS!O1*ATHENS!O2</f>
        <v>46.36363636363636</v>
      </c>
      <c r="L28" s="46">
        <f>21.5/ATHENS!O1*ATHENS!O2</f>
        <v>39.090909090909086</v>
      </c>
      <c r="M28" s="46"/>
      <c r="N28" s="46"/>
    </row>
    <row r="29" spans="1:14" x14ac:dyDescent="0.2">
      <c r="A29" s="14"/>
      <c r="B29" s="15"/>
      <c r="C29" s="15"/>
      <c r="D29" s="15"/>
      <c r="E29" s="16"/>
      <c r="F29" s="16"/>
      <c r="G29" s="16"/>
      <c r="H29" s="16"/>
      <c r="I29" s="16"/>
      <c r="J29" s="16"/>
      <c r="K29" s="16"/>
      <c r="L29" s="16"/>
      <c r="M29" s="16"/>
      <c r="N29" s="16"/>
    </row>
  </sheetData>
  <customSheetViews>
    <customSheetView guid="{3C76061C-A85D-4390-B9DB-73E13038638C}" showPageBreaks="1" showGridLines="0" view="pageLayout">
      <selection activeCell="M51" sqref="M51"/>
      <pageMargins left="0.28125" right="0.25" top="0.6692913385826772" bottom="0.70866141732283472" header="0.23622047244094491" footer="0.47244094488188981"/>
      <printOptions horizontalCentered="1"/>
      <pageSetup paperSize="9" firstPageNumber="23" orientation="portrait" useFirstPageNumber="1" r:id="rId1"/>
      <headerFooter scaleWithDoc="0" alignWithMargins="0">
        <oddHeader>&amp;C TARIFF 2019
 (EURO)
Accommodation in &amp;A</oddHeader>
        <oddFooter>&amp;LAll rates are in EURO&amp;C
TARIFF 2019
&amp;RPage &amp;P</oddFooter>
      </headerFooter>
    </customSheetView>
  </customSheetViews>
  <mergeCells count="10">
    <mergeCell ref="B28:D28"/>
    <mergeCell ref="B16:M16"/>
    <mergeCell ref="C19:N20"/>
    <mergeCell ref="B26:D26"/>
    <mergeCell ref="B2:M2"/>
    <mergeCell ref="B12:D12"/>
    <mergeCell ref="B13:D13"/>
    <mergeCell ref="B27:D27"/>
    <mergeCell ref="C5:N7"/>
    <mergeCell ref="B14:D14"/>
  </mergeCells>
  <phoneticPr fontId="17" type="noConversion"/>
  <hyperlinks>
    <hyperlink ref="B2:M2" r:id="rId2" display="Anemolia" xr:uid="{00000000-0004-0000-0800-000000000000}"/>
    <hyperlink ref="B16:M16" r:id="rId3" display="Arachova Inn" xr:uid="{00000000-0004-0000-0800-000001000000}"/>
  </hyperlinks>
  <printOptions horizontalCentered="1"/>
  <pageMargins left="0.28125" right="0.25" top="0.6692913385826772" bottom="0.70866141732283472" header="0.23622047244094491" footer="0.47244094488188981"/>
  <pageSetup paperSize="9" firstPageNumber="23" orientation="portrait" useFirstPageNumber="1" r:id="rId4"/>
  <headerFooter scaleWithDoc="0" alignWithMargins="0">
    <oddHeader xml:space="preserve">&amp;C TARIFF 2021
 (EURO)
</oddHeader>
    <oddFooter>&amp;LAll rates are in EURO&amp;C
TARIFF 2021
&amp;RPage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vt:i4>
      </vt:variant>
    </vt:vector>
  </HeadingPairs>
  <TitlesOfParts>
    <vt:vector size="42" baseType="lpstr">
      <vt:lpstr>COVER</vt:lpstr>
      <vt:lpstr>INDEX</vt:lpstr>
      <vt:lpstr>INFO</vt:lpstr>
      <vt:lpstr>PAY</vt:lpstr>
      <vt:lpstr>GLOSSARY</vt:lpstr>
      <vt:lpstr>TRANSFERS</vt:lpstr>
      <vt:lpstr>ATHENS</vt:lpstr>
      <vt:lpstr>AEGINA</vt:lpstr>
      <vt:lpstr>ARACHOVA</vt:lpstr>
      <vt:lpstr>CEPHALONIA</vt:lpstr>
      <vt:lpstr>CHALKIDIKI</vt:lpstr>
      <vt:lpstr>CORFU</vt:lpstr>
      <vt:lpstr>CRETE</vt:lpstr>
      <vt:lpstr>DELPHI</vt:lpstr>
      <vt:lpstr>EVIA</vt:lpstr>
      <vt:lpstr>GYTHEIO</vt:lpstr>
      <vt:lpstr>HYDRA</vt:lpstr>
      <vt:lpstr>IOANNINA</vt:lpstr>
      <vt:lpstr>IOS</vt:lpstr>
      <vt:lpstr>KALAMATA</vt:lpstr>
      <vt:lpstr>KALAMBAKA</vt:lpstr>
      <vt:lpstr>KAVALA</vt:lpstr>
      <vt:lpstr>KOS</vt:lpstr>
      <vt:lpstr>LOUTRAKI</vt:lpstr>
      <vt:lpstr>MYCONOS</vt:lpstr>
      <vt:lpstr>NAFPLIO</vt:lpstr>
      <vt:lpstr>NAXOS</vt:lpstr>
      <vt:lpstr>OLYMPIA</vt:lpstr>
      <vt:lpstr>PATRA</vt:lpstr>
      <vt:lpstr>PAROS</vt:lpstr>
      <vt:lpstr>PATMOS</vt:lpstr>
      <vt:lpstr>POROS</vt:lpstr>
      <vt:lpstr>PYLOS</vt:lpstr>
      <vt:lpstr>RHODES</vt:lpstr>
      <vt:lpstr>SAMOS</vt:lpstr>
      <vt:lpstr>SANTORINI</vt:lpstr>
      <vt:lpstr>SKIATHOS</vt:lpstr>
      <vt:lpstr>SKOPELOS</vt:lpstr>
      <vt:lpstr>SYROS</vt:lpstr>
      <vt:lpstr>THESSALONIKI</vt:lpstr>
      <vt:lpstr>ZAKYNTHOS</vt:lpstr>
      <vt:lpstr>SANTORINI!Print_Area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hellas</dc:creator>
  <cp:lastModifiedBy>Χρήστης των Windows</cp:lastModifiedBy>
  <cp:lastPrinted>2017-01-25T20:59:30Z</cp:lastPrinted>
  <dcterms:created xsi:type="dcterms:W3CDTF">2002-02-07T16:58:42Z</dcterms:created>
  <dcterms:modified xsi:type="dcterms:W3CDTF">2020-07-14T16:21:08Z</dcterms:modified>
</cp:coreProperties>
</file>