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192.168.1.200\final central 22.11.17\TARIFF\2026\"/>
    </mc:Choice>
  </mc:AlternateContent>
  <xr:revisionPtr revIDLastSave="0" documentId="8_{C6C3C190-E8C6-4645-8FB8-521800B249EB}" xr6:coauthVersionLast="47" xr6:coauthVersionMax="47" xr10:uidLastSave="{00000000-0000-0000-0000-000000000000}"/>
  <bookViews>
    <workbookView xWindow="-120" yWindow="-120" windowWidth="17520" windowHeight="12600" tabRatio="931" xr2:uid="{00000000-000D-0000-FFFF-FFFF00000000}"/>
  </bookViews>
  <sheets>
    <sheet name="COVER" sheetId="1" r:id="rId1"/>
    <sheet name="INDEX" sheetId="2" r:id="rId2"/>
    <sheet name="INFO" sheetId="3" r:id="rId3"/>
    <sheet name="PAY" sheetId="4" r:id="rId4"/>
    <sheet name="GLOSSARY" sheetId="5" r:id="rId5"/>
    <sheet name="TRANSFERS" sheetId="6" r:id="rId6"/>
    <sheet name="ATHENS" sheetId="7" r:id="rId7"/>
    <sheet name="AEGINA" sheetId="8" r:id="rId8"/>
    <sheet name="ARACHOVA" sheetId="9" r:id="rId9"/>
    <sheet name="CEPHALONIA" sheetId="10" r:id="rId10"/>
    <sheet name="CHALKIDIKI" sheetId="11" r:id="rId11"/>
    <sheet name="CORFU" sheetId="12" r:id="rId12"/>
    <sheet name="CRETE" sheetId="13" r:id="rId13"/>
    <sheet name="DELPHI" sheetId="14" r:id="rId14"/>
    <sheet name="EVIA" sheetId="15" r:id="rId15"/>
    <sheet name="GYTHEIO" sheetId="16" r:id="rId16"/>
    <sheet name="HYDRA" sheetId="17" r:id="rId17"/>
    <sheet name="IOANNINA" sheetId="18" r:id="rId18"/>
    <sheet name="IOS" sheetId="19" r:id="rId19"/>
    <sheet name="KALAMATA" sheetId="20" r:id="rId20"/>
    <sheet name="KALAMBAKA" sheetId="21" r:id="rId21"/>
    <sheet name="KAVALA" sheetId="22" r:id="rId22"/>
    <sheet name="KOS" sheetId="23" r:id="rId23"/>
    <sheet name="LOUTRAKI" sheetId="24" r:id="rId24"/>
    <sheet name="MYCONOS" sheetId="25" r:id="rId25"/>
    <sheet name="NAFPLIO" sheetId="26" r:id="rId26"/>
    <sheet name="NAXOS" sheetId="27" r:id="rId27"/>
    <sheet name="OLYMPIA" sheetId="28" r:id="rId28"/>
    <sheet name="PATRA" sheetId="29" r:id="rId29"/>
    <sheet name="PAROS" sheetId="30" r:id="rId30"/>
    <sheet name="PATMOS" sheetId="31" r:id="rId31"/>
    <sheet name="POROS" sheetId="32" r:id="rId32"/>
    <sheet name="PYLOS" sheetId="33" r:id="rId33"/>
    <sheet name="RHODES" sheetId="34" r:id="rId34"/>
    <sheet name="SAMOS" sheetId="35" r:id="rId35"/>
    <sheet name="SANTORINI" sheetId="36" r:id="rId36"/>
    <sheet name="SKIATHOS" sheetId="37" r:id="rId37"/>
    <sheet name="SKOPELOS" sheetId="38" r:id="rId38"/>
    <sheet name="SYROS" sheetId="39" r:id="rId39"/>
    <sheet name="THESSALONIKI" sheetId="40" r:id="rId40"/>
    <sheet name="ZAKYNTHOS" sheetId="41" r:id="rId41"/>
  </sheets>
  <externalReferences>
    <externalReference r:id="rId42"/>
  </externalReferences>
  <definedNames>
    <definedName name="_xlnm.Print_Area" localSheetId="35">SANTORINI!$A$1:$N$549</definedName>
    <definedName name="Z_3C76061C_A85D_4390_B9DB_73E13038638C_.wvu.Cols" localSheetId="5" hidden="1">TRANSFERS!$D:$D</definedName>
    <definedName name="Z_3C76061C_A85D_4390_B9DB_73E13038638C_.wvu.PrintArea" localSheetId="35" hidden="1">SANTORINI!$A$1:$N$549</definedName>
    <definedName name="Z_777CFE61_6F99_11D9_974B_0050BFD074B6_.wvu.Cols" localSheetId="6" hidden="1">ATHENS!$O:$O</definedName>
    <definedName name="Z_777CFE61_6F99_11D9_974B_0050BFD074B6_.wvu.PrintArea" localSheetId="6" hidden="1">ATHENS!$A$1:$N$997</definedName>
    <definedName name="Z_777CFE61_6F99_11D9_974B_0050BFD074B6_.wvu.PrintArea" localSheetId="11" hidden="1">CORFU!$A$1:$N$132</definedName>
    <definedName name="Z_777CFE61_6F99_11D9_974B_0050BFD074B6_.wvu.PrintArea" localSheetId="12" hidden="1">CRETE!$A$1:$N$490</definedName>
    <definedName name="Z_777CFE61_6F99_11D9_974B_0050BFD074B6_.wvu.PrintArea" localSheetId="4" hidden="1">GLOSSARY!$A$1:$J$55</definedName>
    <definedName name="Z_777CFE61_6F99_11D9_974B_0050BFD074B6_.wvu.PrintArea" localSheetId="1" hidden="1">INDEX!$A$1:$G$50</definedName>
    <definedName name="Z_777CFE61_6F99_11D9_974B_0050BFD074B6_.wvu.PrintArea" localSheetId="2" hidden="1">INFO!$A$1:$I$33</definedName>
    <definedName name="Z_777CFE61_6F99_11D9_974B_0050BFD074B6_.wvu.PrintArea" localSheetId="18" hidden="1">IOS!$A$1:$N$62</definedName>
    <definedName name="Z_777CFE61_6F99_11D9_974B_0050BFD074B6_.wvu.PrintArea" localSheetId="22" hidden="1">KOS!$A$1:$N$20</definedName>
    <definedName name="Z_777CFE61_6F99_11D9_974B_0050BFD074B6_.wvu.PrintArea" localSheetId="24" hidden="1">MYCONOS!$A$1:$N$491</definedName>
    <definedName name="Z_777CFE61_6F99_11D9_974B_0050BFD074B6_.wvu.PrintArea" localSheetId="26" hidden="1">NAXOS!$A$19:$N$140</definedName>
    <definedName name="Z_777CFE61_6F99_11D9_974B_0050BFD074B6_.wvu.PrintArea" localSheetId="29" hidden="1">PAROS!$A$1:$N$219</definedName>
    <definedName name="Z_777CFE61_6F99_11D9_974B_0050BFD074B6_.wvu.PrintArea" localSheetId="3" hidden="1">PAY!$A$1:$J$54</definedName>
    <definedName name="Z_777CFE61_6F99_11D9_974B_0050BFD074B6_.wvu.PrintArea" localSheetId="33" hidden="1">RHODES!$A$1:$N$347</definedName>
    <definedName name="Z_777CFE61_6F99_11D9_974B_0050BFD074B6_.wvu.PrintArea" localSheetId="34" hidden="1">SAMOS!$A$1:$N$19</definedName>
    <definedName name="Z_777CFE61_6F99_11D9_974B_0050BFD074B6_.wvu.PrintArea" localSheetId="35" hidden="1">SANTORINI!$A$1:$N$549</definedName>
    <definedName name="Z_777CFE61_6F99_11D9_974B_0050BFD074B6_.wvu.PrintArea" localSheetId="5" hidden="1">TRANSFERS!$A$2:$I$3</definedName>
    <definedName name="Z_777CFE61_6F99_11D9_974B_0050BFD074B6_.wvu.Rows" localSheetId="6" hidden="1">ATHENS!#REF!</definedName>
  </definedNames>
  <calcPr calcId="191029"/>
  <customWorkbookViews>
    <customWorkbookView name="Bahamut - Προσωπική προβολή" guid="{95D45CB7-1E39-11D6-AFD7-008048E20DDD}" mergeInterval="0" personalView="1" maximized="1" windowWidth="1020" windowHeight="634" activeSheetId="7"/>
    <customWorkbookView name="hellas - Personal View" guid="{777CFE61-6F99-11D9-974B-0050BFD074B6}" mergeInterval="0" personalView="1" maximized="1" windowWidth="1020" windowHeight="579" tabRatio="900" activeSheetId="7"/>
    <customWorkbookView name="Χρήστης των Windows - Personal View" guid="{3C76061C-A85D-4390-B9DB-73E13038638C}" mergeInterval="0" personalView="1" maximized="1" xWindow="-8" yWindow="-8" windowWidth="1040" windowHeight="744" tabRatio="93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9" i="33" l="1"/>
  <c r="K19" i="33"/>
  <c r="J19" i="33"/>
  <c r="L18" i="33"/>
  <c r="K18" i="33"/>
  <c r="J18" i="33"/>
  <c r="L17" i="33"/>
  <c r="K17" i="33"/>
  <c r="J17" i="33"/>
  <c r="L16" i="33"/>
  <c r="K16" i="33"/>
  <c r="J16" i="33"/>
  <c r="N48" i="34"/>
  <c r="N47" i="34"/>
  <c r="N46" i="34"/>
  <c r="M46" i="34"/>
  <c r="M48" i="34"/>
  <c r="M47" i="34"/>
  <c r="L48" i="34"/>
  <c r="L47" i="34"/>
  <c r="L46" i="34"/>
  <c r="K48" i="34"/>
  <c r="K47" i="34"/>
  <c r="K46" i="34"/>
  <c r="J48" i="34"/>
  <c r="J47" i="34"/>
  <c r="J46" i="34"/>
  <c r="M112" i="34"/>
  <c r="M111" i="34"/>
  <c r="M110" i="34"/>
  <c r="M109" i="34"/>
  <c r="M108" i="34"/>
  <c r="M107" i="34"/>
  <c r="L112" i="34"/>
  <c r="L111" i="34"/>
  <c r="L110" i="34"/>
  <c r="L109" i="34"/>
  <c r="L108" i="34"/>
  <c r="L107" i="34"/>
  <c r="K112" i="34"/>
  <c r="K111" i="34"/>
  <c r="K110" i="34"/>
  <c r="K109" i="34"/>
  <c r="K108" i="34"/>
  <c r="K107" i="34"/>
  <c r="J112" i="34"/>
  <c r="J111" i="34"/>
  <c r="J110" i="34"/>
  <c r="J109" i="34"/>
  <c r="J108" i="34"/>
  <c r="J107" i="34"/>
  <c r="N216" i="34"/>
  <c r="N215" i="34"/>
  <c r="N214" i="34"/>
  <c r="M216" i="34"/>
  <c r="M215" i="34"/>
  <c r="M214" i="34"/>
  <c r="L216" i="34"/>
  <c r="L215" i="34"/>
  <c r="L214" i="34"/>
  <c r="K216" i="34"/>
  <c r="K215" i="34"/>
  <c r="K214" i="34"/>
  <c r="J216" i="34"/>
  <c r="J215" i="34"/>
  <c r="J214" i="34"/>
  <c r="M346" i="34"/>
  <c r="M345" i="34"/>
  <c r="M344" i="34"/>
  <c r="L346" i="34"/>
  <c r="L345" i="34"/>
  <c r="L344" i="34"/>
  <c r="K346" i="34"/>
  <c r="K345" i="34"/>
  <c r="K344" i="34"/>
  <c r="J346" i="34"/>
  <c r="J345" i="34"/>
  <c r="J344" i="34"/>
  <c r="M185" i="25"/>
  <c r="M184" i="25"/>
  <c r="M183" i="25"/>
  <c r="L185" i="25"/>
  <c r="L184" i="25"/>
  <c r="L183" i="25"/>
  <c r="K185" i="25"/>
  <c r="K184" i="25"/>
  <c r="K183" i="25"/>
  <c r="J185" i="25"/>
  <c r="J184" i="25"/>
  <c r="J183" i="25"/>
  <c r="M319" i="25"/>
  <c r="M318" i="25"/>
  <c r="M317" i="25"/>
  <c r="L319" i="25"/>
  <c r="L318" i="25"/>
  <c r="L317" i="25"/>
  <c r="K319" i="25"/>
  <c r="K318" i="25"/>
  <c r="K317" i="25"/>
  <c r="J319" i="25"/>
  <c r="J318" i="25"/>
  <c r="J317" i="25"/>
  <c r="L95" i="36"/>
  <c r="L94" i="36"/>
  <c r="K95" i="36"/>
  <c r="K94" i="36"/>
  <c r="J95" i="36"/>
  <c r="J94" i="36"/>
  <c r="L204" i="36"/>
  <c r="K204" i="36"/>
  <c r="J204" i="36"/>
  <c r="L203" i="36"/>
  <c r="K203" i="36"/>
  <c r="J203" i="36"/>
  <c r="L358" i="36"/>
  <c r="K358" i="36"/>
  <c r="J358" i="36"/>
  <c r="L357" i="36"/>
  <c r="K357" i="36"/>
  <c r="J357" i="36"/>
  <c r="K127" i="36"/>
  <c r="J127" i="36"/>
  <c r="K126" i="36"/>
  <c r="J126" i="36"/>
  <c r="K125" i="36"/>
  <c r="J125" i="36"/>
  <c r="M531" i="36"/>
  <c r="M530" i="36"/>
  <c r="M529" i="36"/>
  <c r="L531" i="36"/>
  <c r="L530" i="36"/>
  <c r="L529" i="36"/>
  <c r="K531" i="36"/>
  <c r="K530" i="36"/>
  <c r="K529" i="36"/>
  <c r="J531" i="36"/>
  <c r="J530" i="36"/>
  <c r="J529" i="36"/>
  <c r="N517" i="36"/>
  <c r="N516" i="36"/>
  <c r="N515" i="36"/>
  <c r="M517" i="36"/>
  <c r="M516" i="36"/>
  <c r="M515" i="36"/>
  <c r="L517" i="36"/>
  <c r="L515" i="36"/>
  <c r="K517" i="36"/>
  <c r="K516" i="36"/>
  <c r="K515" i="36"/>
  <c r="J517" i="36"/>
  <c r="J516" i="36"/>
  <c r="J515" i="36"/>
  <c r="L373" i="36"/>
  <c r="K373" i="36"/>
  <c r="J373" i="36"/>
  <c r="L372" i="36"/>
  <c r="K372" i="36"/>
  <c r="J372" i="36"/>
  <c r="N30" i="11"/>
  <c r="M30" i="11"/>
  <c r="L30" i="11"/>
  <c r="K30" i="11"/>
  <c r="J30" i="11"/>
  <c r="N29" i="11"/>
  <c r="M29" i="11"/>
  <c r="L29" i="11"/>
  <c r="K29" i="11"/>
  <c r="J29" i="11"/>
  <c r="N28" i="11"/>
  <c r="M28" i="11"/>
  <c r="L28" i="11"/>
  <c r="K28" i="11"/>
  <c r="J28" i="11"/>
  <c r="N13" i="11"/>
  <c r="N12" i="11"/>
  <c r="N11" i="11"/>
  <c r="M13" i="11"/>
  <c r="M12" i="11"/>
  <c r="M11" i="11"/>
  <c r="L13" i="11"/>
  <c r="L12" i="11"/>
  <c r="L11" i="11"/>
  <c r="K13" i="11"/>
  <c r="K12" i="11"/>
  <c r="K11" i="11"/>
  <c r="J13" i="11"/>
  <c r="J12" i="11"/>
  <c r="J11" i="11"/>
  <c r="M45" i="11"/>
  <c r="M44" i="11"/>
  <c r="L45" i="11"/>
  <c r="L44" i="11"/>
  <c r="K45" i="11"/>
  <c r="K44" i="11"/>
  <c r="J45" i="11"/>
  <c r="J44" i="11"/>
  <c r="M43" i="11"/>
  <c r="L43" i="11"/>
  <c r="K43" i="11"/>
  <c r="J43" i="11"/>
  <c r="L47" i="39"/>
  <c r="L46" i="39"/>
  <c r="L45" i="39"/>
  <c r="K47" i="39"/>
  <c r="K46" i="39"/>
  <c r="K45" i="39"/>
  <c r="J47" i="39"/>
  <c r="J46" i="39"/>
  <c r="J45" i="39"/>
  <c r="J29" i="39"/>
  <c r="J97" i="40"/>
  <c r="K195" i="40"/>
  <c r="K194" i="40"/>
  <c r="K193" i="40"/>
  <c r="J195" i="40"/>
  <c r="J194" i="40"/>
  <c r="J193" i="40"/>
  <c r="L132" i="12"/>
  <c r="L131" i="12"/>
  <c r="L130" i="12"/>
  <c r="K132" i="12"/>
  <c r="K131" i="12"/>
  <c r="K130" i="12"/>
  <c r="J132" i="12"/>
  <c r="J131" i="12"/>
  <c r="J130" i="12"/>
  <c r="L93" i="12"/>
  <c r="L92" i="12"/>
  <c r="L94" i="12"/>
  <c r="K94" i="12"/>
  <c r="K93" i="12"/>
  <c r="K92" i="12"/>
  <c r="J94" i="12"/>
  <c r="J93" i="12"/>
  <c r="J92" i="12"/>
  <c r="L91" i="12"/>
  <c r="K91" i="12"/>
  <c r="J91" i="12"/>
  <c r="N76" i="12"/>
  <c r="N75" i="12"/>
  <c r="N74" i="12"/>
  <c r="M76" i="12"/>
  <c r="M75" i="12"/>
  <c r="M74" i="12"/>
  <c r="L76" i="12"/>
  <c r="L75" i="12"/>
  <c r="L74" i="12"/>
  <c r="K76" i="12"/>
  <c r="K75" i="12"/>
  <c r="K74" i="12"/>
  <c r="J76" i="12"/>
  <c r="J75" i="12"/>
  <c r="J74" i="12"/>
  <c r="N77" i="12"/>
  <c r="M77" i="12"/>
  <c r="L77" i="12"/>
  <c r="K77" i="12"/>
  <c r="J77" i="12"/>
  <c r="N60" i="12"/>
  <c r="N59" i="12"/>
  <c r="N58" i="12"/>
  <c r="N57" i="12"/>
  <c r="N56" i="12"/>
  <c r="N55" i="12"/>
  <c r="M60" i="12"/>
  <c r="M59" i="12"/>
  <c r="M58" i="12"/>
  <c r="M57" i="12"/>
  <c r="M56" i="12"/>
  <c r="M55" i="12"/>
  <c r="L60" i="12"/>
  <c r="L59" i="12"/>
  <c r="L58" i="12"/>
  <c r="L57" i="12"/>
  <c r="L55" i="12"/>
  <c r="K60" i="12"/>
  <c r="K59" i="12"/>
  <c r="K58" i="12"/>
  <c r="K57" i="12"/>
  <c r="K56" i="12"/>
  <c r="K55" i="12"/>
  <c r="J60" i="12"/>
  <c r="J59" i="12"/>
  <c r="J58" i="12"/>
  <c r="J57" i="12"/>
  <c r="J55" i="12"/>
  <c r="N54" i="12"/>
  <c r="M54" i="12"/>
  <c r="L54" i="12"/>
  <c r="K54" i="12"/>
  <c r="J54" i="12"/>
  <c r="N38" i="12"/>
  <c r="N37" i="12"/>
  <c r="N36" i="12"/>
  <c r="M38" i="12"/>
  <c r="M37" i="12"/>
  <c r="M36" i="12"/>
  <c r="L38" i="12"/>
  <c r="L37" i="12"/>
  <c r="L36" i="12"/>
  <c r="K38" i="12"/>
  <c r="K37" i="12"/>
  <c r="K36" i="12"/>
  <c r="J37" i="12"/>
  <c r="J36" i="12"/>
  <c r="N35" i="12"/>
  <c r="M35" i="12"/>
  <c r="L35" i="12"/>
  <c r="K35" i="12"/>
  <c r="J35" i="12"/>
  <c r="M341" i="13"/>
  <c r="M340" i="13"/>
  <c r="M339" i="13"/>
  <c r="L341" i="13"/>
  <c r="L340" i="13"/>
  <c r="L339" i="13"/>
  <c r="K341" i="13"/>
  <c r="K340" i="13"/>
  <c r="K339" i="13"/>
  <c r="J341" i="13"/>
  <c r="J340" i="13"/>
  <c r="J339" i="13"/>
  <c r="M398" i="13"/>
  <c r="M397" i="13"/>
  <c r="M396" i="13"/>
  <c r="L398" i="13"/>
  <c r="L397" i="13"/>
  <c r="L396" i="13"/>
  <c r="K398" i="13"/>
  <c r="K397" i="13"/>
  <c r="K396" i="13"/>
  <c r="J398" i="13"/>
  <c r="J397" i="13"/>
  <c r="J396" i="13"/>
  <c r="M276" i="13"/>
  <c r="M275" i="13"/>
  <c r="L276" i="13"/>
  <c r="L275" i="13"/>
  <c r="K276" i="13"/>
  <c r="K275" i="13"/>
  <c r="J276" i="13"/>
  <c r="J275" i="13"/>
  <c r="M258" i="13"/>
  <c r="M257" i="13"/>
  <c r="M256" i="13"/>
  <c r="L258" i="13"/>
  <c r="L257" i="13"/>
  <c r="L256" i="13"/>
  <c r="K258" i="13"/>
  <c r="K257" i="13"/>
  <c r="K256" i="13"/>
  <c r="J258" i="13"/>
  <c r="J257" i="13"/>
  <c r="J256" i="13"/>
  <c r="M93" i="13"/>
  <c r="L93" i="13"/>
  <c r="K93" i="13"/>
  <c r="J93" i="13"/>
  <c r="M92" i="13"/>
  <c r="L92" i="13"/>
  <c r="K92" i="13"/>
  <c r="J92" i="13"/>
  <c r="M91" i="13"/>
  <c r="L91" i="13"/>
  <c r="K91" i="13"/>
  <c r="J91" i="13"/>
  <c r="N243" i="13"/>
  <c r="M243" i="13"/>
  <c r="L243" i="13"/>
  <c r="K243" i="13"/>
  <c r="J243" i="13"/>
  <c r="N242" i="13"/>
  <c r="M242" i="13"/>
  <c r="L242" i="13"/>
  <c r="K242" i="13"/>
  <c r="J242" i="13"/>
  <c r="N241" i="13"/>
  <c r="M241" i="13"/>
  <c r="L241" i="13"/>
  <c r="K241" i="13"/>
  <c r="J241" i="13"/>
  <c r="M442" i="13"/>
  <c r="L442" i="13"/>
  <c r="K442" i="13"/>
  <c r="J442" i="13"/>
  <c r="M441" i="13"/>
  <c r="L441" i="13"/>
  <c r="K441" i="13"/>
  <c r="J441" i="13"/>
  <c r="M440" i="13"/>
  <c r="L440" i="13"/>
  <c r="K440" i="13"/>
  <c r="J440" i="13"/>
  <c r="M141" i="13"/>
  <c r="M140" i="13"/>
  <c r="L141" i="13"/>
  <c r="L140" i="13"/>
  <c r="K141" i="13"/>
  <c r="K140" i="13"/>
  <c r="J141" i="13"/>
  <c r="J140" i="13"/>
  <c r="M139" i="13"/>
  <c r="L139" i="13"/>
  <c r="K139" i="13"/>
  <c r="J139" i="13"/>
  <c r="K456" i="13"/>
  <c r="J456" i="13"/>
  <c r="K455" i="13"/>
  <c r="J455" i="13"/>
  <c r="K454" i="13"/>
  <c r="J454" i="13"/>
  <c r="L490" i="13"/>
  <c r="K490" i="13"/>
  <c r="J490" i="13"/>
  <c r="L489" i="13"/>
  <c r="K489" i="13"/>
  <c r="J489" i="13"/>
  <c r="L488" i="13"/>
  <c r="K488" i="13"/>
  <c r="J488" i="13"/>
  <c r="K472" i="13"/>
  <c r="K471" i="13"/>
  <c r="K470" i="13"/>
  <c r="J472" i="13"/>
  <c r="J471" i="13"/>
  <c r="J470" i="13"/>
  <c r="N413" i="13"/>
  <c r="N412" i="13"/>
  <c r="K412" i="13"/>
  <c r="N411" i="13"/>
  <c r="M413" i="13"/>
  <c r="M412" i="13"/>
  <c r="M411" i="13"/>
  <c r="L413" i="13"/>
  <c r="L412" i="13"/>
  <c r="L411" i="13"/>
  <c r="K413" i="13"/>
  <c r="K411" i="13"/>
  <c r="J413" i="13"/>
  <c r="J412" i="13"/>
  <c r="J411" i="13"/>
  <c r="M295" i="13"/>
  <c r="M294" i="13"/>
  <c r="L295" i="13"/>
  <c r="L294" i="13"/>
  <c r="K295" i="13"/>
  <c r="K294" i="13"/>
  <c r="J295" i="13"/>
  <c r="J294" i="13"/>
  <c r="M293" i="13"/>
  <c r="L293" i="13"/>
  <c r="K293" i="13"/>
  <c r="J293" i="13"/>
  <c r="M292" i="13"/>
  <c r="L292" i="13"/>
  <c r="K292" i="13"/>
  <c r="J292" i="13"/>
  <c r="M291" i="13"/>
  <c r="L291" i="13"/>
  <c r="K291" i="13"/>
  <c r="J291" i="13"/>
  <c r="N124" i="13"/>
  <c r="N123" i="13"/>
  <c r="N122" i="13"/>
  <c r="M124" i="13"/>
  <c r="M123" i="13"/>
  <c r="M122" i="13"/>
  <c r="L124" i="13"/>
  <c r="L123" i="13"/>
  <c r="L122" i="13"/>
  <c r="K124" i="13"/>
  <c r="K123" i="13"/>
  <c r="K122" i="13"/>
  <c r="J124" i="13"/>
  <c r="J123" i="13"/>
  <c r="J122" i="13"/>
  <c r="K78" i="13"/>
  <c r="K77" i="13"/>
  <c r="K76" i="13"/>
  <c r="K75" i="13"/>
  <c r="J78" i="13"/>
  <c r="J77" i="13"/>
  <c r="J76" i="13"/>
  <c r="J75" i="13"/>
  <c r="J44" i="13"/>
  <c r="M44" i="13"/>
  <c r="L44" i="13"/>
  <c r="K44" i="13"/>
  <c r="M43" i="13"/>
  <c r="L43" i="13"/>
  <c r="K43" i="13"/>
  <c r="J43" i="13"/>
  <c r="M42" i="13"/>
  <c r="L42" i="13"/>
  <c r="K42" i="13"/>
  <c r="J42" i="13"/>
  <c r="M21" i="13"/>
  <c r="M20" i="13"/>
  <c r="L21" i="13"/>
  <c r="L20" i="13"/>
  <c r="K21" i="13"/>
  <c r="K20" i="13"/>
  <c r="J21" i="13"/>
  <c r="J20" i="13"/>
  <c r="M19" i="13"/>
  <c r="L19" i="13"/>
  <c r="K19" i="13"/>
  <c r="J19" i="13"/>
  <c r="M18" i="13"/>
  <c r="M17" i="13"/>
  <c r="L18" i="13"/>
  <c r="L17" i="13"/>
  <c r="K18" i="13"/>
  <c r="K17" i="13"/>
  <c r="J18" i="13"/>
  <c r="J17" i="13"/>
  <c r="M16" i="13"/>
  <c r="L16" i="13"/>
  <c r="J16" i="13"/>
  <c r="K513" i="7"/>
  <c r="K512" i="7"/>
  <c r="K511" i="7"/>
  <c r="K510" i="7"/>
  <c r="J513" i="7"/>
  <c r="J512" i="7"/>
  <c r="J511" i="7"/>
  <c r="J510" i="7"/>
  <c r="M258" i="7"/>
  <c r="M257" i="7"/>
  <c r="M256" i="7"/>
  <c r="L258" i="7"/>
  <c r="L257" i="7"/>
  <c r="L256" i="7"/>
  <c r="K258" i="7"/>
  <c r="K257" i="7"/>
  <c r="K256" i="7"/>
  <c r="J258" i="7"/>
  <c r="J257" i="7"/>
  <c r="J256" i="7"/>
  <c r="K216" i="7"/>
  <c r="K215" i="7"/>
  <c r="K214" i="7"/>
  <c r="J216" i="7"/>
  <c r="J215" i="7"/>
  <c r="J214" i="7"/>
  <c r="L164" i="7"/>
  <c r="L163" i="7"/>
  <c r="L162" i="7"/>
  <c r="K164" i="7"/>
  <c r="K163" i="7"/>
  <c r="K162" i="7"/>
  <c r="J164" i="7"/>
  <c r="J163" i="7"/>
  <c r="J162" i="7"/>
  <c r="L83" i="7"/>
  <c r="L82" i="7"/>
  <c r="K83" i="7"/>
  <c r="K82" i="7"/>
  <c r="J83" i="7"/>
  <c r="J82" i="7"/>
  <c r="M34" i="24"/>
  <c r="K19" i="18"/>
  <c r="J324" i="34"/>
  <c r="J29" i="10"/>
  <c r="L15" i="10"/>
  <c r="L14" i="10"/>
  <c r="L13" i="10"/>
  <c r="L12" i="10"/>
  <c r="K15" i="10"/>
  <c r="K14" i="10"/>
  <c r="K13" i="10"/>
  <c r="K12" i="10"/>
  <c r="J15" i="10"/>
  <c r="J14" i="10"/>
  <c r="J13" i="10"/>
  <c r="J12" i="10"/>
  <c r="M457" i="36"/>
  <c r="M456" i="36"/>
  <c r="L457" i="36"/>
  <c r="L456" i="36"/>
  <c r="K457" i="36"/>
  <c r="K456" i="36"/>
  <c r="J456" i="36"/>
  <c r="J457" i="36"/>
  <c r="M437" i="36"/>
  <c r="M436" i="36"/>
  <c r="M435" i="36"/>
  <c r="M434" i="36"/>
  <c r="M433" i="36"/>
  <c r="L437" i="36"/>
  <c r="L436" i="36"/>
  <c r="L435" i="36"/>
  <c r="L434" i="36"/>
  <c r="L433" i="36"/>
  <c r="K437" i="36"/>
  <c r="K436" i="36"/>
  <c r="K435" i="36"/>
  <c r="K434" i="36"/>
  <c r="K433" i="36"/>
  <c r="J437" i="36"/>
  <c r="J436" i="36"/>
  <c r="J435" i="36"/>
  <c r="J434" i="36"/>
  <c r="J433" i="36"/>
  <c r="M344" i="36"/>
  <c r="M343" i="36"/>
  <c r="M342" i="36"/>
  <c r="M341" i="36"/>
  <c r="L344" i="36"/>
  <c r="L343" i="36"/>
  <c r="L342" i="36"/>
  <c r="L341" i="36"/>
  <c r="K344" i="36"/>
  <c r="K343" i="36"/>
  <c r="K342" i="36"/>
  <c r="K341" i="36"/>
  <c r="J344" i="36"/>
  <c r="J343" i="36"/>
  <c r="J342" i="36"/>
  <c r="J341" i="36"/>
  <c r="M503" i="36"/>
  <c r="M502" i="36"/>
  <c r="M501" i="36"/>
  <c r="M500" i="36"/>
  <c r="L503" i="36"/>
  <c r="L502" i="36"/>
  <c r="L501" i="36"/>
  <c r="L500" i="36"/>
  <c r="K503" i="36"/>
  <c r="K502" i="36"/>
  <c r="K501" i="36"/>
  <c r="K500" i="36"/>
  <c r="J503" i="36"/>
  <c r="J502" i="36"/>
  <c r="J501" i="36"/>
  <c r="J500" i="36"/>
  <c r="M241" i="36"/>
  <c r="M240" i="36"/>
  <c r="M239" i="36"/>
  <c r="L241" i="36"/>
  <c r="L240" i="36"/>
  <c r="L239" i="36"/>
  <c r="K241" i="36"/>
  <c r="K240" i="36"/>
  <c r="K239" i="36"/>
  <c r="J241" i="36"/>
  <c r="J240" i="36"/>
  <c r="J239" i="36"/>
  <c r="L158" i="36"/>
  <c r="L159" i="36"/>
  <c r="L160" i="36"/>
  <c r="K159" i="36"/>
  <c r="K158" i="36"/>
  <c r="J159" i="36"/>
  <c r="J158" i="36"/>
  <c r="K160" i="36"/>
  <c r="J160" i="36"/>
  <c r="J143" i="36"/>
  <c r="L113" i="36"/>
  <c r="L112" i="36"/>
  <c r="L111" i="36"/>
  <c r="K113" i="36"/>
  <c r="K112" i="36"/>
  <c r="K111" i="36"/>
  <c r="J113" i="36"/>
  <c r="J112" i="36"/>
  <c r="J111" i="36"/>
  <c r="M82" i="36"/>
  <c r="M81" i="36"/>
  <c r="M80" i="36"/>
  <c r="L82" i="36"/>
  <c r="L81" i="36"/>
  <c r="L80" i="36"/>
  <c r="K82" i="36"/>
  <c r="K81" i="36"/>
  <c r="K80" i="36"/>
  <c r="J82" i="36"/>
  <c r="J81" i="36"/>
  <c r="J80" i="36"/>
  <c r="L274" i="36"/>
  <c r="L273" i="36"/>
  <c r="L272" i="36"/>
  <c r="L271" i="36"/>
  <c r="K274" i="36"/>
  <c r="K273" i="36"/>
  <c r="K272" i="36"/>
  <c r="K271" i="36"/>
  <c r="J273" i="36"/>
  <c r="J274" i="36"/>
  <c r="J272" i="36"/>
  <c r="J271" i="36"/>
  <c r="M29" i="19"/>
  <c r="M28" i="19"/>
  <c r="L29" i="19"/>
  <c r="L28" i="19"/>
  <c r="K29" i="19"/>
  <c r="K28" i="19"/>
  <c r="J29" i="19"/>
  <c r="J28" i="19"/>
  <c r="M27" i="19"/>
  <c r="L27" i="19"/>
  <c r="K27" i="19"/>
  <c r="J27" i="19"/>
  <c r="L14" i="19"/>
  <c r="L13" i="19"/>
  <c r="L12" i="19"/>
  <c r="K14" i="19"/>
  <c r="K13" i="19"/>
  <c r="K12" i="19"/>
  <c r="J14" i="19"/>
  <c r="J13" i="19"/>
  <c r="J12" i="19"/>
  <c r="M134" i="30"/>
  <c r="M133" i="30"/>
  <c r="M132" i="30"/>
  <c r="L134" i="30"/>
  <c r="L133" i="30"/>
  <c r="L132" i="30"/>
  <c r="K134" i="30"/>
  <c r="K133" i="30"/>
  <c r="K132" i="30"/>
  <c r="J134" i="30"/>
  <c r="J133" i="30"/>
  <c r="J132" i="30"/>
  <c r="L104" i="30"/>
  <c r="L103" i="30"/>
  <c r="L102" i="30"/>
  <c r="L101" i="30"/>
  <c r="K104" i="30"/>
  <c r="K103" i="30"/>
  <c r="K102" i="30"/>
  <c r="K101" i="30"/>
  <c r="J104" i="30"/>
  <c r="J103" i="30"/>
  <c r="J102" i="30"/>
  <c r="J101" i="30"/>
  <c r="L68" i="30"/>
  <c r="L67" i="30"/>
  <c r="L66" i="30"/>
  <c r="L65" i="30"/>
  <c r="K68" i="30"/>
  <c r="K67" i="30"/>
  <c r="K66" i="30"/>
  <c r="K65" i="30"/>
  <c r="J68" i="30"/>
  <c r="J67" i="30"/>
  <c r="J66" i="30"/>
  <c r="J65" i="30"/>
  <c r="L119" i="30"/>
  <c r="L118" i="30"/>
  <c r="L117" i="30"/>
  <c r="L116" i="30"/>
  <c r="K119" i="30"/>
  <c r="K118" i="30"/>
  <c r="K117" i="30"/>
  <c r="K116" i="30"/>
  <c r="J119" i="30"/>
  <c r="J118" i="30"/>
  <c r="J117" i="30"/>
  <c r="J116" i="30"/>
  <c r="M34" i="30"/>
  <c r="M33" i="30"/>
  <c r="M32" i="30"/>
  <c r="M31" i="30"/>
  <c r="L33" i="30"/>
  <c r="L34" i="30"/>
  <c r="L32" i="30"/>
  <c r="L31" i="30"/>
  <c r="K34" i="30"/>
  <c r="K33" i="30"/>
  <c r="K32" i="30"/>
  <c r="K31" i="30"/>
  <c r="J34" i="30"/>
  <c r="J33" i="30"/>
  <c r="J32" i="30"/>
  <c r="J31" i="30"/>
  <c r="M43" i="41"/>
  <c r="M42" i="41"/>
  <c r="L43" i="41"/>
  <c r="L42" i="41"/>
  <c r="K43" i="41"/>
  <c r="K42" i="41"/>
  <c r="J43" i="41"/>
  <c r="J42" i="41"/>
  <c r="L30" i="41"/>
  <c r="L29" i="41"/>
  <c r="K30" i="41"/>
  <c r="K29" i="41"/>
  <c r="J30" i="41"/>
  <c r="J29" i="41"/>
  <c r="L28" i="41"/>
  <c r="K28" i="41"/>
  <c r="J28" i="41"/>
  <c r="M952" i="7"/>
  <c r="M951" i="7"/>
  <c r="M950" i="7"/>
  <c r="L952" i="7"/>
  <c r="L951" i="7"/>
  <c r="L950" i="7"/>
  <c r="K952" i="7"/>
  <c r="K951" i="7"/>
  <c r="K950" i="7"/>
  <c r="J952" i="7"/>
  <c r="J951" i="7"/>
  <c r="J950" i="7"/>
  <c r="J811" i="7"/>
  <c r="J810" i="7"/>
  <c r="J809" i="7"/>
  <c r="K741" i="7"/>
  <c r="K740" i="7"/>
  <c r="K739" i="7"/>
  <c r="J741" i="7"/>
  <c r="J740" i="7"/>
  <c r="J739" i="7"/>
  <c r="K643" i="7"/>
  <c r="K642" i="7"/>
  <c r="K641" i="7"/>
  <c r="K640" i="7"/>
  <c r="J643" i="7"/>
  <c r="J642" i="7"/>
  <c r="J641" i="7"/>
  <c r="J640" i="7"/>
  <c r="L298" i="7"/>
  <c r="L297" i="7"/>
  <c r="L296" i="7"/>
  <c r="K298" i="7"/>
  <c r="K297" i="7"/>
  <c r="K296" i="7"/>
  <c r="J298" i="7"/>
  <c r="J297" i="7"/>
  <c r="J296" i="7"/>
  <c r="L299" i="7"/>
  <c r="K299" i="7"/>
  <c r="J299" i="7"/>
  <c r="K200" i="7"/>
  <c r="K199" i="7"/>
  <c r="J200" i="7"/>
  <c r="J199" i="7"/>
  <c r="K198" i="7"/>
  <c r="J198" i="7"/>
  <c r="K143" i="7"/>
  <c r="K142" i="7"/>
  <c r="K141" i="7"/>
  <c r="J144" i="7"/>
  <c r="J143" i="7"/>
  <c r="J142" i="7"/>
  <c r="J141" i="7"/>
  <c r="L68" i="7"/>
  <c r="L67" i="7"/>
  <c r="L66" i="7"/>
  <c r="L65" i="7"/>
  <c r="K68" i="7"/>
  <c r="K67" i="7"/>
  <c r="K66" i="7"/>
  <c r="K65" i="7"/>
  <c r="J68" i="7"/>
  <c r="J67" i="7"/>
  <c r="J66" i="7"/>
  <c r="J65" i="7"/>
  <c r="K100" i="7"/>
  <c r="K99" i="7"/>
  <c r="K98" i="7"/>
  <c r="K97" i="7"/>
  <c r="J100" i="7"/>
  <c r="J99" i="7"/>
  <c r="J98" i="7"/>
  <c r="J97" i="7"/>
  <c r="N182" i="7"/>
  <c r="M182" i="7"/>
  <c r="L182" i="7"/>
  <c r="K182" i="7"/>
  <c r="J182" i="7"/>
  <c r="L94" i="37"/>
  <c r="L93" i="37"/>
  <c r="L92" i="37"/>
  <c r="K94" i="37"/>
  <c r="K93" i="37"/>
  <c r="K92" i="37"/>
  <c r="J94" i="37"/>
  <c r="J93" i="37"/>
  <c r="J92" i="37"/>
  <c r="M82" i="37"/>
  <c r="M81" i="37"/>
  <c r="M80" i="37"/>
  <c r="L82" i="37"/>
  <c r="L81" i="37"/>
  <c r="L80" i="37"/>
  <c r="K82" i="37"/>
  <c r="K81" i="37"/>
  <c r="K80" i="37"/>
  <c r="J82" i="37"/>
  <c r="J81" i="37"/>
  <c r="J80" i="37"/>
  <c r="L67" i="37"/>
  <c r="L66" i="37"/>
  <c r="L65" i="37"/>
  <c r="K67" i="37"/>
  <c r="K66" i="37"/>
  <c r="K65" i="37"/>
  <c r="J67" i="37"/>
  <c r="J66" i="37"/>
  <c r="J65" i="37"/>
  <c r="M25" i="37"/>
  <c r="M24" i="37"/>
  <c r="L25" i="37"/>
  <c r="L24" i="37"/>
  <c r="K25" i="37"/>
  <c r="K24" i="37"/>
  <c r="J25" i="37"/>
  <c r="J24" i="37"/>
  <c r="M86" i="38"/>
  <c r="M84" i="38"/>
  <c r="L86" i="38"/>
  <c r="L85" i="38"/>
  <c r="L84" i="38"/>
  <c r="K86" i="38"/>
  <c r="K85" i="38"/>
  <c r="K84" i="38"/>
  <c r="J86" i="38"/>
  <c r="J85" i="38"/>
  <c r="J84" i="38"/>
  <c r="L68" i="38"/>
  <c r="L69" i="38"/>
  <c r="L70" i="38"/>
  <c r="K70" i="38"/>
  <c r="K69" i="38"/>
  <c r="K68" i="38"/>
  <c r="J70" i="38"/>
  <c r="J69" i="38"/>
  <c r="J68" i="38"/>
  <c r="J45" i="38"/>
  <c r="M46" i="38"/>
  <c r="M45" i="38"/>
  <c r="L46" i="38"/>
  <c r="L45" i="38"/>
  <c r="K46" i="38"/>
  <c r="K45" i="38"/>
  <c r="J46" i="38"/>
  <c r="M31" i="38"/>
  <c r="M30" i="38"/>
  <c r="M29" i="38"/>
  <c r="L31" i="38"/>
  <c r="L30" i="38"/>
  <c r="L29" i="38"/>
  <c r="K31" i="38"/>
  <c r="K30" i="38"/>
  <c r="K29" i="38"/>
  <c r="J31" i="38"/>
  <c r="J30" i="38"/>
  <c r="J29" i="38"/>
  <c r="J15" i="38"/>
  <c r="L89" i="27"/>
  <c r="L88" i="27"/>
  <c r="M87" i="27"/>
  <c r="M89" i="27"/>
  <c r="M88" i="27"/>
  <c r="L87" i="27"/>
  <c r="K89" i="27"/>
  <c r="K88" i="27"/>
  <c r="K87" i="27"/>
  <c r="J89" i="27"/>
  <c r="J88" i="27"/>
  <c r="J87" i="27"/>
  <c r="J107" i="27"/>
  <c r="L123" i="27"/>
  <c r="L122" i="27"/>
  <c r="L121" i="27"/>
  <c r="K123" i="27"/>
  <c r="K122" i="27"/>
  <c r="K121" i="27"/>
  <c r="J123" i="27"/>
  <c r="J122" i="27"/>
  <c r="J121" i="27"/>
  <c r="L109" i="27"/>
  <c r="L108" i="27"/>
  <c r="L107" i="27"/>
  <c r="K109" i="27"/>
  <c r="K108" i="27"/>
  <c r="K107" i="27"/>
  <c r="J109" i="27"/>
  <c r="J108" i="27"/>
  <c r="M44" i="27"/>
  <c r="M43" i="27"/>
  <c r="M42" i="27"/>
  <c r="L44" i="27"/>
  <c r="L43" i="27"/>
  <c r="L42" i="27"/>
  <c r="K44" i="27"/>
  <c r="K43" i="27"/>
  <c r="K42" i="27"/>
  <c r="J44" i="27"/>
  <c r="J43" i="27"/>
  <c r="J42" i="27"/>
  <c r="L18" i="35"/>
  <c r="K18" i="35"/>
  <c r="J18" i="35"/>
  <c r="L17" i="35"/>
  <c r="K17" i="35"/>
  <c r="J17" i="35"/>
  <c r="L16" i="35"/>
  <c r="K16" i="35"/>
  <c r="J16" i="35"/>
  <c r="L15" i="35"/>
  <c r="K15" i="35"/>
  <c r="J15" i="35"/>
  <c r="L14" i="35"/>
  <c r="K14" i="35"/>
  <c r="J14" i="35"/>
  <c r="M305" i="25"/>
  <c r="M304" i="25"/>
  <c r="M303" i="25"/>
  <c r="L305" i="25"/>
  <c r="L304" i="25"/>
  <c r="L303" i="25"/>
  <c r="K305" i="25"/>
  <c r="K304" i="25"/>
  <c r="K303" i="25"/>
  <c r="J305" i="25"/>
  <c r="J304" i="25"/>
  <c r="J303" i="25"/>
  <c r="M491" i="25"/>
  <c r="M490" i="25"/>
  <c r="M489" i="25"/>
  <c r="L491" i="25"/>
  <c r="L490" i="25"/>
  <c r="L489" i="25"/>
  <c r="K491" i="25"/>
  <c r="K490" i="25"/>
  <c r="K489" i="25"/>
  <c r="J491" i="25"/>
  <c r="J490" i="25"/>
  <c r="J489" i="25"/>
  <c r="M288" i="25"/>
  <c r="M287" i="25"/>
  <c r="M286" i="25"/>
  <c r="L288" i="25"/>
  <c r="L287" i="25"/>
  <c r="L286" i="25"/>
  <c r="K288" i="25"/>
  <c r="K287" i="25"/>
  <c r="K286" i="25"/>
  <c r="J288" i="25"/>
  <c r="J287" i="25"/>
  <c r="J286" i="25"/>
  <c r="M272" i="25"/>
  <c r="M271" i="25"/>
  <c r="M270" i="25"/>
  <c r="L272" i="25"/>
  <c r="L271" i="25"/>
  <c r="L270" i="25"/>
  <c r="K272" i="25"/>
  <c r="K271" i="25"/>
  <c r="K270" i="25"/>
  <c r="J272" i="25"/>
  <c r="J271" i="25"/>
  <c r="J270" i="25"/>
  <c r="M256" i="25"/>
  <c r="L256" i="25"/>
  <c r="K256" i="25"/>
  <c r="J256" i="25"/>
  <c r="M255" i="25"/>
  <c r="L255" i="25"/>
  <c r="K255" i="25"/>
  <c r="J255" i="25"/>
  <c r="M254" i="25"/>
  <c r="L254" i="25"/>
  <c r="K254" i="25"/>
  <c r="J254" i="25"/>
  <c r="M217" i="25"/>
  <c r="L217" i="25"/>
  <c r="K217" i="25"/>
  <c r="J217" i="25"/>
  <c r="M216" i="25"/>
  <c r="L216" i="25"/>
  <c r="K216" i="25"/>
  <c r="J216" i="25"/>
  <c r="M215" i="25"/>
  <c r="L215" i="25"/>
  <c r="K215" i="25"/>
  <c r="J215" i="25"/>
  <c r="N202" i="25"/>
  <c r="N201" i="25"/>
  <c r="N200" i="25"/>
  <c r="M202" i="25"/>
  <c r="M201" i="25"/>
  <c r="M200" i="25"/>
  <c r="L202" i="25"/>
  <c r="L201" i="25"/>
  <c r="L200" i="25"/>
  <c r="K202" i="25"/>
  <c r="K201" i="25"/>
  <c r="K200" i="25"/>
  <c r="J202" i="25"/>
  <c r="J201" i="25"/>
  <c r="J200" i="25"/>
  <c r="M382" i="25"/>
  <c r="M381" i="25"/>
  <c r="M380" i="25"/>
  <c r="L382" i="25"/>
  <c r="L381" i="25"/>
  <c r="L380" i="25"/>
  <c r="K382" i="25"/>
  <c r="K381" i="25"/>
  <c r="K380" i="25"/>
  <c r="J382" i="25"/>
  <c r="J381" i="25"/>
  <c r="J380" i="25"/>
  <c r="M84" i="25"/>
  <c r="M83" i="25"/>
  <c r="M82" i="25"/>
  <c r="L84" i="25"/>
  <c r="L83" i="25"/>
  <c r="L82" i="25"/>
  <c r="K84" i="25"/>
  <c r="K83" i="25"/>
  <c r="K82" i="25"/>
  <c r="J84" i="25"/>
  <c r="J83" i="25"/>
  <c r="J82" i="25"/>
  <c r="M29" i="25"/>
  <c r="M28" i="25"/>
  <c r="L29" i="25"/>
  <c r="L28" i="25"/>
  <c r="K29" i="25"/>
  <c r="K28" i="25"/>
  <c r="J29" i="25"/>
  <c r="J28" i="25"/>
  <c r="M15" i="25"/>
  <c r="M14" i="25"/>
  <c r="M13" i="25"/>
  <c r="L15" i="25"/>
  <c r="L14" i="25"/>
  <c r="L13" i="25"/>
  <c r="K15" i="25"/>
  <c r="K14" i="25"/>
  <c r="K13" i="25"/>
  <c r="J15" i="25"/>
  <c r="J14" i="25"/>
  <c r="J13" i="25"/>
  <c r="L30" i="7"/>
  <c r="L29" i="7"/>
  <c r="L28" i="7"/>
  <c r="K30" i="7"/>
  <c r="K29" i="7"/>
  <c r="K28" i="7"/>
  <c r="J30" i="7"/>
  <c r="J29" i="7"/>
  <c r="J28" i="7"/>
  <c r="M16" i="15"/>
  <c r="L16" i="15"/>
  <c r="K16" i="15"/>
  <c r="J16" i="15"/>
  <c r="J76" i="14"/>
  <c r="M19" i="12"/>
  <c r="L19" i="12"/>
  <c r="K19" i="12"/>
  <c r="J19" i="12"/>
  <c r="M16" i="12"/>
  <c r="L16" i="12"/>
  <c r="K16" i="12"/>
  <c r="J16" i="12"/>
  <c r="L586" i="7"/>
  <c r="L585" i="7"/>
  <c r="L584" i="7"/>
  <c r="K586" i="7"/>
  <c r="K585" i="7"/>
  <c r="K584" i="7"/>
  <c r="J586" i="7"/>
  <c r="J585" i="7"/>
  <c r="J584" i="7"/>
  <c r="M125" i="37"/>
  <c r="M124" i="37"/>
  <c r="M123" i="37"/>
  <c r="L125" i="37"/>
  <c r="L124" i="37"/>
  <c r="L123" i="37"/>
  <c r="K125" i="37"/>
  <c r="K124" i="37"/>
  <c r="K123" i="37"/>
  <c r="J125" i="37"/>
  <c r="J124" i="37"/>
  <c r="J123" i="37"/>
  <c r="L326" i="34"/>
  <c r="L325" i="34"/>
  <c r="L324" i="34"/>
  <c r="K326" i="34"/>
  <c r="K325" i="34"/>
  <c r="K324" i="34"/>
  <c r="J326" i="34"/>
  <c r="J325" i="34"/>
  <c r="M310" i="34"/>
  <c r="M309" i="34"/>
  <c r="M308" i="34"/>
  <c r="L310" i="34"/>
  <c r="L309" i="34"/>
  <c r="L308" i="34"/>
  <c r="K310" i="34"/>
  <c r="K309" i="34"/>
  <c r="K308" i="34"/>
  <c r="J310" i="34"/>
  <c r="J309" i="34"/>
  <c r="J308" i="34"/>
  <c r="M265" i="34"/>
  <c r="M264" i="34"/>
  <c r="M263" i="34"/>
  <c r="L265" i="34"/>
  <c r="L264" i="34"/>
  <c r="L263" i="34"/>
  <c r="K265" i="34"/>
  <c r="K264" i="34"/>
  <c r="K263" i="34"/>
  <c r="J265" i="34"/>
  <c r="J264" i="34"/>
  <c r="J263" i="34"/>
  <c r="N249" i="34"/>
  <c r="N248" i="34"/>
  <c r="M249" i="34"/>
  <c r="M248" i="34"/>
  <c r="L249" i="34"/>
  <c r="L248" i="34"/>
  <c r="K249" i="34"/>
  <c r="K248" i="34"/>
  <c r="N250" i="34"/>
  <c r="M250" i="34"/>
  <c r="L250" i="34"/>
  <c r="K250" i="34"/>
  <c r="J250" i="34"/>
  <c r="J249" i="34"/>
  <c r="J248" i="34"/>
  <c r="M236" i="34"/>
  <c r="M235" i="34"/>
  <c r="L236" i="34"/>
  <c r="L235" i="34"/>
  <c r="K236" i="34"/>
  <c r="K235" i="34"/>
  <c r="J236" i="34"/>
  <c r="J235" i="34"/>
  <c r="M234" i="34"/>
  <c r="L234" i="34"/>
  <c r="K234" i="34"/>
  <c r="J234" i="34"/>
  <c r="M233" i="34"/>
  <c r="L233" i="34"/>
  <c r="K233" i="34"/>
  <c r="J233" i="34"/>
  <c r="M232" i="34"/>
  <c r="L232" i="34"/>
  <c r="K232" i="34"/>
  <c r="J232" i="34"/>
  <c r="N199" i="34"/>
  <c r="M199" i="34"/>
  <c r="L199" i="34"/>
  <c r="K199" i="34"/>
  <c r="N198" i="34"/>
  <c r="N197" i="34"/>
  <c r="M198" i="34"/>
  <c r="M197" i="34"/>
  <c r="L198" i="34"/>
  <c r="L197" i="34"/>
  <c r="K198" i="34"/>
  <c r="K197" i="34"/>
  <c r="J198" i="34"/>
  <c r="J199" i="34"/>
  <c r="J197" i="34"/>
  <c r="N279" i="34"/>
  <c r="M279" i="34"/>
  <c r="L279" i="34"/>
  <c r="K279" i="34"/>
  <c r="J279" i="34"/>
  <c r="N278" i="34"/>
  <c r="N277" i="34"/>
  <c r="M278" i="34"/>
  <c r="M277" i="34"/>
  <c r="L278" i="34"/>
  <c r="L277" i="34"/>
  <c r="K278" i="34"/>
  <c r="K277" i="34"/>
  <c r="J278" i="34"/>
  <c r="J277" i="34"/>
  <c r="M181" i="34"/>
  <c r="M180" i="34"/>
  <c r="M179" i="34"/>
  <c r="L181" i="34"/>
  <c r="L180" i="34"/>
  <c r="L179" i="34"/>
  <c r="K181" i="34"/>
  <c r="K180" i="34"/>
  <c r="K179" i="34"/>
  <c r="J181" i="34"/>
  <c r="J180" i="34"/>
  <c r="J179" i="34"/>
  <c r="N72" i="34"/>
  <c r="M72" i="34"/>
  <c r="L72" i="34"/>
  <c r="K72" i="34"/>
  <c r="J72" i="34"/>
  <c r="N71" i="34"/>
  <c r="M71" i="34"/>
  <c r="L71" i="34"/>
  <c r="K71" i="34"/>
  <c r="J71" i="34"/>
  <c r="N70" i="34"/>
  <c r="M70" i="34"/>
  <c r="L70" i="34"/>
  <c r="K70" i="34"/>
  <c r="J70" i="34"/>
  <c r="L131" i="34"/>
  <c r="L130" i="34"/>
  <c r="L129" i="34"/>
  <c r="K131" i="34"/>
  <c r="K130" i="34"/>
  <c r="K129" i="34"/>
  <c r="J131" i="34"/>
  <c r="J130" i="34"/>
  <c r="J129" i="34"/>
  <c r="L128" i="34"/>
  <c r="K128" i="34"/>
  <c r="J128" i="34"/>
  <c r="L127" i="34"/>
  <c r="K127" i="34"/>
  <c r="J127" i="34"/>
  <c r="N32" i="34"/>
  <c r="M32" i="34"/>
  <c r="L32" i="34"/>
  <c r="K32" i="34"/>
  <c r="J32" i="34"/>
  <c r="N31" i="34"/>
  <c r="M31" i="34"/>
  <c r="L31" i="34"/>
  <c r="K31" i="34"/>
  <c r="J31" i="34"/>
  <c r="N30" i="34"/>
  <c r="M30" i="34"/>
  <c r="L30" i="34"/>
  <c r="K30" i="34"/>
  <c r="J30" i="34"/>
  <c r="M17" i="34"/>
  <c r="M16" i="34"/>
  <c r="L17" i="34"/>
  <c r="L16" i="34"/>
  <c r="K17" i="34"/>
  <c r="K16" i="34"/>
  <c r="J17" i="34"/>
  <c r="J16" i="34"/>
  <c r="M15" i="34"/>
  <c r="L15" i="34"/>
  <c r="K15" i="34"/>
  <c r="J15" i="34"/>
  <c r="K209" i="40"/>
  <c r="K208" i="40"/>
  <c r="K207" i="40"/>
  <c r="J209" i="40"/>
  <c r="J208" i="40"/>
  <c r="J207" i="40"/>
  <c r="J181" i="40"/>
  <c r="J180" i="40"/>
  <c r="J179" i="40"/>
  <c r="J99" i="40"/>
  <c r="J98" i="40"/>
  <c r="J71" i="40"/>
  <c r="J70" i="40"/>
  <c r="J69" i="40"/>
  <c r="J34" i="40"/>
  <c r="J33" i="40"/>
  <c r="K24" i="40"/>
  <c r="K23" i="40"/>
  <c r="K22" i="40"/>
  <c r="J24" i="40"/>
  <c r="J23" i="40"/>
  <c r="J22" i="40"/>
  <c r="K51" i="40"/>
  <c r="K50" i="40"/>
  <c r="J51" i="40"/>
  <c r="J50" i="40"/>
  <c r="J49" i="40"/>
  <c r="J127" i="40"/>
  <c r="J126" i="40"/>
  <c r="J110" i="40"/>
  <c r="J109" i="40"/>
  <c r="J108" i="40"/>
  <c r="K155" i="40"/>
  <c r="K154" i="40"/>
  <c r="K153" i="40"/>
  <c r="J155" i="40"/>
  <c r="J154" i="40"/>
  <c r="J153" i="40"/>
  <c r="J10" i="40"/>
  <c r="J9" i="40"/>
  <c r="J85" i="40"/>
  <c r="J84" i="40"/>
  <c r="J83" i="40"/>
  <c r="N183" i="7"/>
  <c r="N181" i="7"/>
  <c r="N180" i="7"/>
  <c r="M181" i="7"/>
  <c r="M180" i="7"/>
  <c r="L181" i="7"/>
  <c r="L180" i="7"/>
  <c r="K181" i="7"/>
  <c r="K180" i="7"/>
  <c r="J181" i="7"/>
  <c r="J180" i="7"/>
  <c r="M164" i="34"/>
  <c r="M163" i="34"/>
  <c r="M162" i="34"/>
  <c r="M161" i="34"/>
  <c r="M160" i="34"/>
  <c r="M159" i="34"/>
  <c r="L164" i="34"/>
  <c r="L163" i="34"/>
  <c r="L162" i="34"/>
  <c r="L161" i="34"/>
  <c r="L160" i="34"/>
  <c r="L159" i="34"/>
  <c r="K164" i="34"/>
  <c r="K163" i="34"/>
  <c r="K162" i="34"/>
  <c r="K161" i="34"/>
  <c r="K160" i="34"/>
  <c r="K159" i="34"/>
  <c r="J164" i="34"/>
  <c r="J163" i="34"/>
  <c r="J162" i="34"/>
  <c r="J161" i="34"/>
  <c r="J160" i="34"/>
  <c r="J159" i="34"/>
  <c r="M15" i="36"/>
  <c r="M14" i="36"/>
  <c r="M13" i="36"/>
  <c r="M12" i="36"/>
  <c r="L15" i="36"/>
  <c r="L14" i="36"/>
  <c r="L13" i="36"/>
  <c r="L12" i="36"/>
  <c r="K15" i="36"/>
  <c r="K14" i="36"/>
  <c r="K13" i="36"/>
  <c r="K12" i="36"/>
  <c r="J15" i="36"/>
  <c r="J14" i="36"/>
  <c r="J13" i="36"/>
  <c r="J12" i="36"/>
  <c r="M21" i="12"/>
  <c r="M18" i="12"/>
  <c r="L21" i="12"/>
  <c r="L18" i="12"/>
  <c r="K21" i="12"/>
  <c r="K18" i="12"/>
  <c r="J21" i="12"/>
  <c r="J18" i="12"/>
  <c r="M20" i="12"/>
  <c r="M17" i="12"/>
  <c r="L20" i="12"/>
  <c r="L17" i="12"/>
  <c r="K20" i="12"/>
  <c r="K17" i="12"/>
  <c r="J20" i="12"/>
  <c r="J17" i="12"/>
  <c r="N72" i="41"/>
  <c r="N71" i="41"/>
  <c r="N70" i="41"/>
  <c r="M72" i="41"/>
  <c r="M71" i="41"/>
  <c r="M70" i="41"/>
  <c r="L72" i="41"/>
  <c r="L71" i="41"/>
  <c r="L70" i="41"/>
  <c r="K72" i="41"/>
  <c r="K71" i="41"/>
  <c r="K70" i="41"/>
  <c r="J72" i="41"/>
  <c r="J71" i="41"/>
  <c r="J70" i="41"/>
  <c r="L223" i="36"/>
  <c r="L221" i="36"/>
  <c r="K223" i="36"/>
  <c r="K221" i="36"/>
  <c r="J223" i="36"/>
  <c r="J221" i="36"/>
  <c r="L222" i="36"/>
  <c r="L220" i="36"/>
  <c r="K222" i="36"/>
  <c r="K220" i="36"/>
  <c r="J222" i="36"/>
  <c r="J220" i="36"/>
  <c r="L387" i="36"/>
  <c r="L386" i="36"/>
  <c r="K387" i="36"/>
  <c r="K386" i="36"/>
  <c r="J387" i="36"/>
  <c r="J386" i="36"/>
  <c r="L385" i="36"/>
  <c r="K385" i="36"/>
  <c r="J385" i="36"/>
  <c r="M39" i="37"/>
  <c r="M38" i="37"/>
  <c r="M37" i="37"/>
  <c r="L39" i="37"/>
  <c r="L38" i="37"/>
  <c r="L37" i="37"/>
  <c r="K39" i="37"/>
  <c r="K38" i="37"/>
  <c r="K37" i="37"/>
  <c r="J39" i="37"/>
  <c r="J38" i="37"/>
  <c r="J37" i="37"/>
  <c r="N15" i="41"/>
  <c r="N14" i="41"/>
  <c r="N13" i="41"/>
  <c r="M15" i="41"/>
  <c r="M14" i="41"/>
  <c r="M13" i="41"/>
  <c r="L15" i="41"/>
  <c r="L14" i="41"/>
  <c r="L13" i="41"/>
  <c r="K15" i="41"/>
  <c r="K14" i="41"/>
  <c r="K13" i="41"/>
  <c r="J15" i="41"/>
  <c r="J14" i="41"/>
  <c r="J13" i="41"/>
  <c r="L15" i="32"/>
  <c r="L14" i="32"/>
  <c r="L13" i="32"/>
  <c r="K15" i="32"/>
  <c r="K14" i="32"/>
  <c r="K13" i="32"/>
  <c r="J15" i="32"/>
  <c r="J14" i="32"/>
  <c r="J13" i="32"/>
  <c r="M15" i="31"/>
  <c r="M14" i="31"/>
  <c r="L15" i="31"/>
  <c r="L14" i="31"/>
  <c r="L13" i="31"/>
  <c r="K15" i="31"/>
  <c r="K14" i="31"/>
  <c r="K13" i="31"/>
  <c r="J15" i="31"/>
  <c r="J14" i="31"/>
  <c r="J13" i="31"/>
  <c r="L19" i="23"/>
  <c r="L18" i="23"/>
  <c r="L17" i="23"/>
  <c r="K19" i="23"/>
  <c r="K18" i="23"/>
  <c r="K17" i="23"/>
  <c r="J19" i="23"/>
  <c r="J18" i="23"/>
  <c r="J17" i="23"/>
  <c r="L472" i="36"/>
  <c r="L471" i="36"/>
  <c r="L470" i="36"/>
  <c r="K472" i="36"/>
  <c r="K471" i="36"/>
  <c r="K470" i="36"/>
  <c r="J472" i="36"/>
  <c r="J471" i="36"/>
  <c r="J470" i="36"/>
  <c r="J484" i="36"/>
  <c r="J485" i="36"/>
  <c r="J486" i="36"/>
  <c r="K484" i="36"/>
  <c r="K485" i="36"/>
  <c r="K486" i="36"/>
  <c r="M486" i="36"/>
  <c r="M485" i="36"/>
  <c r="M484" i="36"/>
  <c r="L486" i="36"/>
  <c r="L485" i="36"/>
  <c r="L484" i="36"/>
  <c r="L31" i="39"/>
  <c r="L30" i="39"/>
  <c r="L29" i="39"/>
  <c r="K31" i="39"/>
  <c r="K30" i="39"/>
  <c r="K29" i="39"/>
  <c r="J31" i="39"/>
  <c r="J30" i="39"/>
  <c r="L723" i="7"/>
  <c r="M346" i="7"/>
  <c r="K346" i="7"/>
  <c r="L157" i="25"/>
  <c r="L156" i="25"/>
  <c r="L155" i="25"/>
  <c r="K157" i="25"/>
  <c r="K156" i="25"/>
  <c r="K155" i="25"/>
  <c r="L154" i="25"/>
  <c r="K154" i="25"/>
  <c r="J157" i="25"/>
  <c r="J156" i="25"/>
  <c r="J155" i="25"/>
  <c r="J154" i="25"/>
  <c r="L153" i="25"/>
  <c r="L152" i="25"/>
  <c r="L151" i="25"/>
  <c r="K153" i="25"/>
  <c r="K152" i="25"/>
  <c r="K151" i="25"/>
  <c r="J153" i="25"/>
  <c r="J152" i="25"/>
  <c r="J151" i="25"/>
  <c r="L150" i="25"/>
  <c r="L149" i="25"/>
  <c r="K150" i="25"/>
  <c r="K149" i="25"/>
  <c r="J150" i="25"/>
  <c r="J149" i="25"/>
  <c r="L67" i="25"/>
  <c r="L66" i="25"/>
  <c r="L65" i="25"/>
  <c r="K67" i="25"/>
  <c r="K66" i="25"/>
  <c r="K65" i="25"/>
  <c r="J67" i="25"/>
  <c r="J66" i="25"/>
  <c r="J65" i="25"/>
  <c r="L64" i="25"/>
  <c r="L63" i="25"/>
  <c r="L62" i="25"/>
  <c r="K64" i="25"/>
  <c r="K63" i="25"/>
  <c r="K62" i="25"/>
  <c r="J64" i="25"/>
  <c r="J63" i="25"/>
  <c r="J62" i="25"/>
  <c r="L68" i="25"/>
  <c r="K68" i="25"/>
  <c r="J68" i="25"/>
  <c r="L83" i="30"/>
  <c r="L82" i="30"/>
  <c r="L81" i="30"/>
  <c r="K83" i="30"/>
  <c r="K82" i="30"/>
  <c r="K81" i="30"/>
  <c r="J83" i="30"/>
  <c r="J82" i="30"/>
  <c r="J81" i="30"/>
  <c r="M194" i="30"/>
  <c r="M193" i="30"/>
  <c r="M192" i="30"/>
  <c r="L194" i="30"/>
  <c r="L193" i="30"/>
  <c r="L192" i="30"/>
  <c r="K194" i="30"/>
  <c r="K193" i="30"/>
  <c r="K192" i="30"/>
  <c r="J194" i="30"/>
  <c r="J193" i="30"/>
  <c r="J192" i="30"/>
  <c r="J179" i="30"/>
  <c r="J178" i="30"/>
  <c r="J177" i="30"/>
  <c r="J217" i="30"/>
  <c r="J14" i="28"/>
  <c r="J13" i="28"/>
  <c r="J12" i="28"/>
  <c r="J25" i="28"/>
  <c r="L17" i="30"/>
  <c r="L16" i="30"/>
  <c r="L15" i="30"/>
  <c r="K17" i="30"/>
  <c r="K16" i="30"/>
  <c r="K15" i="30"/>
  <c r="J17" i="30"/>
  <c r="J16" i="30"/>
  <c r="J15" i="30"/>
  <c r="J70" i="28"/>
  <c r="J69" i="28"/>
  <c r="J68" i="28"/>
  <c r="J52" i="28"/>
  <c r="N411" i="25"/>
  <c r="N410" i="25"/>
  <c r="N409" i="25"/>
  <c r="M411" i="25"/>
  <c r="M410" i="25"/>
  <c r="M409" i="25"/>
  <c r="L411" i="25"/>
  <c r="L410" i="25"/>
  <c r="L409" i="25"/>
  <c r="K411" i="25"/>
  <c r="K410" i="25"/>
  <c r="K409" i="25"/>
  <c r="J411" i="25"/>
  <c r="J410" i="25"/>
  <c r="J409" i="25"/>
  <c r="L13" i="8"/>
  <c r="L12" i="8"/>
  <c r="L11" i="8"/>
  <c r="K13" i="8"/>
  <c r="K12" i="8"/>
  <c r="J13" i="8"/>
  <c r="J12" i="8"/>
  <c r="J11" i="8"/>
  <c r="K907" i="7"/>
  <c r="K906" i="7"/>
  <c r="K905" i="7"/>
  <c r="K904" i="7"/>
  <c r="J907" i="7"/>
  <c r="J906" i="7"/>
  <c r="J905" i="7"/>
  <c r="J904" i="7"/>
  <c r="J12" i="29"/>
  <c r="J11" i="29"/>
  <c r="J10" i="29"/>
  <c r="L16" i="27"/>
  <c r="L15" i="27"/>
  <c r="L14" i="27"/>
  <c r="L13" i="27"/>
  <c r="K16" i="27"/>
  <c r="K15" i="27"/>
  <c r="K14" i="27"/>
  <c r="K13" i="27"/>
  <c r="J16" i="27"/>
  <c r="J15" i="27"/>
  <c r="J14" i="27"/>
  <c r="J13" i="27"/>
  <c r="J27" i="27"/>
  <c r="L75" i="27"/>
  <c r="L74" i="27"/>
  <c r="L73" i="27"/>
  <c r="K75" i="27"/>
  <c r="K74" i="27"/>
  <c r="K73" i="27"/>
  <c r="J75" i="27"/>
  <c r="J74" i="27"/>
  <c r="J73" i="27"/>
  <c r="L54" i="7"/>
  <c r="L53" i="7"/>
  <c r="L52" i="7"/>
  <c r="L51" i="7"/>
  <c r="K54" i="7"/>
  <c r="K53" i="7"/>
  <c r="K52" i="7"/>
  <c r="K51" i="7"/>
  <c r="J54" i="7"/>
  <c r="J53" i="7"/>
  <c r="J52" i="7"/>
  <c r="J51" i="7"/>
  <c r="M48" i="25"/>
  <c r="M47" i="25"/>
  <c r="M46" i="25"/>
  <c r="M45" i="25"/>
  <c r="M44" i="25"/>
  <c r="L48" i="25"/>
  <c r="L47" i="25"/>
  <c r="L46" i="25"/>
  <c r="L45" i="25"/>
  <c r="L44" i="25"/>
  <c r="K48" i="25"/>
  <c r="K47" i="25"/>
  <c r="K46" i="25"/>
  <c r="K45" i="25"/>
  <c r="K44" i="25"/>
  <c r="J48" i="25"/>
  <c r="J47" i="25"/>
  <c r="J46" i="25"/>
  <c r="J45" i="25"/>
  <c r="J44" i="25"/>
  <c r="L31" i="31"/>
  <c r="L30" i="31"/>
  <c r="L29" i="31"/>
  <c r="K31" i="31"/>
  <c r="K30" i="31"/>
  <c r="K29" i="31"/>
  <c r="J31" i="31"/>
  <c r="J30" i="31"/>
  <c r="J29" i="31"/>
  <c r="M548" i="36"/>
  <c r="M547" i="36"/>
  <c r="M546" i="36"/>
  <c r="L548" i="36"/>
  <c r="L547" i="36"/>
  <c r="L546" i="36"/>
  <c r="K548" i="36"/>
  <c r="K547" i="36"/>
  <c r="K546" i="36"/>
  <c r="J548" i="36"/>
  <c r="J547" i="36"/>
  <c r="J546" i="36"/>
  <c r="J73" i="14"/>
  <c r="L587" i="7"/>
  <c r="K587" i="7"/>
  <c r="J587" i="7"/>
  <c r="L31" i="7"/>
  <c r="K31" i="7"/>
  <c r="J31" i="7"/>
  <c r="K15" i="22"/>
  <c r="K14" i="22"/>
  <c r="K13" i="22"/>
  <c r="J15" i="22"/>
  <c r="J14" i="22"/>
  <c r="J13" i="22"/>
  <c r="J40" i="29"/>
  <c r="J39" i="29"/>
  <c r="K55" i="28"/>
  <c r="K54" i="28"/>
  <c r="K53" i="28"/>
  <c r="K52" i="28"/>
  <c r="J55" i="28"/>
  <c r="J54" i="28"/>
  <c r="J53" i="28"/>
  <c r="L13" i="17"/>
  <c r="L12" i="17"/>
  <c r="L11" i="17"/>
  <c r="K13" i="17"/>
  <c r="K12" i="17"/>
  <c r="K11" i="17"/>
  <c r="J13" i="17"/>
  <c r="J12" i="17"/>
  <c r="J11" i="17"/>
  <c r="M15" i="15"/>
  <c r="M14" i="15"/>
  <c r="L15" i="15"/>
  <c r="L14" i="15"/>
  <c r="K15" i="15"/>
  <c r="K14" i="15"/>
  <c r="J15" i="15"/>
  <c r="J14" i="15"/>
  <c r="M59" i="19"/>
  <c r="M58" i="19"/>
  <c r="M57" i="19"/>
  <c r="L59" i="19"/>
  <c r="L58" i="19"/>
  <c r="L57" i="19"/>
  <c r="K59" i="19"/>
  <c r="K58" i="19"/>
  <c r="K57" i="19"/>
  <c r="J59" i="19"/>
  <c r="J58" i="19"/>
  <c r="J57" i="19"/>
  <c r="M44" i="19"/>
  <c r="M43" i="19"/>
  <c r="M42" i="19"/>
  <c r="L44" i="19"/>
  <c r="L43" i="19"/>
  <c r="L42" i="19"/>
  <c r="K44" i="19"/>
  <c r="K43" i="19"/>
  <c r="K42" i="19"/>
  <c r="J44" i="19"/>
  <c r="J43" i="19"/>
  <c r="J42" i="19"/>
  <c r="M29" i="27"/>
  <c r="M28" i="27"/>
  <c r="M27" i="27"/>
  <c r="L28" i="27"/>
  <c r="M295" i="36"/>
  <c r="M294" i="36"/>
  <c r="M293" i="36"/>
  <c r="L295" i="36"/>
  <c r="L294" i="36"/>
  <c r="L293" i="36"/>
  <c r="K295" i="36"/>
  <c r="K294" i="36"/>
  <c r="K293" i="36"/>
  <c r="J295" i="36"/>
  <c r="J294" i="36"/>
  <c r="J293" i="36"/>
  <c r="M37" i="24"/>
  <c r="M36" i="24"/>
  <c r="M35" i="24"/>
  <c r="L37" i="24"/>
  <c r="L36" i="24"/>
  <c r="L35" i="24"/>
  <c r="L34" i="24"/>
  <c r="K37" i="24"/>
  <c r="K36" i="24"/>
  <c r="K35" i="24"/>
  <c r="K34" i="24"/>
  <c r="J37" i="24"/>
  <c r="J36" i="24"/>
  <c r="J35" i="24"/>
  <c r="J34" i="24"/>
  <c r="J968" i="7"/>
  <c r="J967" i="7"/>
  <c r="J966" i="7"/>
  <c r="L358" i="13"/>
  <c r="L357" i="13"/>
  <c r="L356" i="13"/>
  <c r="L355" i="13"/>
  <c r="K358" i="13"/>
  <c r="K357" i="13"/>
  <c r="K356" i="13"/>
  <c r="K355" i="13"/>
  <c r="J358" i="13"/>
  <c r="J357" i="13"/>
  <c r="J356" i="13"/>
  <c r="J355" i="13"/>
  <c r="K15" i="39"/>
  <c r="K14" i="39"/>
  <c r="J15" i="39"/>
  <c r="J14" i="39"/>
  <c r="J46" i="26"/>
  <c r="J45" i="26"/>
  <c r="J44" i="26"/>
  <c r="K18" i="24"/>
  <c r="K17" i="24"/>
  <c r="K16" i="24"/>
  <c r="J18" i="24"/>
  <c r="J17" i="24"/>
  <c r="J16" i="24"/>
  <c r="K471" i="7"/>
  <c r="K470" i="7"/>
  <c r="K469" i="7"/>
  <c r="J471" i="7"/>
  <c r="J470" i="7"/>
  <c r="J469" i="7"/>
  <c r="M443" i="7"/>
  <c r="M442" i="7"/>
  <c r="M441" i="7"/>
  <c r="L443" i="7"/>
  <c r="L442" i="7"/>
  <c r="L441" i="7"/>
  <c r="K443" i="7"/>
  <c r="K442" i="7"/>
  <c r="K441" i="7"/>
  <c r="J441" i="7"/>
  <c r="K26" i="17"/>
  <c r="K25" i="17"/>
  <c r="K24" i="17"/>
  <c r="J26" i="17"/>
  <c r="J25" i="17"/>
  <c r="J24" i="17"/>
  <c r="L325" i="13"/>
  <c r="L324" i="13"/>
  <c r="L323" i="13"/>
  <c r="K325" i="13"/>
  <c r="K324" i="13"/>
  <c r="K323" i="13"/>
  <c r="J325" i="13"/>
  <c r="J324" i="13"/>
  <c r="J323" i="13"/>
  <c r="L20" i="18"/>
  <c r="L19" i="18"/>
  <c r="L18" i="18"/>
  <c r="K18" i="18"/>
  <c r="K20" i="18"/>
  <c r="J20" i="18"/>
  <c r="J19" i="18"/>
  <c r="J18" i="18"/>
  <c r="K93" i="26"/>
  <c r="K92" i="26"/>
  <c r="J93" i="26"/>
  <c r="J92" i="26"/>
  <c r="K27" i="29"/>
  <c r="K26" i="29"/>
  <c r="K25" i="29"/>
  <c r="J27" i="29"/>
  <c r="J26" i="29"/>
  <c r="J25" i="29"/>
  <c r="M441" i="25"/>
  <c r="M440" i="25"/>
  <c r="K440" i="25"/>
  <c r="L441" i="25"/>
  <c r="L440" i="25"/>
  <c r="K441" i="25"/>
  <c r="J441" i="25"/>
  <c r="J440" i="25"/>
  <c r="J26" i="14"/>
  <c r="J15" i="16"/>
  <c r="J14" i="16"/>
  <c r="J13" i="16"/>
  <c r="I15" i="16"/>
  <c r="I14" i="16"/>
  <c r="I13" i="16"/>
  <c r="N12" i="37"/>
  <c r="N11" i="37"/>
  <c r="N10" i="37"/>
  <c r="M12" i="37"/>
  <c r="M11" i="37"/>
  <c r="M10" i="37"/>
  <c r="L12" i="37"/>
  <c r="L11" i="37"/>
  <c r="L10" i="37"/>
  <c r="K12" i="37"/>
  <c r="K11" i="37"/>
  <c r="K10" i="37"/>
  <c r="J12" i="37"/>
  <c r="J11" i="37"/>
  <c r="J10" i="37"/>
  <c r="L186" i="36"/>
  <c r="L185" i="36"/>
  <c r="K186" i="36"/>
  <c r="K185" i="36"/>
  <c r="J186" i="36"/>
  <c r="J185" i="36"/>
  <c r="M327" i="36"/>
  <c r="K327" i="36"/>
  <c r="J327" i="36"/>
  <c r="L62" i="36"/>
  <c r="L61" i="36"/>
  <c r="L60" i="36"/>
  <c r="K62" i="36"/>
  <c r="K61" i="36"/>
  <c r="K60" i="36"/>
  <c r="J62" i="36"/>
  <c r="J61" i="36"/>
  <c r="J60" i="36"/>
  <c r="L43" i="36"/>
  <c r="L42" i="36"/>
  <c r="K43" i="36"/>
  <c r="K42" i="36"/>
  <c r="J43" i="36"/>
  <c r="J42" i="36"/>
  <c r="L29" i="36"/>
  <c r="L28" i="36"/>
  <c r="K29" i="36"/>
  <c r="K28" i="36"/>
  <c r="J29" i="36"/>
  <c r="J28" i="36"/>
  <c r="M368" i="25"/>
  <c r="M367" i="25"/>
  <c r="M366" i="25"/>
  <c r="L368" i="25"/>
  <c r="L367" i="25"/>
  <c r="L366" i="25"/>
  <c r="K368" i="25"/>
  <c r="K367" i="25"/>
  <c r="K366" i="25"/>
  <c r="J368" i="25"/>
  <c r="J367" i="25"/>
  <c r="J366" i="25"/>
  <c r="M337" i="25"/>
  <c r="M336" i="25"/>
  <c r="M335" i="25"/>
  <c r="M334" i="25"/>
  <c r="L337" i="25"/>
  <c r="L336" i="25"/>
  <c r="L335" i="25"/>
  <c r="L334" i="25"/>
  <c r="K337" i="25"/>
  <c r="K336" i="25"/>
  <c r="K335" i="25"/>
  <c r="K334" i="25"/>
  <c r="J337" i="25"/>
  <c r="J336" i="25"/>
  <c r="J335" i="25"/>
  <c r="J334" i="25"/>
  <c r="L462" i="25"/>
  <c r="K462" i="25"/>
  <c r="J462" i="25"/>
  <c r="L461" i="25"/>
  <c r="K461" i="25"/>
  <c r="J461" i="25"/>
  <c r="K60" i="21"/>
  <c r="K59" i="21"/>
  <c r="K58" i="21"/>
  <c r="M384" i="13"/>
  <c r="L384" i="13"/>
  <c r="K384" i="13"/>
  <c r="J384" i="13"/>
  <c r="M227" i="13"/>
  <c r="L227" i="13"/>
  <c r="K227" i="13"/>
  <c r="J227" i="13"/>
  <c r="L209" i="13"/>
  <c r="K209" i="13"/>
  <c r="J208" i="13"/>
  <c r="L403" i="7"/>
  <c r="L402" i="7"/>
  <c r="L401" i="7"/>
  <c r="K403" i="7"/>
  <c r="K402" i="7"/>
  <c r="K401" i="7"/>
  <c r="J403" i="7"/>
  <c r="J402" i="7"/>
  <c r="J401" i="7"/>
  <c r="J920" i="7"/>
  <c r="M569" i="7"/>
  <c r="N627" i="7"/>
  <c r="N626" i="7"/>
  <c r="N625" i="7"/>
  <c r="N624" i="7"/>
  <c r="J624" i="7"/>
  <c r="M627" i="7"/>
  <c r="M626" i="7"/>
  <c r="M625" i="7"/>
  <c r="M624" i="7"/>
  <c r="L627" i="7"/>
  <c r="L626" i="7"/>
  <c r="L625" i="7"/>
  <c r="L624" i="7"/>
  <c r="K627" i="7"/>
  <c r="K626" i="7"/>
  <c r="K625" i="7"/>
  <c r="K624" i="7"/>
  <c r="J627" i="7"/>
  <c r="J626" i="7"/>
  <c r="J625" i="7"/>
  <c r="N346" i="7"/>
  <c r="N345" i="7"/>
  <c r="N344" i="7"/>
  <c r="M345" i="7"/>
  <c r="M344" i="7"/>
  <c r="L346" i="7"/>
  <c r="L345" i="7"/>
  <c r="L344" i="7"/>
  <c r="K345" i="7"/>
  <c r="K344" i="7"/>
  <c r="J346" i="7"/>
  <c r="J345" i="7"/>
  <c r="J344" i="7"/>
  <c r="N347" i="7"/>
  <c r="M347" i="7"/>
  <c r="L347" i="7"/>
  <c r="K347" i="7"/>
  <c r="J347" i="7"/>
  <c r="N16" i="26"/>
  <c r="N15" i="26"/>
  <c r="N14" i="26"/>
  <c r="N13" i="26"/>
  <c r="J13" i="26"/>
  <c r="M16" i="26"/>
  <c r="M15" i="26"/>
  <c r="M14" i="26"/>
  <c r="M13" i="26"/>
  <c r="L16" i="26"/>
  <c r="L15" i="26"/>
  <c r="L14" i="26"/>
  <c r="L13" i="26"/>
  <c r="K15" i="26"/>
  <c r="J15" i="26"/>
  <c r="K16" i="26"/>
  <c r="K14" i="26"/>
  <c r="K13" i="26"/>
  <c r="J16" i="26"/>
  <c r="J14" i="26"/>
  <c r="N258" i="36"/>
  <c r="N257" i="36"/>
  <c r="N256" i="36"/>
  <c r="J256" i="36"/>
  <c r="M258" i="36"/>
  <c r="M257" i="36"/>
  <c r="M256" i="36"/>
  <c r="L258" i="36"/>
  <c r="L257" i="36"/>
  <c r="L256" i="36"/>
  <c r="K258" i="36"/>
  <c r="K257" i="36"/>
  <c r="K256" i="36"/>
  <c r="J257" i="36"/>
  <c r="J258" i="36"/>
  <c r="N99" i="38"/>
  <c r="N98" i="38"/>
  <c r="N97" i="38"/>
  <c r="M99" i="38"/>
  <c r="M98" i="38"/>
  <c r="M97" i="38"/>
  <c r="L99" i="38"/>
  <c r="L98" i="38"/>
  <c r="L97" i="38"/>
  <c r="K99" i="38"/>
  <c r="K98" i="38"/>
  <c r="K97" i="38"/>
  <c r="J99" i="38"/>
  <c r="J98" i="38"/>
  <c r="M17" i="38"/>
  <c r="M16" i="38"/>
  <c r="M15" i="38"/>
  <c r="L17" i="38"/>
  <c r="L16" i="38"/>
  <c r="L15" i="38"/>
  <c r="K17" i="38"/>
  <c r="K16" i="38"/>
  <c r="K15" i="38"/>
  <c r="J17" i="38"/>
  <c r="J16" i="38"/>
  <c r="K27" i="28"/>
  <c r="K26" i="28"/>
  <c r="K25" i="28"/>
  <c r="J27" i="28"/>
  <c r="J26" i="28"/>
  <c r="K13" i="14"/>
  <c r="K12" i="14"/>
  <c r="K11" i="14"/>
  <c r="J13" i="14"/>
  <c r="J12" i="14"/>
  <c r="J11" i="14"/>
  <c r="K29" i="21"/>
  <c r="K28" i="21"/>
  <c r="K27" i="21"/>
  <c r="J29" i="21"/>
  <c r="J28" i="21"/>
  <c r="J27" i="21"/>
  <c r="K32" i="26"/>
  <c r="K31" i="26"/>
  <c r="K30" i="26"/>
  <c r="J32" i="26"/>
  <c r="J31" i="26"/>
  <c r="J30" i="26"/>
  <c r="J15" i="21"/>
  <c r="J14" i="21"/>
  <c r="J13" i="21"/>
  <c r="J12" i="21"/>
  <c r="L51" i="30"/>
  <c r="L50" i="30"/>
  <c r="L49" i="30"/>
  <c r="K51" i="30"/>
  <c r="K50" i="30"/>
  <c r="K49" i="30"/>
  <c r="J51" i="30"/>
  <c r="J50" i="30"/>
  <c r="J49" i="30"/>
  <c r="M326" i="36"/>
  <c r="M325" i="36"/>
  <c r="L327" i="36"/>
  <c r="L326" i="36"/>
  <c r="L325" i="36"/>
  <c r="K326" i="36"/>
  <c r="K325" i="36"/>
  <c r="J326" i="36"/>
  <c r="J325" i="36"/>
  <c r="J41" i="14"/>
  <c r="J40" i="14"/>
  <c r="J39" i="14"/>
  <c r="J38" i="14"/>
  <c r="M164" i="30"/>
  <c r="M163" i="30"/>
  <c r="M162" i="30"/>
  <c r="M161" i="30"/>
  <c r="L164" i="30"/>
  <c r="L163" i="30"/>
  <c r="L162" i="30"/>
  <c r="L161" i="30"/>
  <c r="K164" i="30"/>
  <c r="K163" i="30"/>
  <c r="K162" i="30"/>
  <c r="K161" i="30"/>
  <c r="J164" i="30"/>
  <c r="J163" i="30"/>
  <c r="J162" i="30"/>
  <c r="J161" i="30"/>
  <c r="K85" i="28"/>
  <c r="K84" i="28"/>
  <c r="K83" i="28"/>
  <c r="K82" i="28"/>
  <c r="J84" i="28"/>
  <c r="J83" i="28"/>
  <c r="J82" i="28"/>
  <c r="K40" i="28"/>
  <c r="K39" i="28"/>
  <c r="K38" i="28"/>
  <c r="K37" i="28"/>
  <c r="J39" i="28"/>
  <c r="J38" i="28"/>
  <c r="J37" i="28"/>
  <c r="J60" i="21"/>
  <c r="J59" i="21"/>
  <c r="J58" i="21"/>
  <c r="K45" i="21"/>
  <c r="K44" i="21"/>
  <c r="K43" i="21"/>
  <c r="K42" i="21"/>
  <c r="J45" i="21"/>
  <c r="J44" i="21"/>
  <c r="J43" i="21"/>
  <c r="J42" i="21"/>
  <c r="L463" i="25"/>
  <c r="K463" i="25"/>
  <c r="J463" i="25"/>
  <c r="L78" i="26"/>
  <c r="L77" i="26"/>
  <c r="L76" i="26"/>
  <c r="L75" i="26"/>
  <c r="K77" i="26"/>
  <c r="K76" i="26"/>
  <c r="K75" i="26"/>
  <c r="J77" i="26"/>
  <c r="J76" i="26"/>
  <c r="J75" i="26"/>
  <c r="L62" i="26"/>
  <c r="L61" i="26"/>
  <c r="L60" i="26"/>
  <c r="L59" i="26"/>
  <c r="K61" i="26"/>
  <c r="K60" i="26"/>
  <c r="K59" i="26"/>
  <c r="J61" i="26"/>
  <c r="J60" i="26"/>
  <c r="J59" i="26"/>
  <c r="N16" i="20"/>
  <c r="N15" i="20"/>
  <c r="N14" i="20"/>
  <c r="M16" i="20"/>
  <c r="M15" i="20"/>
  <c r="M14" i="20"/>
  <c r="L14" i="20"/>
  <c r="L16" i="20"/>
  <c r="L15" i="20"/>
  <c r="K16" i="20"/>
  <c r="K15" i="20"/>
  <c r="K14" i="20"/>
  <c r="J16" i="20"/>
  <c r="J15" i="20"/>
  <c r="J14" i="20"/>
  <c r="M356" i="25"/>
  <c r="M355" i="25"/>
  <c r="M354" i="25"/>
  <c r="M353" i="25"/>
  <c r="L356" i="25"/>
  <c r="L355" i="25"/>
  <c r="L354" i="25"/>
  <c r="L353" i="25"/>
  <c r="K356" i="25"/>
  <c r="K355" i="25"/>
  <c r="K354" i="25"/>
  <c r="K353" i="25"/>
  <c r="J356" i="25"/>
  <c r="J355" i="25"/>
  <c r="J354" i="25"/>
  <c r="J353" i="25"/>
  <c r="M383" i="13"/>
  <c r="M382" i="13"/>
  <c r="L383" i="13"/>
  <c r="L382" i="13"/>
  <c r="K383" i="13"/>
  <c r="K382" i="13"/>
  <c r="J383" i="13"/>
  <c r="J382" i="13"/>
  <c r="J14" i="9"/>
  <c r="J13" i="9"/>
  <c r="J12" i="9"/>
  <c r="M328" i="7"/>
  <c r="M327" i="7"/>
  <c r="M326" i="7"/>
  <c r="K328" i="7"/>
  <c r="K327" i="7"/>
  <c r="K326" i="7"/>
  <c r="J328" i="7"/>
  <c r="J327" i="7"/>
  <c r="J326" i="7"/>
  <c r="L326" i="7"/>
  <c r="L28" i="9"/>
  <c r="L27" i="9"/>
  <c r="L26" i="9"/>
  <c r="K28" i="9"/>
  <c r="K27" i="9"/>
  <c r="K26" i="9"/>
  <c r="J28" i="9"/>
  <c r="J27" i="9"/>
  <c r="J26" i="9"/>
  <c r="L893" i="7"/>
  <c r="L892" i="7"/>
  <c r="L891" i="7"/>
  <c r="K893" i="7"/>
  <c r="K892" i="7"/>
  <c r="K891" i="7"/>
  <c r="J893" i="7"/>
  <c r="J892" i="7"/>
  <c r="J891" i="7"/>
  <c r="N241" i="25"/>
  <c r="N240" i="25"/>
  <c r="N239" i="25"/>
  <c r="M241" i="25"/>
  <c r="M240" i="25"/>
  <c r="M239" i="25"/>
  <c r="L241" i="25"/>
  <c r="L240" i="25"/>
  <c r="L239" i="25"/>
  <c r="K241" i="25"/>
  <c r="K240" i="25"/>
  <c r="K239" i="25"/>
  <c r="J241" i="25"/>
  <c r="J240" i="25"/>
  <c r="J239" i="25"/>
  <c r="K31" i="10"/>
  <c r="L31" i="10"/>
  <c r="L30" i="10"/>
  <c r="L29" i="10"/>
  <c r="K30" i="10"/>
  <c r="K29" i="10"/>
  <c r="J31" i="10"/>
  <c r="J30" i="10"/>
  <c r="M396" i="25"/>
  <c r="M395" i="25"/>
  <c r="L395" i="25"/>
  <c r="L396" i="25"/>
  <c r="K396" i="25"/>
  <c r="K395" i="25"/>
  <c r="J396" i="25"/>
  <c r="J395" i="25"/>
  <c r="N192" i="13"/>
  <c r="N191" i="13"/>
  <c r="N190" i="13"/>
  <c r="M192" i="13"/>
  <c r="M191" i="13"/>
  <c r="M190" i="13"/>
  <c r="L192" i="13"/>
  <c r="L191" i="13"/>
  <c r="L190" i="13"/>
  <c r="K192" i="13"/>
  <c r="K191" i="13"/>
  <c r="K190" i="13"/>
  <c r="J192" i="13"/>
  <c r="J191" i="13"/>
  <c r="J190" i="13"/>
  <c r="N172" i="13"/>
  <c r="N171" i="13"/>
  <c r="M172" i="13"/>
  <c r="M171" i="13"/>
  <c r="L172" i="13"/>
  <c r="L171" i="13"/>
  <c r="K172" i="13"/>
  <c r="K171" i="13"/>
  <c r="J172" i="13"/>
  <c r="J171" i="13"/>
  <c r="L146" i="36"/>
  <c r="L145" i="36"/>
  <c r="L144" i="36"/>
  <c r="L143" i="36"/>
  <c r="K146" i="36"/>
  <c r="K145" i="36"/>
  <c r="K144" i="36"/>
  <c r="K143" i="36"/>
  <c r="J146" i="36"/>
  <c r="J145" i="36"/>
  <c r="J144" i="36"/>
  <c r="M130" i="25"/>
  <c r="M129" i="25"/>
  <c r="M128" i="25"/>
  <c r="L130" i="25"/>
  <c r="L129" i="25"/>
  <c r="L128" i="25"/>
  <c r="K130" i="25"/>
  <c r="K129" i="25"/>
  <c r="K128" i="25"/>
  <c r="J130" i="25"/>
  <c r="J129" i="25"/>
  <c r="J128" i="25"/>
  <c r="M134" i="25"/>
  <c r="M133" i="25"/>
  <c r="M132" i="25"/>
  <c r="M131" i="25"/>
  <c r="L134" i="25"/>
  <c r="L133" i="25"/>
  <c r="L132" i="25"/>
  <c r="L131" i="25"/>
  <c r="K134" i="25"/>
  <c r="K133" i="25"/>
  <c r="K132" i="25"/>
  <c r="K131" i="25"/>
  <c r="J134" i="25"/>
  <c r="J133" i="25"/>
  <c r="J132" i="25"/>
  <c r="J131" i="25"/>
  <c r="M478" i="25"/>
  <c r="M477" i="25"/>
  <c r="M476" i="25"/>
  <c r="L478" i="25"/>
  <c r="L477" i="25"/>
  <c r="L476" i="25"/>
  <c r="K478" i="25"/>
  <c r="K477" i="25"/>
  <c r="K476" i="25"/>
  <c r="J478" i="25"/>
  <c r="J477" i="25"/>
  <c r="J476" i="25"/>
  <c r="K669" i="7"/>
  <c r="K668" i="7"/>
  <c r="K667" i="7"/>
  <c r="J669" i="7"/>
  <c r="J668" i="7"/>
  <c r="J667" i="7"/>
  <c r="K142" i="40"/>
  <c r="K141" i="40"/>
  <c r="K140" i="40"/>
  <c r="J142" i="40"/>
  <c r="J141" i="40"/>
  <c r="J140" i="40"/>
  <c r="M32" i="20"/>
  <c r="M31" i="20"/>
  <c r="M30" i="20"/>
  <c r="L32" i="20"/>
  <c r="L31" i="20"/>
  <c r="L30" i="20"/>
  <c r="K32" i="20"/>
  <c r="K31" i="20"/>
  <c r="K30" i="20"/>
  <c r="J32" i="20"/>
  <c r="J31" i="20"/>
  <c r="J30" i="20"/>
  <c r="M226" i="13"/>
  <c r="M225" i="13"/>
  <c r="L226" i="13"/>
  <c r="L225" i="13"/>
  <c r="K226" i="13"/>
  <c r="K225" i="13"/>
  <c r="J226" i="13"/>
  <c r="J225" i="13"/>
  <c r="L29" i="32"/>
  <c r="L28" i="32"/>
  <c r="L27" i="32"/>
  <c r="K29" i="32"/>
  <c r="K28" i="32"/>
  <c r="K27" i="32"/>
  <c r="J29" i="32"/>
  <c r="J28" i="32"/>
  <c r="J27" i="32"/>
  <c r="M430" i="25"/>
  <c r="M429" i="25"/>
  <c r="M428" i="25"/>
  <c r="L430" i="25"/>
  <c r="L429" i="25"/>
  <c r="L428" i="25"/>
  <c r="K430" i="25"/>
  <c r="K429" i="25"/>
  <c r="K428" i="25"/>
  <c r="J430" i="25"/>
  <c r="J429" i="25"/>
  <c r="J428" i="25"/>
  <c r="M403" i="36"/>
  <c r="M402" i="36"/>
  <c r="L402" i="36"/>
  <c r="L403" i="36"/>
  <c r="K402" i="36"/>
  <c r="J403" i="36"/>
  <c r="J402" i="36"/>
  <c r="M311" i="36"/>
  <c r="M310" i="36"/>
  <c r="M309" i="36"/>
  <c r="M308" i="36"/>
  <c r="L311" i="36"/>
  <c r="L310" i="36"/>
  <c r="L309" i="36"/>
  <c r="L308" i="36"/>
  <c r="K311" i="36"/>
  <c r="K310" i="36"/>
  <c r="K309" i="36"/>
  <c r="K308" i="36"/>
  <c r="J311" i="36"/>
  <c r="J310" i="36"/>
  <c r="J309" i="36"/>
  <c r="J308" i="36"/>
  <c r="M420" i="36"/>
  <c r="M419" i="36"/>
  <c r="M418" i="36"/>
  <c r="L420" i="36"/>
  <c r="L419" i="36"/>
  <c r="L418" i="36"/>
  <c r="K420" i="36"/>
  <c r="J420" i="36"/>
  <c r="K419" i="36"/>
  <c r="K418" i="36"/>
  <c r="J419" i="36"/>
  <c r="J418" i="36"/>
  <c r="J167" i="40"/>
  <c r="J166" i="40"/>
  <c r="J165" i="40"/>
  <c r="L553" i="7"/>
  <c r="L552" i="7"/>
  <c r="L551" i="7"/>
  <c r="K553" i="7"/>
  <c r="K552" i="7"/>
  <c r="K551" i="7"/>
  <c r="J552" i="7"/>
  <c r="J551" i="7"/>
  <c r="J611" i="7"/>
  <c r="J610" i="7"/>
  <c r="J609" i="7"/>
  <c r="M419" i="7"/>
  <c r="L419" i="7"/>
  <c r="M418" i="7"/>
  <c r="M417" i="7"/>
  <c r="M416" i="7"/>
  <c r="L418" i="7"/>
  <c r="L417" i="7"/>
  <c r="L416" i="7"/>
  <c r="K419" i="7"/>
  <c r="K418" i="7"/>
  <c r="K417" i="7"/>
  <c r="K416" i="7"/>
  <c r="J419" i="7"/>
  <c r="J418" i="7"/>
  <c r="J417" i="7"/>
  <c r="J416" i="7"/>
  <c r="L208" i="13"/>
  <c r="L207" i="13"/>
  <c r="K208" i="13"/>
  <c r="K207" i="13"/>
  <c r="J207" i="13"/>
  <c r="L528" i="7"/>
  <c r="L527" i="7"/>
  <c r="L526" i="7"/>
  <c r="L525" i="7"/>
  <c r="K528" i="7"/>
  <c r="K527" i="7"/>
  <c r="K526" i="7"/>
  <c r="K525" i="7"/>
  <c r="J528" i="7"/>
  <c r="J527" i="7"/>
  <c r="J526" i="7"/>
  <c r="J525" i="7"/>
  <c r="M724" i="7"/>
  <c r="M723" i="7"/>
  <c r="M722" i="7"/>
  <c r="L724" i="7"/>
  <c r="L722" i="7"/>
  <c r="K724" i="7"/>
  <c r="K723" i="7"/>
  <c r="K722" i="7"/>
  <c r="M725" i="7"/>
  <c r="L725" i="7"/>
  <c r="K725" i="7"/>
  <c r="J725" i="7"/>
  <c r="J724" i="7"/>
  <c r="J723" i="7"/>
  <c r="J722" i="7"/>
  <c r="L364" i="7"/>
  <c r="L363" i="7"/>
  <c r="L362" i="7"/>
  <c r="K364" i="7"/>
  <c r="K363" i="7"/>
  <c r="K362" i="7"/>
  <c r="J364" i="7"/>
  <c r="J363" i="7"/>
  <c r="J362" i="7"/>
  <c r="M921" i="7"/>
  <c r="M920" i="7"/>
  <c r="M919" i="7"/>
  <c r="M918" i="7"/>
  <c r="M922" i="7"/>
  <c r="L922" i="7"/>
  <c r="K922" i="7"/>
  <c r="L921" i="7"/>
  <c r="L920" i="7"/>
  <c r="L919" i="7"/>
  <c r="L918" i="7"/>
  <c r="K921" i="7"/>
  <c r="K920" i="7"/>
  <c r="K919" i="7"/>
  <c r="K918" i="7"/>
  <c r="J922" i="7"/>
  <c r="J921" i="7"/>
  <c r="J919" i="7"/>
  <c r="J918" i="7"/>
  <c r="M568" i="7"/>
  <c r="M567" i="7"/>
  <c r="L569" i="7"/>
  <c r="L568" i="7"/>
  <c r="L567" i="7"/>
  <c r="K569" i="7"/>
  <c r="K568" i="7"/>
  <c r="K567" i="7"/>
  <c r="M570" i="7"/>
  <c r="L570" i="7"/>
  <c r="K570" i="7"/>
  <c r="J570" i="7"/>
  <c r="J569" i="7"/>
  <c r="J568" i="7"/>
  <c r="J567" i="7"/>
  <c r="K877" i="7"/>
  <c r="K876" i="7"/>
  <c r="K875" i="7"/>
  <c r="J877" i="7"/>
  <c r="J876" i="7"/>
  <c r="J875" i="7"/>
  <c r="K687" i="7"/>
  <c r="K686" i="7"/>
  <c r="K685" i="7"/>
  <c r="J687" i="7"/>
  <c r="J686" i="7"/>
  <c r="J685" i="7"/>
  <c r="K862" i="7"/>
  <c r="K861" i="7"/>
  <c r="K860" i="7"/>
  <c r="K859" i="7"/>
  <c r="J862" i="7"/>
  <c r="J861" i="7"/>
  <c r="J860" i="7"/>
  <c r="J859" i="7"/>
  <c r="L495" i="7"/>
  <c r="L494" i="7"/>
  <c r="L493" i="7"/>
  <c r="L496" i="7"/>
  <c r="K496" i="7"/>
  <c r="K495" i="7"/>
  <c r="K494" i="7"/>
  <c r="K493" i="7"/>
  <c r="J496" i="7"/>
  <c r="J495" i="7"/>
  <c r="J494" i="7"/>
  <c r="J493" i="7"/>
  <c r="K114" i="7"/>
  <c r="K113" i="7"/>
  <c r="K112" i="7"/>
  <c r="K111" i="7"/>
  <c r="J114" i="7"/>
  <c r="J113" i="7"/>
  <c r="J112" i="7"/>
  <c r="J111" i="7"/>
  <c r="K386" i="7"/>
  <c r="K385" i="7"/>
  <c r="K384" i="7"/>
  <c r="K383" i="7"/>
  <c r="J386" i="7"/>
  <c r="J385" i="7"/>
  <c r="J384" i="7"/>
  <c r="J383" i="7"/>
  <c r="L404" i="7"/>
  <c r="K404" i="7"/>
  <c r="J404" i="7"/>
  <c r="K234" i="7"/>
  <c r="K233" i="7"/>
  <c r="K232" i="7"/>
  <c r="K231" i="7"/>
  <c r="J234" i="7"/>
  <c r="J233" i="7"/>
  <c r="J232" i="7"/>
  <c r="J231" i="7"/>
  <c r="L276" i="7"/>
  <c r="K276" i="7"/>
  <c r="J276" i="7"/>
  <c r="J275" i="7"/>
  <c r="L275" i="7"/>
  <c r="L274" i="7"/>
  <c r="L273" i="7"/>
  <c r="K275" i="7"/>
  <c r="K274" i="7"/>
  <c r="K273" i="7"/>
  <c r="J274" i="7"/>
  <c r="J273" i="7"/>
  <c r="K793" i="7"/>
  <c r="K792" i="7"/>
  <c r="K791" i="7"/>
  <c r="J793" i="7"/>
  <c r="J792" i="7"/>
  <c r="J791" i="7"/>
  <c r="L844" i="7"/>
  <c r="L843" i="7"/>
  <c r="L842" i="7"/>
  <c r="K844" i="7"/>
  <c r="K843" i="7"/>
  <c r="K842" i="7"/>
  <c r="J844" i="7"/>
  <c r="J843" i="7"/>
  <c r="J842" i="7"/>
  <c r="L829" i="7"/>
  <c r="L828" i="7"/>
  <c r="L827" i="7"/>
  <c r="L826" i="7"/>
  <c r="K829" i="7"/>
  <c r="K828" i="7"/>
  <c r="K827" i="7"/>
  <c r="K826" i="7"/>
  <c r="J829" i="7"/>
  <c r="J828" i="7"/>
  <c r="J827" i="7"/>
  <c r="J826" i="7"/>
  <c r="J780" i="7"/>
  <c r="K780" i="7"/>
  <c r="K779" i="7"/>
  <c r="K778" i="7"/>
  <c r="K777" i="7"/>
  <c r="J779" i="7"/>
  <c r="J778" i="7"/>
  <c r="J777" i="7"/>
  <c r="L704" i="7"/>
  <c r="L703" i="7"/>
  <c r="L702" i="7"/>
  <c r="L701" i="7"/>
  <c r="K704" i="7"/>
  <c r="K703" i="7"/>
  <c r="K702" i="7"/>
  <c r="K701" i="7"/>
  <c r="J701" i="7"/>
  <c r="J704" i="7"/>
  <c r="J703" i="7"/>
  <c r="J702" i="7"/>
  <c r="L84" i="7"/>
  <c r="K84" i="7"/>
  <c r="J84" i="7"/>
  <c r="L757" i="7"/>
  <c r="L756" i="7"/>
  <c r="L755" i="7"/>
  <c r="K757" i="7"/>
  <c r="J757" i="7"/>
  <c r="K756" i="7"/>
  <c r="K755" i="7"/>
  <c r="J756" i="7"/>
  <c r="J755" i="7"/>
  <c r="J314" i="7"/>
  <c r="J313" i="7"/>
  <c r="C11" i="6"/>
  <c r="C12" i="6"/>
  <c r="C13" i="6"/>
  <c r="C14" i="6"/>
  <c r="C15" i="6"/>
  <c r="C16" i="6"/>
  <c r="C17" i="6"/>
  <c r="C18" i="6"/>
  <c r="C19" i="6"/>
  <c r="C20" i="6"/>
  <c r="C26" i="6"/>
  <c r="C27" i="6"/>
  <c r="C28" i="6"/>
  <c r="C29" i="6"/>
  <c r="C30" i="6"/>
  <c r="C31" i="6"/>
  <c r="C32" i="6"/>
  <c r="C33" i="6"/>
  <c r="C39" i="6"/>
  <c r="C40" i="6"/>
  <c r="C41" i="6"/>
  <c r="C42" i="6"/>
  <c r="C43" i="6"/>
  <c r="C44" i="6"/>
  <c r="C45" i="6"/>
  <c r="C50" i="6"/>
  <c r="C51" i="6"/>
  <c r="C52" i="6"/>
  <c r="C53" i="6"/>
  <c r="C54" i="6"/>
  <c r="C55" i="6"/>
  <c r="C56" i="6"/>
  <c r="C57" i="6"/>
  <c r="C62" i="6"/>
  <c r="C63" i="6"/>
  <c r="C64" i="6"/>
  <c r="C69" i="6"/>
  <c r="C70" i="6"/>
  <c r="C71" i="6"/>
  <c r="C72" i="6"/>
  <c r="C73" i="6"/>
  <c r="C74" i="6"/>
  <c r="C79" i="6"/>
  <c r="C80" i="6"/>
  <c r="C81" i="6"/>
  <c r="C82" i="6"/>
  <c r="C83" i="6"/>
  <c r="C84" i="6"/>
  <c r="C85" i="6"/>
  <c r="C86" i="6"/>
  <c r="C87" i="6"/>
  <c r="C88" i="6"/>
  <c r="C89" i="6"/>
  <c r="C90" i="6"/>
  <c r="C91" i="6"/>
  <c r="C92" i="6"/>
  <c r="C93" i="6"/>
  <c r="C94" i="6"/>
  <c r="C95" i="6"/>
  <c r="C96" i="6"/>
  <c r="C97" i="6"/>
  <c r="C108" i="6"/>
  <c r="C109" i="6"/>
  <c r="C110" i="6"/>
  <c r="C150" i="6"/>
  <c r="C151" i="6"/>
  <c r="C152" i="6"/>
  <c r="C153" i="6"/>
  <c r="C158" i="6"/>
  <c r="C159" i="6"/>
  <c r="C160" i="6"/>
  <c r="C161" i="6"/>
  <c r="C162" i="6"/>
  <c r="C163" i="6"/>
  <c r="C164" i="6"/>
  <c r="C165" i="6"/>
  <c r="C166" i="6"/>
  <c r="C167" i="6"/>
  <c r="C192" i="6"/>
  <c r="C197" i="6"/>
  <c r="C198" i="6"/>
  <c r="C199" i="6"/>
  <c r="K49" i="40"/>
  <c r="M146" i="34"/>
  <c r="M145" i="34"/>
  <c r="M144" i="34"/>
  <c r="L146" i="34"/>
  <c r="L145" i="34"/>
  <c r="L144" i="34"/>
  <c r="K146" i="34"/>
  <c r="K145" i="34"/>
  <c r="K144" i="34"/>
  <c r="J146" i="34"/>
  <c r="J145" i="34"/>
  <c r="J144" i="34"/>
  <c r="K91" i="26"/>
  <c r="K90" i="26"/>
  <c r="J90" i="26"/>
  <c r="J91" i="26"/>
  <c r="J27" i="14"/>
  <c r="M85" i="38"/>
  <c r="J52" i="37"/>
  <c r="K52" i="37"/>
  <c r="L52" i="37"/>
  <c r="M52" i="37"/>
  <c r="J53" i="37"/>
  <c r="K53" i="37"/>
  <c r="L53" i="37"/>
  <c r="M53" i="37"/>
  <c r="J54" i="37"/>
  <c r="K54" i="37"/>
  <c r="L54" i="37"/>
  <c r="M54" i="37"/>
  <c r="J107" i="37"/>
  <c r="K107" i="37"/>
  <c r="L107" i="37"/>
  <c r="M107" i="37"/>
  <c r="J108" i="37"/>
  <c r="K108" i="37"/>
  <c r="L108" i="37"/>
  <c r="M108" i="37"/>
  <c r="J109" i="37"/>
  <c r="K109" i="37"/>
  <c r="L109" i="37"/>
  <c r="M109" i="37"/>
  <c r="K403" i="36"/>
  <c r="L516" i="36"/>
  <c r="K217" i="30"/>
  <c r="L217" i="30"/>
  <c r="M217" i="30"/>
  <c r="N217" i="30"/>
  <c r="J218" i="30"/>
  <c r="K218" i="30"/>
  <c r="L218" i="30"/>
  <c r="M218" i="30"/>
  <c r="N218" i="30"/>
  <c r="J219" i="30"/>
  <c r="K219" i="30"/>
  <c r="L219" i="30"/>
  <c r="M219" i="30"/>
  <c r="N219" i="30"/>
  <c r="K27" i="27"/>
  <c r="L27" i="27"/>
  <c r="J28" i="27"/>
  <c r="K28" i="27"/>
  <c r="J29" i="27"/>
  <c r="K29" i="27"/>
  <c r="L29" i="27"/>
  <c r="J62" i="26"/>
  <c r="K62" i="26"/>
  <c r="J78" i="26"/>
  <c r="K78" i="26"/>
  <c r="J49" i="25"/>
  <c r="K49" i="25"/>
  <c r="L49" i="25"/>
  <c r="M49" i="25"/>
  <c r="J25" i="14"/>
  <c r="J74" i="14"/>
  <c r="J75" i="14"/>
  <c r="J94" i="13"/>
  <c r="K94" i="13"/>
  <c r="L94" i="13"/>
  <c r="M94" i="13"/>
  <c r="J209" i="13"/>
  <c r="J56" i="12"/>
  <c r="L56" i="12"/>
  <c r="J110" i="12"/>
  <c r="K110" i="12"/>
  <c r="L110" i="12"/>
  <c r="M110" i="12"/>
  <c r="J111" i="12"/>
  <c r="K111" i="12"/>
  <c r="L111" i="12"/>
  <c r="M111" i="12"/>
  <c r="J112" i="12"/>
  <c r="K112" i="12"/>
  <c r="L112" i="12"/>
  <c r="M112" i="12"/>
  <c r="J113" i="12"/>
  <c r="K113" i="12"/>
  <c r="L113" i="12"/>
  <c r="M113" i="12"/>
  <c r="K11" i="8"/>
  <c r="J14" i="7"/>
  <c r="K14" i="7"/>
  <c r="J15" i="7"/>
  <c r="K15" i="7"/>
  <c r="K144" i="7"/>
  <c r="J183" i="7"/>
  <c r="K183" i="7"/>
  <c r="L183" i="7"/>
  <c r="M183" i="7"/>
  <c r="L327" i="7"/>
  <c r="L328" i="7"/>
  <c r="J442" i="7"/>
  <c r="J443" i="7"/>
  <c r="J454" i="7"/>
  <c r="K454" i="7"/>
  <c r="J455" i="7"/>
  <c r="K455" i="7"/>
  <c r="J456" i="7"/>
  <c r="K456" i="7"/>
  <c r="J688" i="7"/>
  <c r="K688" i="7"/>
  <c r="J742" i="7"/>
  <c r="K742" i="7"/>
</calcChain>
</file>

<file path=xl/sharedStrings.xml><?xml version="1.0" encoding="utf-8"?>
<sst xmlns="http://schemas.openxmlformats.org/spreadsheetml/2006/main" count="8438" uniqueCount="2259">
  <si>
    <t xml:space="preserve">Hotel Facilities: Airconditioned throughout, Greek &amp; Mediterranean gourmet restaurants, Sushi bar, Lounge bar, Pool bar, Swimming pool, Childrens pool, Spa center, Business center, Parking
Room Facilities: Satellite T/V, CD/DVD player, Internet access, Direct - dial phone, Mini bar, Hairdryer, Safe. </t>
  </si>
  <si>
    <t>Plaza Resort</t>
  </si>
  <si>
    <t>52nd Km Athens Sounio Road, Anavyssos</t>
  </si>
  <si>
    <t>135 Standard Room(s)</t>
  </si>
  <si>
    <t>4 km. from Mykonos Town, on Platis Gialos Beach, 4 km. from the airport</t>
  </si>
  <si>
    <t>Alexandros - Airotel</t>
  </si>
  <si>
    <t>8, Timoleontos Vassou street, Athens</t>
  </si>
  <si>
    <t>96 Standard Room(s)</t>
  </si>
  <si>
    <t>Suitable for the Disabled.</t>
  </si>
  <si>
    <t xml:space="preserve">  SAMOS …………………………………………….. </t>
  </si>
  <si>
    <t xml:space="preserve">  SANTORINI ………………………………………… </t>
  </si>
  <si>
    <t xml:space="preserve">  SKIATHOS …………………………………………. </t>
  </si>
  <si>
    <t xml:space="preserve">  PAROS ……………………………………………..</t>
  </si>
  <si>
    <t>58, Pindou Str.</t>
  </si>
  <si>
    <t>103 Standard Rooms, 1 Suite</t>
  </si>
  <si>
    <t>45 Standard Rooms</t>
  </si>
  <si>
    <t>255 Standard Rooms, 20 Suites</t>
  </si>
  <si>
    <t>136 Standard Rooms, 9 Suites, 6 Villas</t>
  </si>
  <si>
    <t>Town, Mykonos</t>
  </si>
  <si>
    <t>24 Standard Rooms, 1 Suite</t>
  </si>
  <si>
    <t>Agios Stefanos</t>
  </si>
  <si>
    <t>102 Standard Rooms</t>
  </si>
  <si>
    <t>13, Filellinon Str.</t>
  </si>
  <si>
    <t>From</t>
  </si>
  <si>
    <t>To</t>
  </si>
  <si>
    <t xml:space="preserve">Port </t>
  </si>
  <si>
    <t>All town hotels or V.V.</t>
  </si>
  <si>
    <t>Agia Marina hotels or V.V.</t>
  </si>
  <si>
    <t xml:space="preserve">El. Venizelos Airport </t>
  </si>
  <si>
    <t xml:space="preserve">Athens Hotels/Bus Stations or V.V. </t>
  </si>
  <si>
    <t xml:space="preserve">Port of Piraeus or V.V. </t>
  </si>
  <si>
    <t xml:space="preserve">Port of Rafina or V.V. </t>
  </si>
  <si>
    <t xml:space="preserve">Piraeus Port </t>
  </si>
  <si>
    <t>Rafina Port</t>
  </si>
  <si>
    <t>Athens Hotels</t>
  </si>
  <si>
    <t xml:space="preserve">Glyfada or V.V. </t>
  </si>
  <si>
    <t xml:space="preserve">Vouliagmeni or V.V. </t>
  </si>
  <si>
    <t xml:space="preserve">Lagonissi/Anavyssos or V.V. </t>
  </si>
  <si>
    <t xml:space="preserve">Corinthos/Loutraki or V.V. </t>
  </si>
  <si>
    <t xml:space="preserve">Sounio or V.V. </t>
  </si>
  <si>
    <t>Piraeus Port</t>
  </si>
  <si>
    <t xml:space="preserve">Airport </t>
  </si>
  <si>
    <t>Agrostoli/Lassi/Svoronata or V.V.</t>
  </si>
  <si>
    <t>Lakithra/Kourkoumelata/Davlata or V.V.</t>
  </si>
  <si>
    <t>Skala/Poros/Assos/Ag.Efimia/Xi or V.V.</t>
  </si>
  <si>
    <t>Sami Port</t>
  </si>
  <si>
    <t xml:space="preserve">Karavomylos/Sami or V.V. </t>
  </si>
  <si>
    <t xml:space="preserve">Lixouri/Assos/Xi-Lixouri/Fiskardo/Skala or V.V. </t>
  </si>
  <si>
    <t xml:space="preserve">Pessada Port </t>
  </si>
  <si>
    <t xml:space="preserve">Argostoli/Svoronata/Spartia/Kourkoumelata/Lassi/Lourdas or V.V. </t>
  </si>
  <si>
    <t>Skala/Sami/Karavomylos or V.V.</t>
  </si>
  <si>
    <t>Lixouri/Xi/Assos or V.V.</t>
  </si>
  <si>
    <t>Poros Port</t>
  </si>
  <si>
    <t>Argostoli/Skala/Pessada/Spartia/Svoronata/Lordas/Trapezaki or V.V.</t>
  </si>
  <si>
    <t>Xi/Sami/Lixouri/Lassi/Karavomylos/Assos or V.V.</t>
  </si>
  <si>
    <t xml:space="preserve">Argostoli Port </t>
  </si>
  <si>
    <t xml:space="preserve">Lassii/Kourkoumelata/Davgata/Svoronata or V.V. </t>
  </si>
  <si>
    <t xml:space="preserve">Fiskardo or V.V. </t>
  </si>
  <si>
    <t>Lordas/Trapezaki/Zola/Spartia/Pessada/Lixouri/Katelios/Sami/Karavomylos or V.V.</t>
  </si>
  <si>
    <t>KourkoumelataLassi/Ag.Efimia/Argostoli/Pessada/Svoronata/Spartia/Davgata/Lordas/Trapezaki or V.V.</t>
  </si>
  <si>
    <t>Lordas/Trapezaki/Spartia/Pessada/Sami/Karavomylos/Lixouri/Ag.Efimia/Skala/Poros/Xi/Assos or V.V.</t>
  </si>
  <si>
    <t>Airport / Port</t>
  </si>
  <si>
    <t xml:space="preserve">Hotel Facilities: Bar, Breakfast-Lounge area, Flat screen TV at breakfast-Lounge area, NOVA satellite TV access, Internet Access, Adult pool (sweet water), Child's pool (sweet water) 
Room Facilities: A/C, Flat screen TV, DVD, Direct dial telephone, Private bathroom with bathtub, Fridge, Kitchen equipment, Internet Access </t>
  </si>
  <si>
    <t>A1</t>
  </si>
  <si>
    <t xml:space="preserve">Hotel Facilities: 24hour Reception, Swimming Pool, Kids Swimming Pool, Bar, Pool Bar, Living Room, Internet Point WiFi, PlayStation 3, Breakfast Buffet, Free Parking, Garden, Luggage Storage, Restaurant, Piano Restaurant, Safety Deposit Box, Spa &amp; Wellness Centre 
Room Facilities: Air-conditioning, Bathroom, Cable TV, Mini-bar, Safety Deposit Box, Satellite TV, Telephone, CD / DVD Player, Hair Dryer </t>
  </si>
  <si>
    <t>01/05-10/06</t>
  </si>
  <si>
    <t>40, Apollonos street, Athens, Vouliagmeni</t>
  </si>
  <si>
    <t>Standard Room</t>
  </si>
  <si>
    <t>BB</t>
  </si>
  <si>
    <t>Athens Lotus</t>
  </si>
  <si>
    <t>Metaxourgio</t>
  </si>
  <si>
    <t>31 Standard Room(s)</t>
  </si>
  <si>
    <t>24/09-20/10</t>
  </si>
  <si>
    <t>11/09-23/09</t>
  </si>
  <si>
    <t>01/07-15/07</t>
  </si>
  <si>
    <t>26/07-20/08</t>
  </si>
  <si>
    <t>01/12-31/12</t>
  </si>
  <si>
    <t>01/11-30/11</t>
  </si>
  <si>
    <t>Notes: Supplement for Sea View Euro 15,00 per night</t>
  </si>
  <si>
    <t>10/10-31/10</t>
  </si>
  <si>
    <t>25, Ag.Dimitriou Str., Thessaloniki</t>
  </si>
  <si>
    <t>26/08-30/09</t>
  </si>
  <si>
    <t>21/07-25/08</t>
  </si>
  <si>
    <t>11/05-31/05</t>
  </si>
  <si>
    <t>Standard Room G.V.</t>
  </si>
  <si>
    <t>01/05-15/05</t>
  </si>
  <si>
    <t>01/07-21/07</t>
  </si>
  <si>
    <t>25/04-31/05</t>
  </si>
  <si>
    <t>23/07-24/08</t>
  </si>
  <si>
    <t>Stanley</t>
  </si>
  <si>
    <t>1, Odysseus street, Athens</t>
  </si>
  <si>
    <t>Cat. 5*</t>
  </si>
  <si>
    <t>Athenian Callirhoe Exclusive Hotel</t>
  </si>
  <si>
    <t>66 Standard Room(s), 3 Suite(s), 10 Junior Suite(s)</t>
  </si>
  <si>
    <t>01/01-31/01</t>
  </si>
  <si>
    <t>Stratos Vassilikos - Airotel</t>
  </si>
  <si>
    <t>Cat. 4*</t>
  </si>
  <si>
    <t>A5</t>
  </si>
  <si>
    <t>V2</t>
  </si>
  <si>
    <r>
      <t>V3</t>
    </r>
    <r>
      <rPr>
        <sz val="10"/>
        <rFont val="Arial"/>
        <family val="2"/>
        <charset val="161"/>
      </rPr>
      <t xml:space="preserve"> </t>
    </r>
  </si>
  <si>
    <t>V4</t>
  </si>
  <si>
    <t>V5</t>
  </si>
  <si>
    <t xml:space="preserve">ή </t>
  </si>
  <si>
    <r>
      <t>ή</t>
    </r>
    <r>
      <rPr>
        <sz val="10"/>
        <rFont val="Arial"/>
        <family val="2"/>
        <charset val="161"/>
      </rPr>
      <t xml:space="preserve"> Apartment for 2 Pax</t>
    </r>
  </si>
  <si>
    <r>
      <t>ή</t>
    </r>
    <r>
      <rPr>
        <sz val="10"/>
        <rFont val="Arial"/>
        <family val="2"/>
        <charset val="161"/>
      </rPr>
      <t xml:space="preserve"> Apartment for 3 Pax</t>
    </r>
  </si>
  <si>
    <r>
      <t>ή</t>
    </r>
    <r>
      <rPr>
        <sz val="10"/>
        <rFont val="Arial"/>
        <family val="2"/>
        <charset val="161"/>
      </rPr>
      <t xml:space="preserve"> Apartment for 4 Pax</t>
    </r>
  </si>
  <si>
    <r>
      <t>ή</t>
    </r>
    <r>
      <rPr>
        <sz val="10"/>
        <rFont val="Arial"/>
        <family val="2"/>
        <charset val="161"/>
      </rPr>
      <t xml:space="preserve"> Apartment for 5 Pax</t>
    </r>
  </si>
  <si>
    <r>
      <t>ή</t>
    </r>
    <r>
      <rPr>
        <sz val="10"/>
        <rFont val="Arial"/>
        <family val="2"/>
        <charset val="161"/>
      </rPr>
      <t xml:space="preserve"> Villa for 2 Pax</t>
    </r>
  </si>
  <si>
    <r>
      <t>ή</t>
    </r>
    <r>
      <rPr>
        <sz val="10"/>
        <rFont val="Arial"/>
        <family val="2"/>
        <charset val="161"/>
      </rPr>
      <t xml:space="preserve"> Villa for 3 Pax</t>
    </r>
  </si>
  <si>
    <r>
      <t>ή</t>
    </r>
    <r>
      <rPr>
        <sz val="10"/>
        <rFont val="Arial"/>
        <family val="2"/>
        <charset val="161"/>
      </rPr>
      <t xml:space="preserve"> Villa for 4 Pax</t>
    </r>
  </si>
  <si>
    <r>
      <t>ή</t>
    </r>
    <r>
      <rPr>
        <sz val="10"/>
        <rFont val="Arial"/>
        <family val="2"/>
        <charset val="161"/>
      </rPr>
      <t xml:space="preserve"> Villa for 5 Pax</t>
    </r>
  </si>
  <si>
    <t></t>
  </si>
  <si>
    <t xml:space="preserve">  Our Bank Details ………………………………….. </t>
  </si>
  <si>
    <t xml:space="preserve">  ATHENS ………………………………………….. </t>
  </si>
  <si>
    <t xml:space="preserve">  CORFU …………………………………………….</t>
  </si>
  <si>
    <t xml:space="preserve">  CRETE ……………………………………………..</t>
  </si>
  <si>
    <t xml:space="preserve">  IOS …………………………………………………. </t>
  </si>
  <si>
    <t xml:space="preserve">  KOS …………………………………………………</t>
  </si>
  <si>
    <t xml:space="preserve">  MYKONOS ………………………………………… </t>
  </si>
  <si>
    <t>Rooms 67 , Suites 5</t>
  </si>
  <si>
    <t>Rooms 25</t>
  </si>
  <si>
    <t>Rooms 74</t>
  </si>
  <si>
    <t>Rooms 42 , Suites 2</t>
  </si>
  <si>
    <t>01/08-31/08</t>
  </si>
  <si>
    <t>Mykonos, Rohari</t>
  </si>
  <si>
    <t>Notes: Rates are for "Run of the House" rooms.</t>
  </si>
  <si>
    <t>Athens Cypria</t>
  </si>
  <si>
    <t>Standard Lake View Room</t>
  </si>
  <si>
    <t>Rooms 256</t>
  </si>
  <si>
    <t>Rooms 115</t>
  </si>
  <si>
    <t>Mykonos, Elia Beach</t>
  </si>
  <si>
    <t>01/08-24/08</t>
  </si>
  <si>
    <t>01/05-07/06</t>
  </si>
  <si>
    <t>Skopelos Holidays</t>
  </si>
  <si>
    <t>Skopelos Village</t>
  </si>
  <si>
    <t>Dionyssos</t>
  </si>
  <si>
    <t>Rigas</t>
  </si>
  <si>
    <t>Skopelos, Gyftolakas area</t>
  </si>
  <si>
    <t>Skopelos</t>
  </si>
  <si>
    <t>Crete, Limi Hersonissos</t>
  </si>
  <si>
    <t>346 Standard Rooms</t>
  </si>
  <si>
    <t>385 Standard Rooms</t>
  </si>
  <si>
    <t>102 Bungalows, 52 Suites, 4 Villas</t>
  </si>
  <si>
    <t>50 Suites, 26 Family Suites, 3 Superior Suites</t>
  </si>
  <si>
    <t>128 Standard Rooms, 38 Suites, 105 Studios, 50 Apts,1 Villa</t>
  </si>
  <si>
    <t xml:space="preserve">403 Standard Rooms, 116 Bungalows, 42 Annex </t>
  </si>
  <si>
    <t>320 Standard Rooms</t>
  </si>
  <si>
    <t>312 Standard Rooms</t>
  </si>
  <si>
    <t>121 Standard Rooms</t>
  </si>
  <si>
    <t>Hotel Facilities: Main Restaurant, Bar, Cafeteria, TV Room, Wellness center, Indoor Swimming Pool, Laundry services, Parking
Room Facilities: A/C, Direct dial phone, Hairdryer, Satellite &amp; Pay TV, Internet, Safe, Mini bar, Internet access</t>
  </si>
  <si>
    <t>35 Standard Rooms, 1 Junior Suite, 1 Family Suite</t>
  </si>
  <si>
    <t>78 Standard Rooms</t>
  </si>
  <si>
    <t>76 Standard Rooms, 4 Suites, 4 Junior Suites</t>
  </si>
  <si>
    <t>72 Standard Rooms, 4 Executive Rooms</t>
  </si>
  <si>
    <t>Hotel Facilities:  Bar, Snack bar, Swimming Pool, TV room, Safe boxes, Mini market, Tennis, Table tennis   
Room Facilities: A/C, Direct dial phone, Music, Hairdryer, Satellite TV</t>
  </si>
  <si>
    <t>3, Salaminos &amp; Karatsou Str. Thessaloniki</t>
  </si>
  <si>
    <t>Hotel Facilities: A/C, 3 Restaurant, Bar, Pool Bar, 24h Room Service, Tennis court, Beach volley, Bussiness center, Garage
Room Facilities: Mini bar, Direct Dial phone, Laptop size safe, balcony</t>
  </si>
  <si>
    <t>Hotel Facilities: 24h Room Service, Main Restaurant, Café snack bar, Internet corner, Laundry &amp; Cleaning Service, Outdoor swimming pool
Room Facilities: Direct dial phone, Mini bar, Safe, Hairdryer</t>
  </si>
  <si>
    <t>11, Eleftherias Square, Heraklio</t>
  </si>
  <si>
    <t>Sensimar Minos Palace</t>
  </si>
  <si>
    <t>Hotel Facilities: Mini Market, Main bar, Main restaurant, Restaurant a la carte, Room Service, Swimming Pool, games Room, Fitness center, Cleaning &amp; Laundry services, Internet corner, Car rental
Room Facilities: Direct dial phone, Satellite TV, Radio, Safe, Hairdryer</t>
  </si>
  <si>
    <t>Ag. Nikolaos</t>
  </si>
  <si>
    <t>Yria</t>
  </si>
  <si>
    <t>Paros, Parasporos</t>
  </si>
  <si>
    <t>Rooms 102 , Suites 3</t>
  </si>
  <si>
    <t>Tzekos Villas</t>
  </si>
  <si>
    <t>Rooms 21</t>
  </si>
  <si>
    <t>09/06-06/07</t>
  </si>
  <si>
    <t>29/09-31/10</t>
  </si>
  <si>
    <t>114, Michalakopoulou street, Athens</t>
  </si>
  <si>
    <t>Titania</t>
  </si>
  <si>
    <t>52, Panepistimiou street, Athens</t>
  </si>
  <si>
    <t>375 Standard Room(s), 21 Suite(s)</t>
  </si>
  <si>
    <t>21/05-10/06</t>
  </si>
  <si>
    <t>20/09-09/10</t>
  </si>
  <si>
    <t>11/06-10/07</t>
  </si>
  <si>
    <t>26/08-19/09</t>
  </si>
  <si>
    <t>Acropole</t>
  </si>
  <si>
    <t>Arion</t>
  </si>
  <si>
    <t>Fedriades</t>
  </si>
  <si>
    <t>1, Apollonos Str.</t>
  </si>
  <si>
    <t>2 km. from Naoussa, 11 km. from Parikia Town, on Kolymbithres Beach</t>
  </si>
  <si>
    <t>Junior Suite Garden View</t>
  </si>
  <si>
    <t>Holiday Sun</t>
  </si>
  <si>
    <t>Paros, Pounda</t>
  </si>
  <si>
    <t>Hotel Facilities: 24 hour reception, daily maid service, room service, TV lounge, indoor bar, breakfast room with American buffet breakfast, restaurant, 3 swimming pools, children’s pool, pool/snack bar, tennis court, small gym, sauna, conference room for up to 70 people, free wireless internet access, internet corner at the reception, money exchange, laundry service
Room Facilities: air conditioning, telephone, satellite TV, safe box, hairdryer, radio, marble bathroom with bathtub, mini bar on request and private balcony or terrace most with pool view</t>
  </si>
  <si>
    <t>16/07-26/08</t>
  </si>
  <si>
    <t>01/06-20/07</t>
  </si>
  <si>
    <t>21/07-31/08</t>
  </si>
  <si>
    <t>Notes: Children under 13 years old are not accepted</t>
  </si>
  <si>
    <t>Nine Muses</t>
  </si>
  <si>
    <t>Albatros</t>
  </si>
  <si>
    <t>43, Kifissias avenue, Athens</t>
  </si>
  <si>
    <t>Rooms 73</t>
  </si>
  <si>
    <t>Dionysos</t>
  </si>
  <si>
    <t>Rithymna Beach Aquila Hotel</t>
  </si>
  <si>
    <t>Adelianos Kambos</t>
  </si>
  <si>
    <t>01/10-14/10</t>
  </si>
  <si>
    <t>04/06-01/07</t>
  </si>
  <si>
    <t>17/09-30/09</t>
  </si>
  <si>
    <t>27/08-16/09</t>
  </si>
  <si>
    <t xml:space="preserve">Knossos Beach </t>
  </si>
  <si>
    <t>Kokkini Hani, Heraklio</t>
  </si>
  <si>
    <t>01/10-30/11</t>
  </si>
  <si>
    <t>Suites of the Gods Spa Hotel</t>
  </si>
  <si>
    <t>100 m. from the Beach</t>
  </si>
  <si>
    <t>01/05-31/10</t>
  </si>
  <si>
    <t>Aldemar Royal Mare &amp; Thalasso</t>
  </si>
  <si>
    <t>29/08-25/09</t>
  </si>
  <si>
    <t>6km. from Rhodes Town, 200 m. from Kalithea Beach</t>
  </si>
  <si>
    <t>Hotel Facilities: Indoor and outdoor restaurant, Pool, Kid's pool, Pool deck with long chairs and umbrellas, Bar, Indoor and outdoor café, Fitness center, Sauna, Jacuzzi, Hamam, TV room, Living room, Children's play area, Parking area, Garage, Hair saloon
Room Facilities: Private bath with a hair dryer, Refrigerator, Mini bar, Satellite TV, living room, sitting area, Balcony/veranda with marvelous sea and mountain view, phone, music system, safe deposit box, Internet access, Free Baby Cot</t>
  </si>
  <si>
    <t>01/04-08/06</t>
  </si>
  <si>
    <t>09/06-13/07</t>
  </si>
  <si>
    <t>14/07-31/08</t>
  </si>
  <si>
    <t>13/06-24/07</t>
  </si>
  <si>
    <t>26/08-11/09</t>
  </si>
  <si>
    <t>20/04-09/06</t>
  </si>
  <si>
    <t>23/09-15/10</t>
  </si>
  <si>
    <t>01/09-22/09</t>
  </si>
  <si>
    <t>15/04-31/05</t>
  </si>
  <si>
    <t>19-23, Parthenonos street, Athens</t>
  </si>
  <si>
    <t>01/07-30/09</t>
  </si>
  <si>
    <t>5 km. from Athens centre, 5 km. from the airport</t>
  </si>
  <si>
    <t>19, Patission street, Athens, Omonia</t>
  </si>
  <si>
    <t>99 Standard Room(s)</t>
  </si>
  <si>
    <t>Kirini Suites &amp; Spa</t>
  </si>
  <si>
    <t>Standard Room G.V</t>
  </si>
  <si>
    <t>Standard Room S.V</t>
  </si>
  <si>
    <t>01/07-20/07</t>
  </si>
  <si>
    <t>01/01-31/12</t>
  </si>
  <si>
    <t>Zafolia</t>
  </si>
  <si>
    <t>87-89, Alexandras Avenue, Athens</t>
  </si>
  <si>
    <t>24 Single Room(s), 155 Double Room(s), 6 Executive Room(s), 6 Suite(s)</t>
  </si>
  <si>
    <t xml:space="preserve">Hotel Facilities: Room Service, Outdoor heated swimming pool, Mini market, Safe boxes, Sea sports, Tennis, Table tennis, WiFi internet access
Room Facilities: 3 channel music, Satellite TV, Mini bar, Direct dial phone, Bath or shower </t>
  </si>
  <si>
    <t>Koukounaries</t>
  </si>
  <si>
    <t>25/08-07/09</t>
  </si>
  <si>
    <t>Dabasis</t>
  </si>
  <si>
    <t>Kivo</t>
  </si>
  <si>
    <t>Skiathos, Town</t>
  </si>
  <si>
    <t>78 Standard Rooms, 2 Suites</t>
  </si>
  <si>
    <t>60 Standard Rooms</t>
  </si>
  <si>
    <t>31 Standard Rooms</t>
  </si>
  <si>
    <t>63 Standard Rooms, 2 Suites</t>
  </si>
  <si>
    <t>132 Standard Rooms, 18 Suites</t>
  </si>
  <si>
    <t>01/05-09/06</t>
  </si>
  <si>
    <t>21/09-31/10</t>
  </si>
  <si>
    <t>16/05-31/05</t>
  </si>
  <si>
    <t>01/07-14/07</t>
  </si>
  <si>
    <t>Orfeas</t>
  </si>
  <si>
    <t>01/09-21/09</t>
  </si>
  <si>
    <t>26 km. from Heraklion Town, 800m. from the village, on Hersonissos Beach</t>
  </si>
  <si>
    <t>Aegean Architecture.</t>
  </si>
  <si>
    <t>Hall for Evening Entertainment.</t>
  </si>
  <si>
    <t>Elounda Bay</t>
  </si>
  <si>
    <t>Crete, Elounda</t>
  </si>
  <si>
    <t>in Fira center</t>
  </si>
  <si>
    <t>Traditional Architecture, providing all modern comforts.</t>
  </si>
  <si>
    <t>QD</t>
  </si>
  <si>
    <t>10, Syngrou avenue, Athens</t>
  </si>
  <si>
    <t>106 Standard Room(s)</t>
  </si>
  <si>
    <t>Astir of Paros</t>
  </si>
  <si>
    <t>Paros, Kolymbithres</t>
  </si>
  <si>
    <t>Mykonos, Mykonos Town</t>
  </si>
  <si>
    <t>Dates:</t>
  </si>
  <si>
    <t>10, Agiou Nikolaou &amp; Iliou streets, Athens, Vouliagmeni</t>
  </si>
  <si>
    <t>276 Standard Room(s), 1 Presidential Suite(s), 6 Suite(s)</t>
  </si>
  <si>
    <t>Divani Apollon Palace</t>
  </si>
  <si>
    <t>Royal Olympic</t>
  </si>
  <si>
    <t>St George Lycabettus</t>
  </si>
  <si>
    <t>28-34, Athanassiou Diakou street, Athens</t>
  </si>
  <si>
    <t>288 Standard Room(s), 10 Suite(s)</t>
  </si>
  <si>
    <t>15/09-31/10</t>
  </si>
  <si>
    <t>26/09-10/10</t>
  </si>
  <si>
    <t>29/08-11/09</t>
  </si>
  <si>
    <t>Golden Age</t>
  </si>
  <si>
    <t>57, Michalakopoulou street, Athens</t>
  </si>
  <si>
    <t>114 Standard Room(s), 8 Suite(s)</t>
  </si>
  <si>
    <t>Mykonos, Vrissi</t>
  </si>
  <si>
    <t>06/10-31/10</t>
  </si>
  <si>
    <t>01/06-30/06</t>
  </si>
  <si>
    <t>15/09-30/09</t>
  </si>
  <si>
    <t>20/04-31/05</t>
  </si>
  <si>
    <t>01/10-10/10</t>
  </si>
  <si>
    <t>300 m. from Mykonos Town, on Megali Ammos Beach</t>
  </si>
  <si>
    <t>Superior Suite</t>
  </si>
  <si>
    <t>Master Suite</t>
  </si>
  <si>
    <t>Rooms 38</t>
  </si>
  <si>
    <t>Rooms 49 , Suites 3</t>
  </si>
  <si>
    <t>Saint John Villas &amp; Spa</t>
  </si>
  <si>
    <t>Ag. Ioannis</t>
  </si>
  <si>
    <t>08/07-28/07</t>
  </si>
  <si>
    <t>16/05-10/07</t>
  </si>
  <si>
    <t>21/08-30/09</t>
  </si>
  <si>
    <t>Aquarium</t>
  </si>
  <si>
    <t>27/09-31/10</t>
  </si>
  <si>
    <t>16/05-10/06</t>
  </si>
  <si>
    <t>11/09-24/09</t>
  </si>
  <si>
    <t>16/07-31/07</t>
  </si>
  <si>
    <t>Grand Beach</t>
  </si>
  <si>
    <t>New Aeolos</t>
  </si>
  <si>
    <t>Standard S.V.Room</t>
  </si>
  <si>
    <t>Standard G.V.Room</t>
  </si>
  <si>
    <t>96 Standard Rooms</t>
  </si>
  <si>
    <t>6 Junior Suites, 18 Executive rooms and 69 Regular rooms</t>
  </si>
  <si>
    <t>of: “Ovadias Tours" by either Bank/Draft cheque</t>
  </si>
  <si>
    <t>or by Bank Transfer to one of the following Bank Accounts.</t>
  </si>
  <si>
    <t>Hotel Facilities: reception, twice daily maid service, room service, internet facilities, fax service, valet, bellboy service, welcome basket, open air lounge area, in-house laundry &amp; pressing service, open air Gastronome restaurant, private dining, outdoor cocktail bar, 2 outdoor swimming pool, sunbathing deck with panoramic views of the volcano and neighbouring islands, private area with sun chairs, unique cave spa facilities &amp; services, Holistic &amp; therapeutic wellness treatments, secretarial service, private parking and Shuttle bus service to hotels private beach in Perivolos
Room Facilities: air conditioning, direct dial phone, mini bar, satellite TV, CD &amp; DVD player, internet access, safe box, hair dryer, bathrobes, slippers, stone built bath tub in bedroom area, separate shower room and WC and veranda with picture perfect view of the Aegean and volcano</t>
  </si>
  <si>
    <t>9 Standard Rooms</t>
  </si>
  <si>
    <t>23 Standard Rooms, 4 Studios, 2 Apts</t>
  </si>
  <si>
    <t>249 Standard Rooms, 9 Suites</t>
  </si>
  <si>
    <t>38 Standard Rooms</t>
  </si>
  <si>
    <t>Vasilias Beach, Skiathos</t>
  </si>
  <si>
    <t>Mouses</t>
  </si>
  <si>
    <t>13 Standard Rooms, 19 Apts, 8 Bungalows</t>
  </si>
  <si>
    <t>52 Standard Rooms</t>
  </si>
  <si>
    <t>43 Standard Rooms, 38 Studios, 16 Apts</t>
  </si>
  <si>
    <t>30 Standard Rooms</t>
  </si>
  <si>
    <t>49 Standard Rooms</t>
  </si>
  <si>
    <t>130 Standard Rooms, 3 Suites, 3 Junior Suites, 2 Executive Suites</t>
  </si>
  <si>
    <t>The rates include taxi service and meet &amp; greet at the airport or hotel.</t>
  </si>
  <si>
    <t>NOTES: Maximum number of Guests per Taxi: Three (3).</t>
  </si>
  <si>
    <t>V</t>
  </si>
  <si>
    <t>IV</t>
  </si>
  <si>
    <r>
      <rPr>
        <b/>
        <sz val="10"/>
        <rFont val="Arial"/>
        <family val="2"/>
        <charset val="161"/>
      </rPr>
      <t>NOTES:</t>
    </r>
    <r>
      <rPr>
        <sz val="10"/>
        <rFont val="Arial"/>
        <family val="2"/>
        <charset val="161"/>
      </rPr>
      <t xml:space="preserve"> Maximum number of Guests per Taxi: Three (3).</t>
    </r>
  </si>
  <si>
    <t>The rates include taxi service and meet &amp; greet at The airport or hotel</t>
  </si>
  <si>
    <t>VI</t>
  </si>
  <si>
    <t>VII</t>
  </si>
  <si>
    <t>46-47</t>
  </si>
  <si>
    <t>52-53</t>
  </si>
  <si>
    <t>60-69</t>
  </si>
  <si>
    <r>
      <t xml:space="preserve">Hotel Facilities: Airconditioned throughout, </t>
    </r>
    <r>
      <rPr>
        <sz val="10"/>
        <rFont val="Arial"/>
        <family val="2"/>
        <charset val="161"/>
      </rPr>
      <t>Restaurant a la carte, J-Lounge, Swimming Pool, 24h Room services, Travel assistance, Limousine service, Laundry &amp; Dry cleaning services, Parking</t>
    </r>
    <r>
      <rPr>
        <i/>
        <sz val="10"/>
        <rFont val="Arial"/>
        <family val="2"/>
        <charset val="161"/>
      </rPr>
      <t xml:space="preserve">
Room Facilities: </t>
    </r>
    <r>
      <rPr>
        <sz val="10"/>
        <rFont val="Arial"/>
        <family val="2"/>
        <charset val="161"/>
      </rPr>
      <t>Direct-dial phone, Mini Bar, Satellite/pay TV, CD/DVD player, Broadband internet access, Data port for fax/modem, Hairdryer, Safe.</t>
    </r>
  </si>
  <si>
    <r>
      <t xml:space="preserve">Hotel Facilities: </t>
    </r>
    <r>
      <rPr>
        <sz val="10"/>
        <rFont val="Arial"/>
        <family val="2"/>
        <charset val="161"/>
      </rPr>
      <t>A/C throughout, Bar, Central Heating, Conference /Banquet Facilities, Lounge, Restaurant, Room Service</t>
    </r>
    <r>
      <rPr>
        <i/>
        <sz val="10"/>
        <rFont val="Arial"/>
        <family val="2"/>
        <charset val="161"/>
      </rPr>
      <t xml:space="preserve">
Room Facilities: </t>
    </r>
    <r>
      <rPr>
        <sz val="10"/>
        <rFont val="Arial"/>
        <family val="2"/>
        <charset val="161"/>
      </rPr>
      <t>Air-condition, Direct-dial phone, Hairdryer, Mini Bar, Pay TV, Safe Box, Satellite TV, Voice Mail</t>
    </r>
  </si>
  <si>
    <t>Hotel Facilities: Restaurant, Pool/Beach Restaurant/Bar, Main bar, Mini market, Outdoor swimming pool, Children's pool, Gym, Baby sitting, Billiards, Internet corner, Parking
Room Facilities: Heating, Hairdryer, Fridge, Safe, Direct dial phone, Satellite TV, Internet access, Mini bar[on request]</t>
  </si>
  <si>
    <t>Diana Palace</t>
  </si>
  <si>
    <t>Argassi</t>
  </si>
  <si>
    <t>Hotel Facilities: Swimming pool, 2 Bars, Snack bar, Buffet breakfast, Gym, Mini golf, Children's playground, Animation program, Room service, Recreation roomParking
Room Facilities: Satellite TV, Safe, Direct dial phone, Mini bar, Music, Hairdryer</t>
  </si>
  <si>
    <t>5, Diomias street, Athens</t>
  </si>
  <si>
    <t>395 Standard Room(s)</t>
  </si>
  <si>
    <t>Children Under 16 Years Old Are NOT Accepted.</t>
  </si>
  <si>
    <t>01/04-31/05</t>
  </si>
  <si>
    <t>16/05-15/06</t>
  </si>
  <si>
    <t>16/09-30/09</t>
  </si>
  <si>
    <t>01/10-20/10</t>
  </si>
  <si>
    <t>18/09-30/09</t>
  </si>
  <si>
    <t>Rodos Palace</t>
  </si>
  <si>
    <t>Ialyssos Avenue, Rhodes, Ixia</t>
  </si>
  <si>
    <t>Kresten Palace</t>
  </si>
  <si>
    <t>30/06-20/07</t>
  </si>
  <si>
    <t>25/09-31/10</t>
  </si>
  <si>
    <t>26/08-24/09</t>
  </si>
  <si>
    <t>Naxos Palace</t>
  </si>
  <si>
    <t>Hotel Facilities: Swimming pool, Garden, Hydromassage, Pool bar, Restaurant, Bar, Snack Bar, Sauna, Gymnasium, Private parking, Laundry, Conference Center, 24 hours reception, Car &amp; bike rental, Horse riding, Transportation to &amp; from port and airport
Room Facilities: Air condition, Sattelite TV, Direct Dial phone, Mini bar, Private bathroom, Safe box</t>
  </si>
  <si>
    <t>05/09-20/09</t>
  </si>
  <si>
    <t>11/07-18/07</t>
  </si>
  <si>
    <t>26/08-04/09</t>
  </si>
  <si>
    <t>Naxos</t>
  </si>
  <si>
    <t>Astir of Naxos</t>
  </si>
  <si>
    <t>Hotel Facilities: Swimming pool, Cafe bar, TV lounge, Kids pool, Snack bar, Internet service, Children playground, Living room, Mail service, Baby sitting (on request), Dining room, Fax service, Parking, Meeting room, Safety deposit boxes, Currency exchange, Breakfast (buffet), Laundry service,  Air-conditioning, Room service
Room Facilities: Air-conditioning, Satelite TV, Internet access, Telephone, Hair dryer, Mini fridge</t>
  </si>
  <si>
    <t>Crowne Plaza</t>
  </si>
  <si>
    <t>Polis Grand</t>
  </si>
  <si>
    <t xml:space="preserve">Athens Gate </t>
  </si>
  <si>
    <t>receive a copy of your Bank order by fax.</t>
  </si>
  <si>
    <t>You are kindly requested to send all your payments to the order</t>
  </si>
  <si>
    <t>2,5 km. from Parikia Town, on Souvlia Beach</t>
  </si>
  <si>
    <t>Casa Delfino</t>
  </si>
  <si>
    <t>in the Old Town that surrounds the Venetian Harbour of Chania</t>
  </si>
  <si>
    <t>32, Kallirois Avenue &amp; Petmeza Street, N.Kosmos</t>
  </si>
  <si>
    <t>01/07-27/08</t>
  </si>
  <si>
    <t>Leto</t>
  </si>
  <si>
    <t>Balcony Overlooking Mykonos Port &amp;the Sea.</t>
  </si>
  <si>
    <t>A3</t>
  </si>
  <si>
    <t>Manoula’s Beach</t>
  </si>
  <si>
    <t>Mykonos, Agios Ioannis</t>
  </si>
  <si>
    <t>5 km. from Mykonos Town, on Agios Ioannis Beach</t>
  </si>
  <si>
    <t>Notes: Above Rates Are NOT Valid For Italian Market.</t>
  </si>
  <si>
    <t>Mykonos Palace</t>
  </si>
  <si>
    <t>Rooms 243</t>
  </si>
  <si>
    <t>Rooms 50</t>
  </si>
  <si>
    <t>500 m. from Fira center</t>
  </si>
  <si>
    <t>48 Standard Room(s)</t>
  </si>
  <si>
    <t>Plaka</t>
  </si>
  <si>
    <t>7, Kapnikareas &amp; Mitropoleos streets, Athens</t>
  </si>
  <si>
    <t>67 Standard Room(s)</t>
  </si>
  <si>
    <t>Ixia</t>
  </si>
  <si>
    <t>on Hersonissos Beach</t>
  </si>
  <si>
    <t>01/01-31/05</t>
  </si>
  <si>
    <t>Hotel Facilities: 24h Room service, Safe, Laundry &amp; cleaning Service, Baby sitting, WiFi Internet access
Room Facilities: A/C, Mini bar, Direct dial phone, Satellite TV, Radio, Hairdryer, Bath</t>
  </si>
  <si>
    <t>Anemolia</t>
  </si>
  <si>
    <t>Arachova</t>
  </si>
  <si>
    <t>Hotel Facilities: Central Heating, 2 Restaurants, 2 Lounges, Sauna, Gym, Video games room, Mini market, Room service, Indoor heated swimming room, Parking
Room Facilities: Direct dial phone, Hairdryer, Radio, Satellite TV, Mini fridge, Balcony</t>
  </si>
  <si>
    <t>Arachova Inn</t>
  </si>
  <si>
    <t>Hotel Facilities: Reception, American Buffet, Lounge TV, Parking, Elevator, Play room, Room service
Room Facilities: TV, Bathroom, Balcony with view, Heating, Daily cleaning, Direct dial phone, Closet</t>
  </si>
  <si>
    <t>Exclusive Suites with Private Heated Swimming Pool.</t>
  </si>
  <si>
    <t>Royal Suites with Indoor &amp; Outdoor Pools, Private Butler, Pianist &amp; GYM with Trainer.</t>
  </si>
  <si>
    <t>Rooms 74 , Suites 6</t>
  </si>
  <si>
    <t>in Heraklion Town</t>
  </si>
  <si>
    <t>11/06-15/07</t>
  </si>
  <si>
    <t>01/05-20/05</t>
  </si>
  <si>
    <t>26/08-10/09</t>
  </si>
  <si>
    <t>21/07-20/08</t>
  </si>
  <si>
    <t>12-14 Assomaton Street</t>
  </si>
  <si>
    <t>57 Standard Room(s)</t>
  </si>
  <si>
    <t>Dorian Inn</t>
  </si>
  <si>
    <t>15-19, Pireos Street</t>
  </si>
  <si>
    <t>5 Single(s) &amp; 112 Double Standard Room(s), 29 Suite(s)</t>
  </si>
  <si>
    <t>on the Cliff Top, overlooking the Volcano &amp; the Sunset, 3,5 km. from Fira Town</t>
  </si>
  <si>
    <t>During winter period Snack Bar &amp; Swimming Pool are NOT AVAILABLE.</t>
  </si>
  <si>
    <t>on the Cliffs of Firostefani, overlooking the Sea &amp; the Volcano, 1 km. from Fira Town</t>
  </si>
  <si>
    <t>Traditional Villa-Apartments.</t>
  </si>
  <si>
    <t>Notes: Children Under 18 Years Old Are NOT Accepted.</t>
  </si>
  <si>
    <t>Rhodes, Ialyssos</t>
  </si>
  <si>
    <t>800 m. from Fira Town</t>
  </si>
  <si>
    <t>Margi</t>
  </si>
  <si>
    <t>A unique Suite with Private Heated Outdoor Pool &amp; Gym .</t>
  </si>
  <si>
    <t>Elounda Beach</t>
  </si>
  <si>
    <t>4 km. from Mykonos Town, 200 m. from Platis Gialos Beach</t>
  </si>
  <si>
    <t>Savoy</t>
  </si>
  <si>
    <t>93, Iroon Polytechniou Avenue, Piraeus</t>
  </si>
  <si>
    <t>68 Standard Room(s), 3 Suite(s)</t>
  </si>
  <si>
    <t>1 km. from Fira center</t>
  </si>
  <si>
    <t>with Volcano view, 100 m. from Fira center</t>
  </si>
  <si>
    <t>Zannos Melathron</t>
  </si>
  <si>
    <t>Santorini, Pyrgos</t>
  </si>
  <si>
    <t>overlooking the entire island</t>
  </si>
  <si>
    <t>Bungalows 214 , Vip Bungalows 20 , Family Rooms 107</t>
  </si>
  <si>
    <t>Rooms 140</t>
  </si>
  <si>
    <t>Location</t>
  </si>
  <si>
    <t>Facilities</t>
  </si>
  <si>
    <t>Address</t>
  </si>
  <si>
    <t xml:space="preserve">Capacity </t>
  </si>
  <si>
    <t>Remarks</t>
  </si>
  <si>
    <t>10 m. from the Beach</t>
  </si>
  <si>
    <t>21/09-10/10</t>
  </si>
  <si>
    <t>26/08-20/09</t>
  </si>
  <si>
    <t>15/07-25/08</t>
  </si>
  <si>
    <t>Cretan Dream Royal Beach</t>
  </si>
  <si>
    <t>Kato Stalos</t>
  </si>
  <si>
    <t>16/07-25/08</t>
  </si>
  <si>
    <t>Porto Platanias Beach Resort</t>
  </si>
  <si>
    <t>Platania, Chania</t>
  </si>
  <si>
    <t>Acropolis Select</t>
  </si>
  <si>
    <t>overlooking the Sea &amp; the Volcano, 13 km. from Fira Town</t>
  </si>
  <si>
    <t>Blue Palace</t>
  </si>
  <si>
    <t>Elounda, Lassithi</t>
  </si>
  <si>
    <t>Rooms 297 , Bungalows 81</t>
  </si>
  <si>
    <t>81 Standard Room(s), 7 Suite(s)</t>
  </si>
  <si>
    <t>Santorini, Karterados</t>
  </si>
  <si>
    <t>Notes: Sea View Supplement ONLY in DOUBLE Rooms: USD 15.- per Room per Night.</t>
  </si>
  <si>
    <t>With view of the Venetian Castle at the Old Port, in Heraklion Town</t>
  </si>
  <si>
    <t>Crete, Santa Marina -Chania</t>
  </si>
  <si>
    <t>Myconian Imperial Hotel &amp; Thalasso Center</t>
  </si>
  <si>
    <t>Elia Beach</t>
  </si>
  <si>
    <t>Rooms 103, Suites 9</t>
  </si>
  <si>
    <t>Classical Vouliagmeni Suites</t>
  </si>
  <si>
    <t>8, Panos &amp; Chlois Streets, Vouliagmeni</t>
  </si>
  <si>
    <t>30 Standard Room(s), 5 Suite(s)</t>
  </si>
  <si>
    <t>Kipriotis Village</t>
  </si>
  <si>
    <t>30 m. from the Beach</t>
  </si>
  <si>
    <t>NJV Athens Plaza</t>
  </si>
  <si>
    <t>Vassilissis Georgiou A’ &amp; Stadiou streets, Athens, Syntagma</t>
  </si>
  <si>
    <t>154 Standard Room(s), 28 Suite(s)</t>
  </si>
  <si>
    <r>
      <t>Hotel Facilities:</t>
    </r>
    <r>
      <rPr>
        <sz val="10"/>
        <rFont val="Arial"/>
        <family val="2"/>
        <charset val="161"/>
      </rPr>
      <t xml:space="preserve"> Airconditioning, Central heating, American buffet breakfast, Restaurant, Roof garden bar, Lounge bar, Rooftop swimming pool, Internet corner, Wi-Fi internet access, Laundry, Room service. </t>
    </r>
    <r>
      <rPr>
        <i/>
        <sz val="10"/>
        <rFont val="Arial"/>
        <family val="2"/>
        <charset val="161"/>
      </rPr>
      <t xml:space="preserve">
Room Facilities: TV, </t>
    </r>
    <r>
      <rPr>
        <sz val="10"/>
        <rFont val="Arial"/>
        <family val="2"/>
        <charset val="161"/>
      </rPr>
      <t xml:space="preserve">Direct dial phone, Fridge, Hairdryer, Safe </t>
    </r>
  </si>
  <si>
    <r>
      <t>Hotel Facilities:</t>
    </r>
    <r>
      <rPr>
        <sz val="10"/>
        <rFont val="Arial"/>
        <family val="2"/>
        <charset val="161"/>
      </rPr>
      <t xml:space="preserve"> Roof garden bar restaurant, Restaurant bar, Non smoking guest rooms, Internet corner, Wi-Fi station </t>
    </r>
    <r>
      <rPr>
        <i/>
        <sz val="10"/>
        <rFont val="Arial"/>
        <family val="2"/>
        <charset val="161"/>
      </rPr>
      <t xml:space="preserve">
Room Facilities: </t>
    </r>
    <r>
      <rPr>
        <sz val="10"/>
        <rFont val="Arial"/>
        <family val="2"/>
        <charset val="161"/>
      </rPr>
      <t xml:space="preserve">Airconditioning, Soundprouf windows, Satellite TV, Direct dial phone, Mini bar, Safe box, Hairdryer </t>
    </r>
  </si>
  <si>
    <r>
      <t>Hotel Facilities:</t>
    </r>
    <r>
      <rPr>
        <sz val="10"/>
        <rFont val="Arial"/>
        <family val="2"/>
        <charset val="161"/>
      </rPr>
      <t xml:space="preserve"> Restaurant, Bar, Roof garden, Parking </t>
    </r>
    <r>
      <rPr>
        <i/>
        <sz val="10"/>
        <rFont val="Arial"/>
        <family val="2"/>
        <charset val="161"/>
      </rPr>
      <t xml:space="preserve">
Room Facilities: </t>
    </r>
    <r>
      <rPr>
        <sz val="10"/>
        <rFont val="Arial"/>
        <family val="2"/>
        <charset val="161"/>
      </rPr>
      <t xml:space="preserve">Airconditioning, TV, Mini bar </t>
    </r>
  </si>
  <si>
    <r>
      <t>Hotel Facilities:</t>
    </r>
    <r>
      <rPr>
        <sz val="10"/>
        <rFont val="Arial"/>
        <family val="2"/>
        <charset val="161"/>
      </rPr>
      <t xml:space="preserve"> Restaurant, Bar, Roof garden with swimming pool, Internet corner, Room services, Parking </t>
    </r>
    <r>
      <rPr>
        <i/>
        <sz val="10"/>
        <rFont val="Arial"/>
        <family val="2"/>
        <charset val="161"/>
      </rPr>
      <t xml:space="preserve">
Room Facilities: </t>
    </r>
    <r>
      <rPr>
        <sz val="10"/>
        <rFont val="Arial"/>
        <family val="2"/>
        <charset val="161"/>
      </rPr>
      <t>Airconditioning, Heating, Satellite TV, Mini fridge, Direct dial phone, Balcony</t>
    </r>
  </si>
  <si>
    <r>
      <t>Hotel Facilities:</t>
    </r>
    <r>
      <rPr>
        <sz val="10"/>
        <rFont val="Arial"/>
        <family val="2"/>
        <charset val="161"/>
      </rPr>
      <t xml:space="preserve"> Bar, Lounge</t>
    </r>
    <r>
      <rPr>
        <i/>
        <sz val="10"/>
        <rFont val="Arial"/>
        <family val="2"/>
        <charset val="161"/>
      </rPr>
      <t xml:space="preserve">
Room Facilities: </t>
    </r>
    <r>
      <rPr>
        <sz val="10"/>
        <rFont val="Arial"/>
        <family val="2"/>
        <charset val="161"/>
      </rPr>
      <t>Air-condition, Color TV, Direct-dial phone, Radio</t>
    </r>
  </si>
  <si>
    <r>
      <t xml:space="preserve">Hotel Facilities: </t>
    </r>
    <r>
      <rPr>
        <sz val="10"/>
        <rFont val="Arial"/>
        <family val="2"/>
        <charset val="161"/>
      </rPr>
      <t>A/C throughout, Bar, Central Heating, Convention Facilities, Restaurant, Roof Garden, Trade Showroom</t>
    </r>
    <r>
      <rPr>
        <i/>
        <sz val="10"/>
        <rFont val="Arial"/>
        <family val="2"/>
        <charset val="161"/>
      </rPr>
      <t xml:space="preserve">
Room Facilities: </t>
    </r>
    <r>
      <rPr>
        <sz val="10"/>
        <rFont val="Arial"/>
        <family val="2"/>
        <charset val="161"/>
      </rPr>
      <t>Air-condition, Direct-dial phone, Fridge, Hairdryer, Safe Box, TV</t>
    </r>
  </si>
  <si>
    <r>
      <t xml:space="preserve">Hotel Facilities: </t>
    </r>
    <r>
      <rPr>
        <sz val="10"/>
        <rFont val="Arial"/>
        <family val="2"/>
        <charset val="161"/>
      </rPr>
      <t>A/C throughout, Café Bar, Central Heating, Restaurant, American buffet breakfast, English &amp; Greek press stand, Room services, Safe, Laundry services, Parking</t>
    </r>
    <r>
      <rPr>
        <i/>
        <sz val="10"/>
        <rFont val="Arial"/>
        <family val="2"/>
        <charset val="161"/>
      </rPr>
      <t xml:space="preserve">
Room Facilities: </t>
    </r>
    <r>
      <rPr>
        <sz val="10"/>
        <rFont val="Arial"/>
        <family val="2"/>
        <charset val="161"/>
      </rPr>
      <t>Direct-dial phone, Fridge, Hairdryer, Modem outlet, Radio, Satellite TV, Mini bar, Balcony of terrace.</t>
    </r>
  </si>
  <si>
    <t>90 Deluxe bfr Bgls, 3 Villas with private pool, 13 Suites with private pool, 4 Junior suites, 10 Executive suites, 1 Ambassador suite,  1 Royal suite, 1 Honeymmon suite, 99 Olympic: rooms, 15 Suites</t>
  </si>
  <si>
    <t>Danae</t>
  </si>
  <si>
    <r>
      <t xml:space="preserve">Hotel Facilities: </t>
    </r>
    <r>
      <rPr>
        <sz val="10"/>
        <rFont val="Arial"/>
        <family val="2"/>
        <charset val="161"/>
      </rPr>
      <t>2 Swimming Pools, 2 Tennis Courts, A/C throughout, Bowling, Central Heating, Conference Hall, Convention Facilities, Health Club, Pool
Bar, Room Service, Safe Deposit Boxes, Sauna, Sea Sports, Shops, Snack Bar, Table Tennis, TV Room</t>
    </r>
    <r>
      <rPr>
        <i/>
        <sz val="10"/>
        <rFont val="Arial"/>
        <family val="2"/>
        <charset val="161"/>
      </rPr>
      <t xml:space="preserve">
Room Facilities: </t>
    </r>
    <r>
      <rPr>
        <sz val="10"/>
        <rFont val="Arial"/>
        <family val="2"/>
        <charset val="161"/>
      </rPr>
      <t>Air-condition, Color TV, Mini Bar, Music, Telephone</t>
    </r>
  </si>
  <si>
    <r>
      <t xml:space="preserve">Hotel Facilities: </t>
    </r>
    <r>
      <rPr>
        <sz val="10"/>
        <rFont val="Arial"/>
        <family val="2"/>
        <charset val="161"/>
      </rPr>
      <t>2 Restaurants, 2 Swimming Pools, A/C throughout, Baby Sitting, Conference Facilities, Executive suites, Ice Cream Parlour, Laundry
Service, Piano Bar, Room Service, Shops, VIP Club Service</t>
    </r>
    <r>
      <rPr>
        <i/>
        <sz val="10"/>
        <rFont val="Arial"/>
        <family val="2"/>
        <charset val="161"/>
      </rPr>
      <t xml:space="preserve">
Room Facilities: </t>
    </r>
    <r>
      <rPr>
        <sz val="10"/>
        <rFont val="Arial"/>
        <family val="2"/>
        <charset val="161"/>
      </rPr>
      <t>Direct-dial phone, Hairdryer, Mini Bar, Radio, Satellite TV, Video</t>
    </r>
  </si>
  <si>
    <r>
      <t xml:space="preserve">Hotel Facilities: </t>
    </r>
    <r>
      <rPr>
        <sz val="10"/>
        <rFont val="Arial"/>
        <family val="2"/>
        <charset val="161"/>
      </rPr>
      <t>2 Snack-Bars, 2 Sundy Beaches, 2 Tennis Courts, A/C throughout, Beach Tavern, Boutique, Central Heating, Children’s Club, Children’s
Playground, Children’s Pool, Conference Room, Entertainment Team, Fitness Centre, Games Rooms, Gym, Hairdresser, Jewelry Shop, Main Restaurant,
Massage, Mountain Bikes, Piano Bar, Private Marina, Restaurant a La Carte, Room Service, Swimming Pool, Water Sports</t>
    </r>
    <r>
      <rPr>
        <i/>
        <sz val="10"/>
        <rFont val="Arial"/>
        <family val="2"/>
        <charset val="161"/>
      </rPr>
      <t xml:space="preserve">
Room Facilities: </t>
    </r>
    <r>
      <rPr>
        <sz val="10"/>
        <rFont val="Arial"/>
        <family val="2"/>
        <charset val="161"/>
      </rPr>
      <t>Air-condition, Color TV, Hairdryer, Mini Bar, Music, Safe Box, Telephone</t>
    </r>
  </si>
  <si>
    <r>
      <t xml:space="preserve">Hotel Facilities: </t>
    </r>
    <r>
      <rPr>
        <sz val="10"/>
        <rFont val="Arial"/>
        <family val="2"/>
        <charset val="161"/>
      </rPr>
      <t>3 Tennis courts, 4 Lounges, A/C throughout, Animation, Beach Snack Bar, Central Heating, Children’s Pool, Main Restaurant, Night Club,
Pool Bar, Pool Restaurant, Restaurant a La Carte, Sea-water Swimming Pool, Tavern, Water Sports</t>
    </r>
    <r>
      <rPr>
        <i/>
        <sz val="10"/>
        <rFont val="Arial"/>
        <family val="2"/>
        <charset val="161"/>
      </rPr>
      <t xml:space="preserve">
Room Facilities: </t>
    </r>
    <r>
      <rPr>
        <sz val="10"/>
        <rFont val="Arial"/>
        <family val="2"/>
        <charset val="161"/>
      </rPr>
      <t>Air-condition, Hairdryer, Mini Bar, Music, Safe Box, Satellite Color TV, Telephone</t>
    </r>
  </si>
  <si>
    <t>21, Bouboulinas Str., Nafplio</t>
  </si>
  <si>
    <t>Hotel Facilities: Bar, Restaurant, Cafeteria
Room Facilities: A/C, TV, Direct dial phone, Mini bar</t>
  </si>
  <si>
    <t>Superior room</t>
  </si>
  <si>
    <t>Pelican Bay Art Hotel</t>
  </si>
  <si>
    <t>Eri</t>
  </si>
  <si>
    <t>1,5 km. from the port, 800 m. from Livadia Beach</t>
  </si>
  <si>
    <t>11/07-25/08</t>
  </si>
  <si>
    <t>01/10-31/10</t>
  </si>
  <si>
    <t>01/09-20/09</t>
  </si>
  <si>
    <t>19/09-30/09</t>
  </si>
  <si>
    <t xml:space="preserve">On the private beach of Lagonissi - Sounio road </t>
  </si>
  <si>
    <t>Deluxe Sea View Room</t>
  </si>
  <si>
    <t>Rooms7 , Junior Suites 6 , Honeymoon Suites 2 , Vip Suite 1</t>
  </si>
  <si>
    <t>Senior Suite</t>
  </si>
  <si>
    <t>Suites 42</t>
  </si>
  <si>
    <t>Rooms 33 , Suites 9</t>
  </si>
  <si>
    <t>800 m. from Mykonos Town</t>
  </si>
  <si>
    <t>Traditional Aegean Architecture.</t>
  </si>
  <si>
    <t>Mykonos, Agios Stefanos</t>
  </si>
  <si>
    <t>Room 1 , Studios 8 , Suites 9 , Honeymoon Suite 1 , Villa 1</t>
  </si>
  <si>
    <t>01/09-31/12</t>
  </si>
  <si>
    <t>Loutraki, on the beach</t>
  </si>
  <si>
    <t>Patmos Paradise</t>
  </si>
  <si>
    <t>Patmos</t>
  </si>
  <si>
    <t>Skala</t>
  </si>
  <si>
    <t>Best Western Poros Image</t>
  </si>
  <si>
    <t>Neorio</t>
  </si>
  <si>
    <t>New Aegli</t>
  </si>
  <si>
    <t>Divani</t>
  </si>
  <si>
    <t xml:space="preserve">  General Information &amp; Conditions ………………..</t>
  </si>
  <si>
    <t xml:space="preserve">  Glossary …………………………………………….</t>
  </si>
  <si>
    <t xml:space="preserve">  Transfer Rates ………………………………………</t>
  </si>
  <si>
    <t>Rooms 82</t>
  </si>
  <si>
    <t>01/06 - 30/06</t>
  </si>
  <si>
    <t>01/09 - 30/09</t>
  </si>
  <si>
    <t>25/09-01/10</t>
  </si>
  <si>
    <t>28/08-24/09</t>
  </si>
  <si>
    <t>24/07-27/08</t>
  </si>
  <si>
    <t>01/11-31/12</t>
  </si>
  <si>
    <t>01/05-30/06</t>
  </si>
  <si>
    <t>01/07-31/08</t>
  </si>
  <si>
    <t>Astor</t>
  </si>
  <si>
    <t>16, Karageorgi Servias street, Athens</t>
  </si>
  <si>
    <t>131 Standard Room(s)</t>
  </si>
  <si>
    <t>S2</t>
  </si>
  <si>
    <t>16/06-15/07</t>
  </si>
  <si>
    <t>01/09-15/09</t>
  </si>
  <si>
    <t>01/04-15/05</t>
  </si>
  <si>
    <t>Junior Suite</t>
  </si>
  <si>
    <t>11/09-30/09</t>
  </si>
  <si>
    <t>16/07-31/08</t>
  </si>
  <si>
    <t>Hotel Facilities: A/C, 24h Room Service, Main Restaurant, Main Bar, Pool Restaurant, Pool Bar, 2 Tennis court, Mini market, Basket, Volley, Sauna, Hammam, Hairdressing, Children's pool &amp; playground
Room Facilities: Direct Dial Phone, Satellite TV, Mini bar, Balcony or terrace</t>
  </si>
  <si>
    <t>67th Km of Athens, Sounio</t>
  </si>
  <si>
    <t>Grecotel Cape Sounio</t>
  </si>
  <si>
    <t>153 Standard Rooms</t>
  </si>
  <si>
    <t>2, Posidonos Str., Edipsos, Evia</t>
  </si>
  <si>
    <t>Hotel Facilities: 24h Room Service, Internet access, Wellness &amp; Beauty center, Body care, Facial treatments, Restaurant, Bar, Spa &amp; Medical wellness
Room Facilities: A/C, Phone, Hairdryer, Satellite TV, Safe, Mini Bar</t>
  </si>
  <si>
    <t>Angelica VIP Boutique</t>
  </si>
  <si>
    <t>Bratsera Traditional Settlement</t>
  </si>
  <si>
    <t>Hotel Facilities: Central heating, Swimming pool, Jacuzzi, Garden, Snack bar, Room service, WiFi Internet access, TV lounge
Room Facilities: A/V, Satellite TV, Fridge, Hairdryer, Safe</t>
  </si>
  <si>
    <t>Tombazi Str., Hydra</t>
  </si>
  <si>
    <t xml:space="preserve">  RHODES …………………………………………… </t>
  </si>
  <si>
    <t>2 km. from Elounda, 79 km. from Heraklion Town, on the Beach</t>
  </si>
  <si>
    <t>Suites are also equipped with Jacuzzi, CD, VCR, or DVD Player &amp; PC Modem Outlet, TV in Bath.</t>
  </si>
  <si>
    <t>Exclusive Suites with Heated Swimming Pool.</t>
  </si>
  <si>
    <t>on the Beach</t>
  </si>
  <si>
    <t>Lato</t>
  </si>
  <si>
    <t>15, Epimenidou st., Crete, Heraklion</t>
  </si>
  <si>
    <t>5 kms from Rhodes Town, 100 m. from Ixia Beach</t>
  </si>
  <si>
    <t>Traditional Palatial settlement.</t>
  </si>
  <si>
    <t>Patras Palace</t>
  </si>
  <si>
    <t>Porto Rio Casino</t>
  </si>
  <si>
    <t>15, Othonos Amalias Str.</t>
  </si>
  <si>
    <t>Hotel Facilities: A/C, Central Heating, 2 Bars, Restaurant, Roof Garden, Room Service, Meeting Room, Parking
Room Facilities:Satellite TV, Direct dial phone, Internet access, Mini bar, Hairdryer</t>
  </si>
  <si>
    <t>Rio, on the beach</t>
  </si>
  <si>
    <t>Hotel Facilities: Central Heating, TV Room, Restaurant, Pool bar, Snack bar, Tennis court, Beach volley, Mini market, Spa, Gym, Laundry &amp; Cleaning service, Casino, Open parking
Room Facilities:Mini bar, Direct dial phone, Satellite TV, Safe, Music, free WiFi internet</t>
  </si>
  <si>
    <t>18, Ag.Nikolaou Str.</t>
  </si>
  <si>
    <t>Hotel Facilities: Restaurant, Bar
Room Facilities: Color TV, A/C, Direct Dial Phone, Hairdryer, Bath or Shower</t>
  </si>
  <si>
    <t>Hotel Facilities: 24h Room service, Cafeteria, Night bar, Restaurant, Outdoor swimming pool, Gift shop, Roof garden restaurant, Wi-Fi internet access, Laundry &amp; Cleaning services, Parking
Room Facilities: Direct dial phone, Wi-Fi internet access, Satellite / Pay TV</t>
  </si>
  <si>
    <t>City &amp; Central Spa</t>
  </si>
  <si>
    <t>11,  Komninos Str., Thessaloniki</t>
  </si>
  <si>
    <t>Hotel Facilities: 24h Room Service, Café, Restaurant, Spa facilities, Fitness center, Hammam, Solarium, Secreterial services, Internet access, Laundry &amp; Valet services
Room Facilities: Direct dial phone, Mini bar, Satellite TV, A/C, Coffee/Tea machine, Hairdryer</t>
  </si>
  <si>
    <t>Skiathos Palace</t>
  </si>
  <si>
    <t>Theoxenia</t>
  </si>
  <si>
    <t>Mykonos, Ornos</t>
  </si>
  <si>
    <t>Aldemar Cretan Village</t>
  </si>
  <si>
    <t>Myconian Architecture, overlooking Myconos Town &amp; the Sea, surrounded by gardens.</t>
  </si>
  <si>
    <t>Naxos, Agios Georgios</t>
  </si>
  <si>
    <t>Rooms 104 , Junior Suites 27</t>
  </si>
  <si>
    <t>Rooms 181</t>
  </si>
  <si>
    <t>Santa Marina Plaza</t>
  </si>
  <si>
    <t>3 km. from Parikia Town, 80 m. from Parasporos Beach</t>
  </si>
  <si>
    <t>Traditional Architecture village of 20.000 sq.m.</t>
  </si>
  <si>
    <t>Maisonette</t>
  </si>
  <si>
    <t>Aegeon</t>
  </si>
  <si>
    <t>Paros, Parikia</t>
  </si>
  <si>
    <t>01/07-10/09</t>
  </si>
  <si>
    <t>27/08-05/10</t>
  </si>
  <si>
    <t>Notes: All Rates Valid for MINIMUM 3 NIGHTS stay.</t>
  </si>
  <si>
    <t>4 Kms from Mykonos Town, On Agios Yiannis Beach</t>
  </si>
  <si>
    <t>Private Jacuzzi and Steam Bath Available in All EXECUTIVE Rooms. Private Swimming Pool Available in EXECUTIVE Suites.</t>
  </si>
  <si>
    <t>Mykonos, Platis Gialos</t>
  </si>
  <si>
    <t>26/05-22/06</t>
  </si>
  <si>
    <t>23/06-20/07</t>
  </si>
  <si>
    <t>25/08-14/09</t>
  </si>
  <si>
    <t>21/07-24/08</t>
  </si>
  <si>
    <t>Mediterranean Beach Resort</t>
  </si>
  <si>
    <t>Laganas, on the beach</t>
  </si>
  <si>
    <t>Hotel facilities: 24 hour reception, TV lounge, room service, daily maid service, free internet access, fax service, dry cleaning service, Gourmet restaurant,  open air lounge, lounge bar, outdoor pool  with Jacuzzi, pool bar, Spa, outdoor restaurant, indoor café and outdoor café, luggage service and parking.      
Room facilities: hairdryer, mini bar, refrigerator, kitchen (utensils provided upon request), satellite TV, music, air conditioning, safe box, direct dial phone, bathroom with Jacuzzi, bathrobes</t>
  </si>
  <si>
    <r>
      <t xml:space="preserve">Hotel Facilities: </t>
    </r>
    <r>
      <rPr>
        <sz val="10"/>
        <rFont val="Arial"/>
        <family val="2"/>
        <charset val="161"/>
      </rPr>
      <t>Air-Condition, Cafeteria, Central Heating, Conference Facilities, Fireplace, Main Bar, Restaurant, Roof Garden, Room Service, Sauna, Snack Bar, Sun terrace, Swimming Pool, TV Lounge</t>
    </r>
    <r>
      <rPr>
        <i/>
        <sz val="10"/>
        <rFont val="Arial"/>
        <family val="2"/>
        <charset val="161"/>
      </rPr>
      <t xml:space="preserve">
Room Facilities:</t>
    </r>
    <r>
      <rPr>
        <sz val="10"/>
        <rFont val="Arial"/>
        <family val="2"/>
        <charset val="161"/>
      </rPr>
      <t xml:space="preserve"> Balcony, Direct-dial phone, Hairdryer, Mini Bar, Safe Box, TV</t>
    </r>
  </si>
  <si>
    <r>
      <t xml:space="preserve">Hotel Facilities: 24r Reception, Main </t>
    </r>
    <r>
      <rPr>
        <sz val="10"/>
        <rFont val="Arial"/>
        <family val="2"/>
        <charset val="161"/>
      </rPr>
      <t>Restaurant, Beach Bar, Outdoor Swimming Pool, Roof garden Bar</t>
    </r>
    <r>
      <rPr>
        <i/>
        <sz val="10"/>
        <rFont val="Arial"/>
        <family val="2"/>
        <charset val="161"/>
      </rPr>
      <t xml:space="preserve">
Room Facilities: A/C, </t>
    </r>
    <r>
      <rPr>
        <sz val="10"/>
        <rFont val="Arial"/>
        <family val="2"/>
        <charset val="161"/>
      </rPr>
      <t>Hairdryer, Marble Bath, Mini Fridge, Safe, Satellite TV</t>
    </r>
  </si>
  <si>
    <r>
      <t xml:space="preserve">Hotel Facilities: </t>
    </r>
    <r>
      <rPr>
        <sz val="10"/>
        <rFont val="Arial"/>
        <family val="2"/>
        <charset val="161"/>
      </rPr>
      <t>A/C, Main Restaurant, Restaurant a la carte, Taverna, Self service restaurant, Cafeteria, Lobby bar, Beach Bar, Sauna, D iving center, 3 Outdoor Swimming Pool, Water Sports, Mini market, Parking</t>
    </r>
    <r>
      <rPr>
        <i/>
        <sz val="10"/>
        <rFont val="Arial"/>
        <family val="2"/>
        <charset val="161"/>
      </rPr>
      <t xml:space="preserve">
Room Facilities: </t>
    </r>
    <r>
      <rPr>
        <sz val="10"/>
        <rFont val="Arial"/>
        <family val="2"/>
        <charset val="161"/>
      </rPr>
      <t>Balcony or Terrace, Hairdryer, Fridge or mini bar, Safe, Satellite TV, Direct dial phone</t>
    </r>
  </si>
  <si>
    <r>
      <t>Hotel Facilities:</t>
    </r>
    <r>
      <rPr>
        <sz val="10"/>
        <rFont val="Arial"/>
        <family val="2"/>
        <charset val="161"/>
      </rPr>
      <t xml:space="preserve"> 3 Fresh-Water Swimming Pools, 4 Tennis Courts, A/C throughout, Animation Programme, Bar, Beach Bar, Children’s Playground, Children’s Pool, Disco Club, Giant Waterslide, Hairdresser, Jewelry Shop, Kafenion, Kindergarden, Mini Golf, Mini Market, Open Air Amphitheatrer, Pool Bar, Restaurant, Safe Deposit Boxes, Snack Bar, Souvenir Shop, Table Tennis, Tavern, Volley, Water Sports</t>
    </r>
    <r>
      <rPr>
        <i/>
        <sz val="10"/>
        <rFont val="Arial"/>
        <family val="2"/>
        <charset val="161"/>
      </rPr>
      <t xml:space="preserve">
Room Facilities: </t>
    </r>
    <r>
      <rPr>
        <sz val="10"/>
        <rFont val="Arial"/>
        <family val="2"/>
        <charset val="161"/>
      </rPr>
      <t>Direct-dial phone, Fridge, Hairdryer, TV</t>
    </r>
  </si>
  <si>
    <t>46, V.Paulou &amp; Friderikis St.</t>
  </si>
  <si>
    <t>Hotel Facilities: A/C, Central Heating, Bar, Restaurant, Games Room, WiFi internet access, Fax/Copier/Printer services, Postal Sevices, 24h Room Services, 24h Reception
Room Facilities:Satellite TV, Music, Direct dial phone, Hairdryer, Baby cot, Iron, Safe, Balcony with view, Bath or Shower</t>
  </si>
  <si>
    <t>Completely renovated.</t>
  </si>
  <si>
    <t>Atrium Palace</t>
  </si>
  <si>
    <t xml:space="preserve">Kalathos,Lindos </t>
  </si>
  <si>
    <t>6 km. from Corfu Town, on Kontokali Beach</t>
  </si>
  <si>
    <t>Standard Bay View Room</t>
  </si>
  <si>
    <t>Bungalow Garden View</t>
  </si>
  <si>
    <t>Notes: Four Bedded Rooms are Available ONLY In Bungalows.</t>
  </si>
  <si>
    <t>30/08-19/09</t>
  </si>
  <si>
    <t>03/10-31/10</t>
  </si>
  <si>
    <t>4 km. from Mykonos Town, on Platis Gialos Beach</t>
  </si>
  <si>
    <t>Corfu, Kanoni</t>
  </si>
  <si>
    <t>Santorini Princess</t>
  </si>
  <si>
    <t>Hotel Facilities: Central heating, Bar, Mediterranean cuisine restaurant, Swimming pool, TV lounge
Room Facilities: Direct dial phone, Mini bar</t>
  </si>
  <si>
    <t>Club Hotel Casino Loutraki</t>
  </si>
  <si>
    <t>Poseidon Resort</t>
  </si>
  <si>
    <t>48, Akti Poseidonos, Loutraki</t>
  </si>
  <si>
    <t>20 km. from Corfu Town, 100 m. from Agios Ioannis Beach, Moraitika</t>
  </si>
  <si>
    <t>Corfu, Nissaki</t>
  </si>
  <si>
    <t>Villas include Jacuzzi, Steam Bath, Walk -In Closets.</t>
  </si>
  <si>
    <t>Rooms 11 , Junior Suites 42 , Executive Suites 4</t>
  </si>
  <si>
    <t>Rooms 87</t>
  </si>
  <si>
    <t>01/06-30/09</t>
  </si>
  <si>
    <t>01/04-31/10</t>
  </si>
  <si>
    <t>01/09-31/10</t>
  </si>
  <si>
    <t>Aegeon Beach</t>
  </si>
  <si>
    <t>68th Km Athens Sounio Road</t>
  </si>
  <si>
    <t>45 Standard Room(s), 6 Suite(s)</t>
  </si>
  <si>
    <t>Rooms 35</t>
  </si>
  <si>
    <t>10/06-07/07</t>
  </si>
  <si>
    <t>08/07-21/07</t>
  </si>
  <si>
    <t>Iria Beach Art Hotel</t>
  </si>
  <si>
    <t>Naxos, Agia Anna</t>
  </si>
  <si>
    <t>Rooms 23</t>
  </si>
  <si>
    <t>Skiathos, Achladies</t>
  </si>
  <si>
    <t>4 km. from Skiathos Town, 500 m. from Achladies Beach</t>
  </si>
  <si>
    <t>Petinos Beach</t>
  </si>
  <si>
    <t>Alkistis</t>
  </si>
  <si>
    <t>Rhodes, Rhodes Town</t>
  </si>
  <si>
    <t>Philippos</t>
  </si>
  <si>
    <t>3, Mitseon street, Athens</t>
  </si>
  <si>
    <t>Notes: Air-Condition Is Available Only For The Period 01/07-31/08</t>
  </si>
  <si>
    <t>Plaza</t>
  </si>
  <si>
    <t>47, Kazantzaki Str., Aegina</t>
  </si>
  <si>
    <t>Daios</t>
  </si>
  <si>
    <t>Grand Palace</t>
  </si>
  <si>
    <t>Holiday Inn</t>
  </si>
  <si>
    <t>Les Lazaristes</t>
  </si>
  <si>
    <t>Mediterranean Palace</t>
  </si>
  <si>
    <t>Anatolia</t>
  </si>
  <si>
    <t>Capsis</t>
  </si>
  <si>
    <t>Davitel Tobacco</t>
  </si>
  <si>
    <t>Sun Beach</t>
  </si>
  <si>
    <t>Mandrino</t>
  </si>
  <si>
    <t>Metropolitan</t>
  </si>
  <si>
    <t>Telioni</t>
  </si>
  <si>
    <r>
      <t>Hotel Facilities: Room Services, Pool Bar, Swimming Pool, Restaurant, Garden, Bar, Parking 
Room Facilities:</t>
    </r>
    <r>
      <rPr>
        <sz val="10"/>
        <rFont val="Arial"/>
        <family val="2"/>
        <charset val="161"/>
      </rPr>
      <t xml:space="preserve"> Satellite TV, Direct dial phone, Radio, Bath or Shower</t>
    </r>
  </si>
  <si>
    <r>
      <t>Hotel Facilities: Centra heating, Gym, Roof garden, Bar, Piano restaurant, Kaundry &amp; Cleaning services, WiFi internet access, Room service, Parking
Room Facilities: A/C, Satellite / Pay TV, Safe, Hairdryer, Radio, Mini bar, CD player, Video</t>
    </r>
    <r>
      <rPr>
        <sz val="10"/>
        <rFont val="Arial"/>
        <family val="2"/>
        <charset val="161"/>
      </rPr>
      <t xml:space="preserve"> </t>
    </r>
  </si>
  <si>
    <r>
      <t xml:space="preserve">Hotel Facilities: </t>
    </r>
    <r>
      <rPr>
        <sz val="10"/>
        <rFont val="Arial"/>
        <family val="2"/>
        <charset val="161"/>
      </rPr>
      <t>3 Swimming Pools, 3 Taverns, 5 Tennis Courts, A/C throughout, Bar, Basketball Court, Cafeteria, Children’s Pool, Conference Hall, Disco
Club, Gym, Hair Salon, Hammam, Health Club, Jacuzzi, Mini Golf, Mini Market, Parking, Pool Bar, Safe Deposit Boxes, Sauna, Sea Sports, Shops, Shuttle
Service, Snack Bar, Solarium, Table Tennis, Tennis Court, Volley</t>
    </r>
    <r>
      <rPr>
        <i/>
        <sz val="10"/>
        <rFont val="Arial"/>
        <family val="2"/>
        <charset val="161"/>
      </rPr>
      <t xml:space="preserve">
Room Facilities: </t>
    </r>
    <r>
      <rPr>
        <sz val="10"/>
        <rFont val="Arial"/>
        <family val="2"/>
        <charset val="161"/>
      </rPr>
      <t>Air-condition, Color TV, Direct-dial phone, Hairdryer, Mini Fridge, Music</t>
    </r>
  </si>
  <si>
    <t>14 km. from Fira Town, 800 m. from Perissa Village, 200 m. from Perivolos Beach, 10 km. from the airport</t>
  </si>
  <si>
    <t>Santorini Palace</t>
  </si>
  <si>
    <t>Parthenon - Airotel</t>
  </si>
  <si>
    <t>6, Makri street, Athens</t>
  </si>
  <si>
    <t>79 Standard Room(s)</t>
  </si>
  <si>
    <t>72 Standard Room(s)</t>
  </si>
  <si>
    <t>Hotel Facilities: Central heating, Restaurant, Bar, Pool bar, Swimming pool, WiFi Internet aceess
Room Facilities: A/C, TV, Radio, Safe, Hairdryer, Fridge, Direct dial phone</t>
  </si>
  <si>
    <t>Sani</t>
  </si>
  <si>
    <t>Hotel Facilities: 16 restaurants &amp; gourmet restaurants, 15 Bars, Swimming pools, 2 Sani spas, 2 Hairdressing salons, Children's mini club, Teenager's club, Oper air cinema, Art gallery 
Room Facilities: A/C, Satellite TV, CD &amp; DVD Player, Mini bar, Fridge, Direct dial phone</t>
  </si>
  <si>
    <t>Porto Carras Meliton</t>
  </si>
  <si>
    <t>Aristoteles Beach</t>
  </si>
  <si>
    <t>Hotel Facilities: 24h Room Service, Massage, Spa, Baby sitting, Boutique
Room Facilities: A/C, Satellite / pay TV, Internet access, Radio, Safe, Mini bar</t>
  </si>
  <si>
    <t>Hotel Facilities: 24h Room service, Free internet access, Safe, Doctor, Parling, TV games, Tennis, Basket, Chess, Swimming pool
Room Facilities: A/C, Mini fridge, Satellite TV, Radio, Safe, Baby cot, Hairdryer</t>
  </si>
  <si>
    <t>Sithonia, Chalkidiki</t>
  </si>
  <si>
    <t>Thermae Sylla Spa</t>
  </si>
  <si>
    <t>Esperides</t>
  </si>
  <si>
    <t>1, Akti Miaouli street, Rhodes, Ixia</t>
  </si>
  <si>
    <t>Cat. 3*</t>
  </si>
  <si>
    <t>23 km. from Corfu Town, on Nissaki Beach</t>
  </si>
  <si>
    <t>Mykonos, Megali Ammos</t>
  </si>
  <si>
    <t>50 m. from the Beach</t>
  </si>
  <si>
    <t>Manousos</t>
  </si>
  <si>
    <t>IV – V – VI</t>
  </si>
  <si>
    <t>I</t>
  </si>
  <si>
    <t>INFORMATION</t>
  </si>
  <si>
    <t>CONDITIONS</t>
  </si>
  <si>
    <t>Pages</t>
  </si>
  <si>
    <t>Hotels Price List</t>
  </si>
  <si>
    <t>II</t>
  </si>
  <si>
    <t>III</t>
  </si>
  <si>
    <t>Grand Resort Lagonissi</t>
  </si>
  <si>
    <t>40 km from Athens in Lagonissi</t>
  </si>
  <si>
    <t>Jason Inn</t>
  </si>
  <si>
    <t>All destinations</t>
  </si>
  <si>
    <t>Caldera's Lilium Villa</t>
  </si>
  <si>
    <t>21/09-30/09</t>
  </si>
  <si>
    <t xml:space="preserve">Cat. 5*    </t>
  </si>
  <si>
    <t>Cat. 2*</t>
  </si>
  <si>
    <t xml:space="preserve"> Cat. 3*</t>
  </si>
  <si>
    <t>Mediterranee</t>
  </si>
  <si>
    <t>When payment is made by Bank Transfer, it is important that we</t>
  </si>
  <si>
    <t>GLOSSARY</t>
  </si>
  <si>
    <t>BOARD BASIS</t>
  </si>
  <si>
    <t>RATE TYPE</t>
  </si>
  <si>
    <t>ACCOMMODATION TYPE</t>
  </si>
  <si>
    <r>
      <t xml:space="preserve">BB </t>
    </r>
    <r>
      <rPr>
        <sz val="10"/>
        <rFont val="Arial"/>
        <family val="2"/>
        <charset val="161"/>
      </rPr>
      <t/>
    </r>
  </si>
  <si>
    <r>
      <t>HB</t>
    </r>
    <r>
      <rPr>
        <sz val="10"/>
        <rFont val="Arial"/>
        <family val="2"/>
        <charset val="161"/>
      </rPr>
      <t/>
    </r>
  </si>
  <si>
    <r>
      <t>FB</t>
    </r>
    <r>
      <rPr>
        <sz val="10"/>
        <rFont val="Symbol"/>
        <family val="1"/>
        <charset val="2"/>
      </rPr>
      <t/>
    </r>
  </si>
  <si>
    <r>
      <t>AI</t>
    </r>
    <r>
      <rPr>
        <sz val="10"/>
        <rFont val="Symbol"/>
        <family val="1"/>
        <charset val="2"/>
      </rPr>
      <t xml:space="preserve"> </t>
    </r>
  </si>
  <si>
    <r>
      <t>RR</t>
    </r>
    <r>
      <rPr>
        <sz val="10"/>
        <rFont val="Arial"/>
        <family val="2"/>
        <charset val="161"/>
      </rPr>
      <t/>
    </r>
  </si>
  <si>
    <r>
      <t>ή</t>
    </r>
    <r>
      <rPr>
        <sz val="10"/>
        <rFont val="Arial"/>
        <family val="2"/>
        <charset val="161"/>
      </rPr>
      <t xml:space="preserve"> Bed &amp; Breakfast</t>
    </r>
  </si>
  <si>
    <r>
      <t xml:space="preserve">ή </t>
    </r>
    <r>
      <rPr>
        <sz val="10"/>
        <rFont val="Arial"/>
        <family val="2"/>
        <charset val="161"/>
      </rPr>
      <t>Half Board</t>
    </r>
  </si>
  <si>
    <r>
      <t xml:space="preserve">ή </t>
    </r>
    <r>
      <rPr>
        <sz val="10"/>
        <rFont val="Arial"/>
        <family val="2"/>
        <charset val="161"/>
      </rPr>
      <t>Full Board</t>
    </r>
  </si>
  <si>
    <r>
      <t>ή</t>
    </r>
    <r>
      <rPr>
        <sz val="10"/>
        <rFont val="Arial"/>
        <family val="2"/>
        <charset val="161"/>
      </rPr>
      <t xml:space="preserve"> All Inclusive</t>
    </r>
  </si>
  <si>
    <r>
      <t>ή</t>
    </r>
    <r>
      <rPr>
        <sz val="10"/>
        <rFont val="Arial"/>
        <family val="2"/>
        <charset val="161"/>
      </rPr>
      <t xml:space="preserve"> Room Only</t>
    </r>
  </si>
  <si>
    <t>PP</t>
  </si>
  <si>
    <t>S1</t>
  </si>
  <si>
    <r>
      <t>S2</t>
    </r>
    <r>
      <rPr>
        <sz val="10"/>
        <rFont val="Arial"/>
        <family val="2"/>
        <charset val="161"/>
      </rPr>
      <t xml:space="preserve"> </t>
    </r>
  </si>
  <si>
    <t>S3</t>
  </si>
  <si>
    <t>S4</t>
  </si>
  <si>
    <t>S5</t>
  </si>
  <si>
    <t>Cavo Tagoo</t>
  </si>
  <si>
    <t>Aquis Silva Beach</t>
  </si>
  <si>
    <r>
      <t xml:space="preserve">Hotel Facilities: </t>
    </r>
    <r>
      <rPr>
        <sz val="10"/>
        <rFont val="Arial"/>
        <family val="2"/>
        <charset val="161"/>
      </rPr>
      <t>Air-Condition, Air-Condition in common areas, Bar, Parking, Restaurant, Safe Deposit Boxes, Snack Bar, Swimming Pool, TV Room</t>
    </r>
    <r>
      <rPr>
        <i/>
        <sz val="10"/>
        <rFont val="Arial"/>
        <family val="2"/>
        <charset val="161"/>
      </rPr>
      <t xml:space="preserve">
Room Facilities: </t>
    </r>
    <r>
      <rPr>
        <sz val="10"/>
        <rFont val="Arial"/>
        <family val="2"/>
        <charset val="161"/>
      </rPr>
      <t>Hairdryer, Mini Bar, Music, Satellite Color TV, Telephone</t>
    </r>
  </si>
  <si>
    <t>256 Standard Rooms, 3 Executive Suites, 2 Presidential Suites</t>
  </si>
  <si>
    <t>164 Standard Rooms, 4 Suites, 8 Junior Suites</t>
  </si>
  <si>
    <t>39 Standard Rooms, 9 Junior Suites, 15 Suites, 1 Penthouse Corner</t>
  </si>
  <si>
    <t>111 Standard Rooms, 7 Suites</t>
  </si>
  <si>
    <t>80 Standard Rooms, 7 Junior Suites, 2 Grand Suites</t>
  </si>
  <si>
    <t>394 Standard Rooms, 3 Suites, 10  AMEA Rooms</t>
  </si>
  <si>
    <t>102 Standard Rooms, 23 Suites</t>
  </si>
  <si>
    <t>57 Standard Rooms, 3 Suites</t>
  </si>
  <si>
    <t>124 Standard Rooms, 2 Suites</t>
  </si>
  <si>
    <t>72 Standard Rooms</t>
  </si>
  <si>
    <t>109 Standard Rooms, 7 Suites</t>
  </si>
  <si>
    <t>86 Standard Rooms</t>
  </si>
  <si>
    <t>93 Standard Rooms, 15 Family Rooms, 9 Maisonettes, 1 Suite</t>
  </si>
  <si>
    <t>70 Standard Rooms, 15 Apts, 35 Studios</t>
  </si>
  <si>
    <t>Rooms 30 , Suites 10</t>
  </si>
  <si>
    <t>President</t>
  </si>
  <si>
    <t>Sofitel Athens Airport Hotel</t>
  </si>
  <si>
    <t>El.Venizelos Airport, Athens</t>
  </si>
  <si>
    <t>332 Room(s), 13 Suite(s)</t>
  </si>
  <si>
    <t>Rooms 46</t>
  </si>
  <si>
    <t>Grand - Rhodes</t>
  </si>
  <si>
    <t>Sea View Room</t>
  </si>
  <si>
    <t>Rooms 786</t>
  </si>
  <si>
    <t>Rooms 30 , Suites 30</t>
  </si>
  <si>
    <t>01/10-30/10</t>
  </si>
  <si>
    <t>Sheraton Rhodos Resort</t>
  </si>
  <si>
    <t>37-39, Falirou street, Athens</t>
  </si>
  <si>
    <t>Crete, Chania</t>
  </si>
  <si>
    <t>on Ixia Beach</t>
  </si>
  <si>
    <t>700 m. from Ixia Beach</t>
  </si>
  <si>
    <t>Belair Beach</t>
  </si>
  <si>
    <t>25/07-25/08</t>
  </si>
  <si>
    <t>Myconian Ambassador</t>
  </si>
  <si>
    <t>Royal Myconian Resort &amp; Thalasso Center</t>
  </si>
  <si>
    <t>Myconian K Hotels &amp; Thalasso Spa</t>
  </si>
  <si>
    <r>
      <t xml:space="preserve">Hotel Facilities: </t>
    </r>
    <r>
      <rPr>
        <sz val="10"/>
        <rFont val="Arial"/>
        <family val="2"/>
        <charset val="161"/>
      </rPr>
      <t>Air-Condition, Parking, Restaurant, Room Service, Central heating, Roof garden, Swimming pool, Snack bar, Sauna, Business center.</t>
    </r>
    <r>
      <rPr>
        <i/>
        <sz val="10"/>
        <rFont val="Arial"/>
        <family val="2"/>
        <charset val="161"/>
      </rPr>
      <t xml:space="preserve">
Room Facilities: Direct dial phone, </t>
    </r>
    <r>
      <rPr>
        <sz val="10"/>
        <rFont val="Arial"/>
        <family val="2"/>
        <charset val="161"/>
      </rPr>
      <t>Mini Bar, Safe, Internet access, Satellite TV</t>
    </r>
  </si>
  <si>
    <r>
      <t xml:space="preserve">Hotel Facilities: </t>
    </r>
    <r>
      <rPr>
        <sz val="10"/>
        <rFont val="Arial"/>
        <family val="2"/>
        <charset val="161"/>
      </rPr>
      <t>A/C throughout, Baby Sitting, Bar, Dry Cleaning, Gym, Restaurant, Room Service</t>
    </r>
    <r>
      <rPr>
        <i/>
        <sz val="10"/>
        <rFont val="Arial"/>
        <family val="2"/>
        <charset val="161"/>
      </rPr>
      <t xml:space="preserve">
Room Facilities: </t>
    </r>
    <r>
      <rPr>
        <sz val="10"/>
        <rFont val="Arial"/>
        <family val="2"/>
        <charset val="161"/>
      </rPr>
      <t>Direct-dial phone, Hairdryer, Mini Bar, Pay TV, Safe Box, Satellite TV</t>
    </r>
  </si>
  <si>
    <t>2.5 km. from Ios Town, 50 m. from Mylopotas Beach</t>
  </si>
  <si>
    <t>Complex of 6 Separate Buildings Among Gardens.</t>
  </si>
  <si>
    <t>Far Out</t>
  </si>
  <si>
    <t>01/06-10/07</t>
  </si>
  <si>
    <t>11/07-31/08</t>
  </si>
  <si>
    <t>01/04-30/04</t>
  </si>
  <si>
    <t>16/09-15/10</t>
  </si>
  <si>
    <t>26/08-15/09</t>
  </si>
  <si>
    <t>11/10-31/10</t>
  </si>
  <si>
    <t>01/08-20/08</t>
  </si>
  <si>
    <t>01/05-31/05</t>
  </si>
  <si>
    <t>01/03-30/04</t>
  </si>
  <si>
    <t>Superior Room</t>
  </si>
  <si>
    <t>Akis</t>
  </si>
  <si>
    <t>Alkyon</t>
  </si>
  <si>
    <t>Skiathos, Skiathos Town</t>
  </si>
  <si>
    <t>Divani Acropolis Palace</t>
  </si>
  <si>
    <t>242 Standard Room(s), 11 Suite(s)</t>
  </si>
  <si>
    <t>50, Michalakopoulou street, Athens</t>
  </si>
  <si>
    <t>2, Kleomenous street , Athens, Kolonaki</t>
  </si>
  <si>
    <t>157 Standard Room(s), 10 Suite(s)</t>
  </si>
  <si>
    <t>Studios 50 , Apartments 15</t>
  </si>
  <si>
    <t>01/07-23/07</t>
  </si>
  <si>
    <t>17/06-07/07</t>
  </si>
  <si>
    <t>Ibiscus</t>
  </si>
  <si>
    <t>17, Nissyrou street, Rhodes, Rhodes Town</t>
  </si>
  <si>
    <t>Situated across the road from the sandy beach of Rhodes Town,</t>
  </si>
  <si>
    <t>9 km. from Mykonos Town, 50 m. from Elia Beach</t>
  </si>
  <si>
    <t>15/05-31/05</t>
  </si>
  <si>
    <t>Cliff Side</t>
  </si>
  <si>
    <t>Aegean Plaza</t>
  </si>
  <si>
    <t>Kamari</t>
  </si>
  <si>
    <t>Notes: Children Under 13 Years Old Are NOT Accepted.</t>
  </si>
  <si>
    <t>Vedema</t>
  </si>
  <si>
    <t>Santorini, Megalohori</t>
  </si>
  <si>
    <t>10 km. from Fira Town, 2 km. from the Beach, 5 km. from the airport</t>
  </si>
  <si>
    <t>Rooms 125</t>
  </si>
  <si>
    <t>Rooms 248</t>
  </si>
  <si>
    <t xml:space="preserve">Amphitryon </t>
  </si>
  <si>
    <t>Spiliadou Str., Nafplio</t>
  </si>
  <si>
    <t>Corfu, Dassia</t>
  </si>
  <si>
    <t>Antonios</t>
  </si>
  <si>
    <t>Best Western Europa</t>
  </si>
  <si>
    <t>Ilis</t>
  </si>
  <si>
    <t>1, Solomou Str., Hersonissos</t>
  </si>
  <si>
    <t>150 Standard Rooms, 12 Maisonettes</t>
  </si>
  <si>
    <t>23 Standard Rooms,92 Bungalows, 18 Suites</t>
  </si>
  <si>
    <t>49 Standard Rooms, 2 Suites</t>
  </si>
  <si>
    <t>Hotel Facilities: A/C, Swimming Pool, Dining Room, TV Lounge
Room Facilities: Satellite TV, View to Olympia valley</t>
  </si>
  <si>
    <t>Hotel Facilities: Breakfast, Swimming Pool, Coffee shop, TV Room, Businness facilities, Secretary service, Safe, Parking
Room Facilities: A/C, Satellite TV, Direct dial phone, Bath or Shower</t>
  </si>
  <si>
    <t>22/09-31/10</t>
  </si>
  <si>
    <t>01/09-14/09</t>
  </si>
  <si>
    <t>30/04-03/06</t>
  </si>
  <si>
    <t>20/08-09/09</t>
  </si>
  <si>
    <t>Koukounaries, Skiathos</t>
  </si>
  <si>
    <t>01/07-26/07</t>
  </si>
  <si>
    <t>26/08-31/08</t>
  </si>
  <si>
    <t>Creta Maris</t>
  </si>
  <si>
    <t>Electra Palace</t>
  </si>
  <si>
    <t>18, Nikodimou street, Athens</t>
  </si>
  <si>
    <t>Emmantina</t>
  </si>
  <si>
    <t>33, Vassileos Georgiou avenue, Athens, Glyfada</t>
  </si>
  <si>
    <t>80 Standard Room(s)</t>
  </si>
  <si>
    <t>Daedalus</t>
  </si>
  <si>
    <t>Attica Holiday Inn</t>
  </si>
  <si>
    <t>40.2Km Attica Avenue</t>
  </si>
  <si>
    <t>192 Standard Room(s), 2 Suite(s)</t>
  </si>
  <si>
    <t>Egnatia</t>
  </si>
  <si>
    <t>139, 7th Merarhias Str.</t>
  </si>
  <si>
    <t>01/10-31/12</t>
  </si>
  <si>
    <t>28/08-14/09</t>
  </si>
  <si>
    <t>Standard S.V. Room</t>
  </si>
  <si>
    <t>01/07-25/07</t>
  </si>
  <si>
    <t>27/08-15/09</t>
  </si>
  <si>
    <t>26/07-26/08</t>
  </si>
  <si>
    <t>Rooms 68 , Suites 2</t>
  </si>
  <si>
    <t>Rooms 100 , Suites 6 , Presidential Suite 1</t>
  </si>
  <si>
    <t>Rooms 103 , Suites 8 , Presidential Suite 1</t>
  </si>
  <si>
    <t>Studios 8 , Apartments 8</t>
  </si>
  <si>
    <t>1 km. from Mykonos Town</t>
  </si>
  <si>
    <t>Mykonos Bay</t>
  </si>
  <si>
    <t>Standard Room S.V.</t>
  </si>
  <si>
    <t>22/07-31/08</t>
  </si>
  <si>
    <t>22/07-25/08</t>
  </si>
  <si>
    <t>01/09-30/09</t>
  </si>
  <si>
    <t>16/10-31/10</t>
  </si>
  <si>
    <t>4 km. from Rhodes Town, 50 m. from Ixia Beach</t>
  </si>
  <si>
    <t>Rodos Park</t>
  </si>
  <si>
    <t>12, Riga Fereou Street, Rhodes, Ixia</t>
  </si>
  <si>
    <t>Rooms 52 , Suites 3</t>
  </si>
  <si>
    <r>
      <t xml:space="preserve">Hotel Facilities: </t>
    </r>
    <r>
      <rPr>
        <sz val="10"/>
        <rFont val="Arial"/>
        <family val="2"/>
        <charset val="161"/>
      </rPr>
      <t>Air-Condition in common areas, Bar, Mini Market, Parking, Pool Bar, Restaurant, Safe Deposit Boxes, Snack Bar, Swimming Pool</t>
    </r>
    <r>
      <rPr>
        <i/>
        <sz val="10"/>
        <rFont val="Arial"/>
        <family val="2"/>
        <charset val="161"/>
      </rPr>
      <t xml:space="preserve">
Room Facilities: </t>
    </r>
    <r>
      <rPr>
        <sz val="10"/>
        <rFont val="Arial"/>
        <family val="2"/>
        <charset val="161"/>
      </rPr>
      <t>Air-condition, Hairdryer, Mini Fridge, Music, Satellite Color TV, Telephone</t>
    </r>
  </si>
  <si>
    <r>
      <t xml:space="preserve">Hotel Facilities: </t>
    </r>
    <r>
      <rPr>
        <sz val="10"/>
        <rFont val="Arial"/>
        <family val="2"/>
        <charset val="161"/>
      </rPr>
      <t>3 Hole Mashie Golf Course, Air-Condition in common areas, Art Gallery, Baby Sitting, Bar, Beach Volley, Children’s Pool, Conference Room, Gardens, Gourmet Restaurant, Gym, Health Club, Horseback Riding, Massage, Parking, Pool Bar, Restaurant, Room Service, Safe Box, Sauna, Shops, Snack Bar, Swimming Pool, Tennis Court, TV Room, Water Sports</t>
    </r>
    <r>
      <rPr>
        <i/>
        <sz val="10"/>
        <rFont val="Arial"/>
        <family val="2"/>
        <charset val="161"/>
      </rPr>
      <t xml:space="preserve">
Room Facilities: </t>
    </r>
    <r>
      <rPr>
        <sz val="10"/>
        <rFont val="Arial"/>
        <family val="2"/>
        <charset val="161"/>
      </rPr>
      <t>Air Condition upon request, Balcony or Veranda, Desk, Direct-dial phone, Hairdryer, Marble Bath, Mini Bar, Satellite TV, Video</t>
    </r>
  </si>
  <si>
    <r>
      <t xml:space="preserve">Hotel Facilities: </t>
    </r>
    <r>
      <rPr>
        <sz val="10"/>
        <rFont val="Arial"/>
        <family val="2"/>
        <charset val="161"/>
      </rPr>
      <t>Bar, Billiards, Conference Facilities, Fully Airconditioned, Gym, Health Club, Mini Golf, Mini Market, Pool Snack Bar, Restaurant, Safe Box,
Sauna, Sea Sports, Swimming Pool, Tennis Court, TV Room</t>
    </r>
    <r>
      <rPr>
        <i/>
        <sz val="10"/>
        <rFont val="Arial"/>
        <family val="2"/>
        <charset val="161"/>
      </rPr>
      <t xml:space="preserve">
Room Facilities: </t>
    </r>
    <r>
      <rPr>
        <sz val="10"/>
        <rFont val="Arial"/>
        <family val="2"/>
        <charset val="161"/>
      </rPr>
      <t>Air-condition, Hairdryer, Mini Bar, Music, Satellite Color TV, Telephone</t>
    </r>
  </si>
  <si>
    <r>
      <t xml:space="preserve">Hotel Facilities: </t>
    </r>
    <r>
      <rPr>
        <sz val="10"/>
        <rFont val="Arial"/>
        <family val="2"/>
        <charset val="161"/>
      </rPr>
      <t>Baby Sitting, Bar, Children’s Pool, Gift Shop, Pool Bar, Restaurant, Safe Box, Snack Bar, Swimming Pool, TV Room</t>
    </r>
    <r>
      <rPr>
        <i/>
        <sz val="10"/>
        <rFont val="Arial"/>
        <family val="2"/>
        <charset val="161"/>
      </rPr>
      <t xml:space="preserve">
Room Facilities:</t>
    </r>
    <r>
      <rPr>
        <sz val="10"/>
        <rFont val="Arial"/>
        <family val="2"/>
        <charset val="161"/>
      </rPr>
      <t xml:space="preserve"> 2-Channel Music, Air-condition, Balcony or Veranda, Direct-dial phone, Fridge</t>
    </r>
  </si>
  <si>
    <r>
      <t xml:space="preserve">Hotel Facilities: </t>
    </r>
    <r>
      <rPr>
        <sz val="10"/>
        <rFont val="Arial"/>
        <family val="2"/>
        <charset val="161"/>
      </rPr>
      <t>Bar, Children’s Playground, Children’s Pool, Conference Hall, Gardens, Health Club, Pool Bar, Restaurant, Shops, Snack Bar, Swimming
Pool, Tennis Court, TV Lounge</t>
    </r>
    <r>
      <rPr>
        <i/>
        <sz val="10"/>
        <rFont val="Arial"/>
        <family val="2"/>
        <charset val="161"/>
      </rPr>
      <t xml:space="preserve">
Room Facilities: </t>
    </r>
    <r>
      <rPr>
        <sz val="10"/>
        <rFont val="Arial"/>
        <family val="2"/>
        <charset val="161"/>
      </rPr>
      <t>3-Channel Music, Balcony or Terrace, Direct-dial phone, Hairdryer, Mini Bar</t>
    </r>
  </si>
  <si>
    <r>
      <t>Hotel Facilities:</t>
    </r>
    <r>
      <rPr>
        <sz val="10"/>
        <rFont val="Arial"/>
        <family val="2"/>
        <charset val="161"/>
      </rPr>
      <t xml:space="preserve"> Bar, Gardens, Safe Deposit Boxes, TV Room</t>
    </r>
    <r>
      <rPr>
        <i/>
        <sz val="10"/>
        <rFont val="Arial"/>
        <family val="2"/>
        <charset val="161"/>
      </rPr>
      <t xml:space="preserve">
Room Facilities: </t>
    </r>
    <r>
      <rPr>
        <sz val="10"/>
        <rFont val="Arial"/>
        <family val="2"/>
        <charset val="161"/>
      </rPr>
      <t>Air-condition, Direct-dial phone, Hairdryer, Music, Satellite Color TV</t>
    </r>
  </si>
  <si>
    <r>
      <t xml:space="preserve">Hotel Facilities: </t>
    </r>
    <r>
      <rPr>
        <sz val="10"/>
        <rFont val="Arial"/>
        <family val="2"/>
        <charset val="161"/>
      </rPr>
      <t>Bar, Pool Bar, Restaurant, Safe Deposit Boxes, Swimming Pool, Tennis Court, TV Room</t>
    </r>
    <r>
      <rPr>
        <i/>
        <sz val="10"/>
        <rFont val="Arial"/>
        <family val="2"/>
        <charset val="161"/>
      </rPr>
      <t xml:space="preserve">
Room Facilities:</t>
    </r>
    <r>
      <rPr>
        <sz val="10"/>
        <rFont val="Arial"/>
        <family val="2"/>
        <charset val="161"/>
      </rPr>
      <t xml:space="preserve"> Air-condition, Color TV, Hairdryer, Music, Telephone</t>
    </r>
  </si>
  <si>
    <r>
      <t xml:space="preserve">Hotel Facilities: </t>
    </r>
    <r>
      <rPr>
        <sz val="10"/>
        <rFont val="Arial"/>
        <family val="2"/>
        <charset val="161"/>
      </rPr>
      <t>Air-Condition in common areas, Bar, Pool Bar, Safe Deposit Boxes, Snack Bar, Swimming Pool, TV Room</t>
    </r>
    <r>
      <rPr>
        <i/>
        <sz val="10"/>
        <rFont val="Arial"/>
        <family val="2"/>
        <charset val="161"/>
      </rPr>
      <t xml:space="preserve">
Room Facilities: </t>
    </r>
    <r>
      <rPr>
        <sz val="10"/>
        <rFont val="Arial"/>
        <family val="2"/>
        <charset val="161"/>
      </rPr>
      <t>Air-condition, Satellite Color TV, Telephone</t>
    </r>
  </si>
  <si>
    <r>
      <t xml:space="preserve">Hotel Facilities: </t>
    </r>
    <r>
      <rPr>
        <sz val="10"/>
        <rFont val="Arial"/>
        <family val="2"/>
        <charset val="161"/>
      </rPr>
      <t>Bar, Pool Bar, Snack Bar, Swimming Pool, TV Room</t>
    </r>
    <r>
      <rPr>
        <i/>
        <sz val="10"/>
        <rFont val="Arial"/>
        <family val="2"/>
        <charset val="161"/>
      </rPr>
      <t xml:space="preserve">
Room Facilities: </t>
    </r>
    <r>
      <rPr>
        <sz val="10"/>
        <rFont val="Arial"/>
        <family val="2"/>
        <charset val="161"/>
      </rPr>
      <t>Air-condition, Telephone</t>
    </r>
  </si>
  <si>
    <r>
      <t>Hotel Facilities: Buffet breakfast, Bar-Café, Swimming pool, Tennis, 24h Reception, Sauna, Satellite TV lounge, Free Wi-Fi Internet access, Room service, Safe boxes, Parking
Room Facilities:</t>
    </r>
    <r>
      <rPr>
        <sz val="10"/>
        <rFont val="Arial"/>
        <family val="2"/>
        <charset val="161"/>
      </rPr>
      <t xml:space="preserve"> A/C, Heating, Direct dial phone, Music outlet, Satellite TV, Fridge, Hairdryer, Balcony</t>
    </r>
  </si>
  <si>
    <r>
      <t>Hotel Facilities: Reception, Main bar, Swimming pool, Pool bar, Wi-Fi internet access
Room Facilities:</t>
    </r>
    <r>
      <rPr>
        <sz val="10"/>
        <rFont val="Arial"/>
        <family val="2"/>
        <charset val="161"/>
      </rPr>
      <t xml:space="preserve"> A/C, Bath or Shower, Hairdryer, Direct dial phone, TV, Mini bar, Balcony with view</t>
    </r>
  </si>
  <si>
    <r>
      <t>Hotel Facilities: Breakfast room, Main restaurant, Gym, Sauna, TV room, Mini market, Jewellery, Baby sitting, Swimming pool, Room service, Internet access, Table tennis, Laundry-Dry cleaning-Pressing services, Parking
Room Facilities:</t>
    </r>
    <r>
      <rPr>
        <sz val="10"/>
        <rFont val="Arial"/>
        <family val="2"/>
        <charset val="161"/>
      </rPr>
      <t xml:space="preserve"> A/C, Heating, Fridge, Mini bar, Safe, Satellite / Pay TV, Radio, Direct dial phone, Bath, Hairdryer</t>
    </r>
  </si>
  <si>
    <r>
      <t>Hotel Facilities: Central heating, Lounge bar, Pool bar, Restaurant, Beach bar, Cafeteria, Swimming pool, Sea sports, Animation program, Internet corner, Basket, Children's playground, Business corner, Parking
Room Facilities:</t>
    </r>
    <r>
      <rPr>
        <sz val="10"/>
        <rFont val="Arial"/>
        <family val="2"/>
        <charset val="161"/>
      </rPr>
      <t xml:space="preserve"> A/C, Wi-Fi Internet access, Direct dial phone, Mini bar, Fridge, Safe, Balcony with sea view</t>
    </r>
  </si>
  <si>
    <t>Galaxy</t>
  </si>
  <si>
    <t>67, Demokratias Avenue, Crete, Heraklion</t>
  </si>
  <si>
    <t>Marin Dream</t>
  </si>
  <si>
    <t>12, Doukos Bofor st., Crete, Heraklion</t>
  </si>
  <si>
    <t>44 Standard Room(s)</t>
  </si>
  <si>
    <t>London</t>
  </si>
  <si>
    <t>38 Posidonnos Avenue</t>
  </si>
  <si>
    <t>01/01-28/02</t>
  </si>
  <si>
    <t>Best Western Museum</t>
  </si>
  <si>
    <t>3.5 km. from Kos Town, 100 m. from Psalidi Beach, 25 km. from the airport</t>
  </si>
  <si>
    <t xml:space="preserve">147 Rooms, 19 Suites  </t>
  </si>
  <si>
    <t>Standard G.V. Room</t>
  </si>
  <si>
    <t>Standard Sea View Room</t>
  </si>
  <si>
    <t>N/A</t>
  </si>
  <si>
    <t>Rooms 98</t>
  </si>
  <si>
    <t>8 km. from Skiathos Town, on Agia Paraskevi Beach</t>
  </si>
  <si>
    <t>Atrium</t>
  </si>
  <si>
    <t>Skiathos, Platanias</t>
  </si>
  <si>
    <t>9 km. from Skiathos Town, 100 m. from Platanias Beach</t>
  </si>
  <si>
    <t>Notes: Air-Condition is Available Only For The Period 1/7-31/8.</t>
  </si>
  <si>
    <t>25 km. from Heraklion Town, 2 km. from Hersonissos, on Anissaras Beach</t>
  </si>
  <si>
    <t>4 Private Pools with the Seafront &amp; VIP Bungalows.</t>
  </si>
  <si>
    <t>101 rooms are connected by a covered corridor to the SPA Center.</t>
  </si>
  <si>
    <t>Studio</t>
  </si>
  <si>
    <t>Apartment</t>
  </si>
  <si>
    <t>Mykonos, Tagoo</t>
  </si>
  <si>
    <t>Kivotos Club</t>
  </si>
  <si>
    <t>Rooms 39</t>
  </si>
  <si>
    <t>Rooms 100</t>
  </si>
  <si>
    <t>All rooms with telephone line-fax-internet connection with e-mail.</t>
  </si>
  <si>
    <t>Notes: Executive Suite Consists of 2 Bedrooms, 2 Bathrooms and 1 Living Room.</t>
  </si>
  <si>
    <t>186 Standard Rooms, 2 Suites, 5 Junior Suites</t>
  </si>
  <si>
    <t>Hotel Facilities: Aphrodite ( International cuisine ), Polynisian restaurant, Sushi Bar, Oyster Bar, Jetty bar, Italian restaurant, Ouzerri, La Piscine, ( Snack/Pool bar ), Veranta lobby bar, Veghera Bar, Outdoor Swimming Pool, Water Sports, Scuba Diving Center, Tennis, Basket, Beach Volley, Mini Golf, Mini Soccer, Childrens' playng ground,Haiddressing. Conference &amp; Banqueting facilities for up to 2000 persons  
Room Facilities: Rooms/Bgls/Villas/Suites all with A/C, Satelite T/V, Video ( on call ), DVD player, t/v Internet access, Direct - dial phone, Voice mail, Mini bar, Safe,Hairdryer, Bathrobes</t>
  </si>
  <si>
    <t>90 Standard Rooms</t>
  </si>
  <si>
    <t>516 Standard Room(s)</t>
  </si>
  <si>
    <t>28, Ag. Konstantinou Str., Omonia</t>
  </si>
  <si>
    <t>56 Standard Rooms</t>
  </si>
  <si>
    <t>9, Chiou Str., Metaxourgio</t>
  </si>
  <si>
    <t>59 Standard Rooms</t>
  </si>
  <si>
    <t>61 Standard Rooms, 26 Executive Rooms, 16 Suites</t>
  </si>
  <si>
    <t>42 Standard Rooms</t>
  </si>
  <si>
    <t>Lassi</t>
  </si>
  <si>
    <t>226 Standard Rooms,1 Suite</t>
  </si>
  <si>
    <t>480 Standard Rooms, 93 Junior Suites, 64 Suites</t>
  </si>
  <si>
    <t>475 Standard Rooms</t>
  </si>
  <si>
    <t>Afytos Ouranoupolis, Chalkidiki</t>
  </si>
  <si>
    <t>24 Standard Rooms</t>
  </si>
  <si>
    <t>396 Standard Rooms</t>
  </si>
  <si>
    <t>150 m. from the Beach</t>
  </si>
  <si>
    <t>3 Apartments with Kitchenette.</t>
  </si>
  <si>
    <t>Suite</t>
  </si>
  <si>
    <t>Meal</t>
  </si>
  <si>
    <t>Amalia</t>
  </si>
  <si>
    <t xml:space="preserve"> Cat. 5*</t>
  </si>
  <si>
    <t xml:space="preserve"> Cat. 4*</t>
  </si>
  <si>
    <t>10, Amalias Avenue, Syntagma</t>
  </si>
  <si>
    <t>01/01-31/03</t>
  </si>
  <si>
    <t>01/04-30/06</t>
  </si>
  <si>
    <t>01/01-30/04</t>
  </si>
  <si>
    <t>72, Poseidonos Ave, P. Faliro</t>
  </si>
  <si>
    <t>Hersonissos Village</t>
  </si>
  <si>
    <t>Hotel Facilities: 
Room Facilities: Television, Safe, Hairdryer</t>
  </si>
  <si>
    <t>11, Litous Street.</t>
  </si>
  <si>
    <t>Superior Rooms 196 , Superior Bungalows 20 , Exec. Bngl Suites 20</t>
  </si>
  <si>
    <t>Rooms 100 , Bungalows 20 , Suites 10 , Bungalows Suites 32 , Island Villas 14</t>
  </si>
  <si>
    <t>Crete, Elounda beach</t>
  </si>
  <si>
    <t>Agla</t>
  </si>
  <si>
    <t>35, Apol. Amerikis Street, Rhodes, Rhodes Town</t>
  </si>
  <si>
    <t>Surrounded by olive groves.</t>
  </si>
  <si>
    <t>2 km. from Ios Town, 200 m. from Mylopotas Beach</t>
  </si>
  <si>
    <t>Cycladic Architecture, overlooking Mylopotas Beach.</t>
  </si>
  <si>
    <t>Bus Service (every 10 minutes) in front of the hotel.</t>
  </si>
  <si>
    <t>Far Out Village</t>
  </si>
  <si>
    <t>2 km. from Ios Town, on Mylopotas Beach</t>
  </si>
  <si>
    <t>Ios Palace</t>
  </si>
  <si>
    <t>Grande Bretagne</t>
  </si>
  <si>
    <t>Hilton</t>
  </si>
  <si>
    <t>46, Vass. Sophias Avenue, Ilissia</t>
  </si>
  <si>
    <t>on the way to Pyrgos, right on the Cliff with Volcano View, 2 km. from Fira Town.</t>
  </si>
  <si>
    <t>Katikies</t>
  </si>
  <si>
    <t>Naxos Holidays</t>
  </si>
  <si>
    <t>800 m. from Naxos Town, 400 m. from Agios Georgios Beach</t>
  </si>
  <si>
    <t>with Volcano View</t>
  </si>
  <si>
    <t>02/07-22/07</t>
  </si>
  <si>
    <t>23/07-19/08</t>
  </si>
  <si>
    <t>184 Standard Rooms</t>
  </si>
  <si>
    <t>40 Standard Rooms, 2 Suites</t>
  </si>
  <si>
    <t>23 Standard Rooms</t>
  </si>
  <si>
    <t>22 Standard Rooms, 2 Suites</t>
  </si>
  <si>
    <t>108 Standard Rooms, 4 Junior Suites, 2 Executive Suites, 1 Presidential Suite</t>
  </si>
  <si>
    <t>43 Andrea Miaouli, Hydra</t>
  </si>
  <si>
    <t>5 Standard Rooms, 16 Superior Rooms</t>
  </si>
  <si>
    <t>3 Standard Rooms, 3 Suites, 1 Family Room</t>
  </si>
  <si>
    <t>194 Standard Rooms</t>
  </si>
  <si>
    <t>2nd Km National Road Kalambaka - Ioannina, Kastraki</t>
  </si>
  <si>
    <t>60 Standard Rooms, 3 Suites</t>
  </si>
  <si>
    <t>173 Standard Rooms</t>
  </si>
  <si>
    <t>National Road Trikala - Ioannina, Kalambaka</t>
  </si>
  <si>
    <t>165 Standard Rooms</t>
  </si>
  <si>
    <t>50 Standard Rooms</t>
  </si>
  <si>
    <r>
      <t xml:space="preserve">Hotel Facilities: </t>
    </r>
    <r>
      <rPr>
        <sz val="10"/>
        <rFont val="Arial"/>
        <family val="2"/>
        <charset val="161"/>
      </rPr>
      <t>A/C throughout, Baby Sitting, Bar, Central Heating, Children’s Playground, Children’s Pool, Conference Hall, Electronic Games, Hairdresser,
Health Club, Mini Market, Restaurant, Room Service, Safe Deposit Boxes, Sauna, Shops, Snack Bar, Swimming Pool, TV Lounge</t>
    </r>
    <r>
      <rPr>
        <i/>
        <sz val="10"/>
        <rFont val="Arial"/>
        <family val="2"/>
        <charset val="161"/>
      </rPr>
      <t xml:space="preserve">
Room Facilities:</t>
    </r>
    <r>
      <rPr>
        <sz val="10"/>
        <rFont val="Arial"/>
        <family val="2"/>
        <charset val="161"/>
      </rPr>
      <t xml:space="preserve"> Balcony, Hairdryer, Heating, Mini Bar, Music, Satellite Color TV, Sound-proofing, Telephone</t>
    </r>
  </si>
  <si>
    <r>
      <t xml:space="preserve">Hotel Facilities: </t>
    </r>
    <r>
      <rPr>
        <sz val="10"/>
        <rFont val="Arial"/>
        <family val="2"/>
        <charset val="161"/>
      </rPr>
      <t>Air-Condition in common areas, Bar, Conference Hall, Pool Bar, Safe Deposit Boxes, Sauna, Snack Bar, Swimming Pool, Table Tennis, TV Room</t>
    </r>
    <r>
      <rPr>
        <i/>
        <sz val="10"/>
        <rFont val="Arial"/>
        <family val="2"/>
        <charset val="161"/>
      </rPr>
      <t xml:space="preserve">
Room Facilities: </t>
    </r>
    <r>
      <rPr>
        <sz val="10"/>
        <rFont val="Arial"/>
        <family val="2"/>
        <charset val="161"/>
      </rPr>
      <t>Air-condition, Hairdryer, Mini Bar, Music, Satellite Color TV, Telephone</t>
    </r>
  </si>
  <si>
    <r>
      <t xml:space="preserve">Hotel Facilities: </t>
    </r>
    <r>
      <rPr>
        <sz val="10"/>
        <rFont val="Arial"/>
        <family val="2"/>
        <charset val="161"/>
      </rPr>
      <t>A/C throughout, Central Heating, Children’s Playground, Craft Shops, Gift Shop, Greek Ouzeri, Greek Tavern, Hairdresser, Meeting Room,
Mini Club, Mini Market, Parking, Pool Bar, Restaurant, Snack Bar, Swimming Pool, Tennis Court, TV Lounge, Volley, Water Skiing</t>
    </r>
    <r>
      <rPr>
        <i/>
        <sz val="10"/>
        <rFont val="Arial"/>
        <family val="2"/>
        <charset val="161"/>
      </rPr>
      <t xml:space="preserve">
Room Facilities:</t>
    </r>
    <r>
      <rPr>
        <sz val="10"/>
        <rFont val="Arial"/>
        <family val="2"/>
        <charset val="161"/>
      </rPr>
      <t xml:space="preserve"> Air-condition, Hairdryer, Mini Fridge, Music, Satellite Color TV, Telephone</t>
    </r>
  </si>
  <si>
    <t>Town, Karfas, Kambos</t>
  </si>
  <si>
    <t>Vrontados, Megas Limnionas, Ag. Ermioni, Ag.Ioannis</t>
  </si>
  <si>
    <t>Mesta, Emborios</t>
  </si>
  <si>
    <t xml:space="preserve">Port or Airport </t>
  </si>
  <si>
    <t xml:space="preserve">Kanoni/Corfu Town or V.V. </t>
  </si>
  <si>
    <t xml:space="preserve">Alikes/Perama/Kontokali or V.V. </t>
  </si>
  <si>
    <t xml:space="preserve">Gouvia/Dassia/Komeno/Benitses or V.V. </t>
  </si>
  <si>
    <t xml:space="preserve">Paleokastritsa/Nissaki or V.V. </t>
  </si>
  <si>
    <t xml:space="preserve">Messongi/Moraitika/Ag. Ioannis/Ermones/Glyfada/Ag.Gordis or V.V. </t>
  </si>
  <si>
    <t xml:space="preserve">Argirades/Sidari/Roda/Acharavi/Kassiopi or V.V. </t>
  </si>
  <si>
    <t>Heraklion Port or Airport</t>
  </si>
  <si>
    <t>Heraklion Town</t>
  </si>
  <si>
    <t>Ammoudara/Kokkini Hani/Gouves</t>
  </si>
  <si>
    <t>Hersonissos/Analipsi/Aghia Pelagia</t>
  </si>
  <si>
    <t>Mallia/Stalis</t>
  </si>
  <si>
    <t>Sissi/Bali</t>
  </si>
  <si>
    <t>Aghios Nikolaos /Panormo</t>
  </si>
  <si>
    <t>Elounda/Kalo Chorio/Rethymno Town</t>
  </si>
  <si>
    <t xml:space="preserve">Ierapetra/Ag. Galini </t>
  </si>
  <si>
    <t>Georgioupolis/Makri Gialos/Istron</t>
  </si>
  <si>
    <t xml:space="preserve">Chania Town/Port </t>
  </si>
  <si>
    <t>Maleme/Kolymbari/Stavros</t>
  </si>
  <si>
    <t>Ag.Marina/Kalamaki/Platanias/Chania Airport</t>
  </si>
  <si>
    <t>Chania Port or Airport</t>
  </si>
  <si>
    <t xml:space="preserve">Chania Town/Stavros </t>
  </si>
  <si>
    <t>Ag.Marina/Platanias/Kalamaki/Kalyves/Stalos/Maleme</t>
  </si>
  <si>
    <t>Kolymbari/Georgioupolis</t>
  </si>
  <si>
    <t>Rethymnon</t>
  </si>
  <si>
    <t>Adelianos Kampos</t>
  </si>
  <si>
    <t xml:space="preserve">Heraklion Town </t>
  </si>
  <si>
    <t>Heraklion Airport</t>
  </si>
  <si>
    <t>Port</t>
  </si>
  <si>
    <t xml:space="preserve">Port area/Ios Town or V.V. </t>
  </si>
  <si>
    <t xml:space="preserve">Mylopotas or V.V. </t>
  </si>
  <si>
    <t xml:space="preserve">All destinations or V.V. </t>
  </si>
  <si>
    <t xml:space="preserve">All destinations except Kos Town or V.V. </t>
  </si>
  <si>
    <t xml:space="preserve">Kos Town or V.V. </t>
  </si>
  <si>
    <r>
      <rPr>
        <b/>
        <sz val="10"/>
        <rFont val="Arial"/>
        <family val="2"/>
        <charset val="161"/>
      </rPr>
      <t>NOTE:</t>
    </r>
    <r>
      <rPr>
        <sz val="10"/>
        <rFont val="Arial"/>
        <family val="2"/>
        <charset val="161"/>
      </rPr>
      <t xml:space="preserve"> All above rates are per PERSON per way</t>
    </r>
  </si>
  <si>
    <t>All destinations except Agrari/Kalafatis/Elia/Paradise/Super Paradise or V.V</t>
  </si>
  <si>
    <t>Agrari/Kalafatis/Elia/Paradise/Super Paradise V.V</t>
  </si>
  <si>
    <r>
      <rPr>
        <b/>
        <sz val="10"/>
        <rFont val="Arial"/>
        <family val="2"/>
        <charset val="161"/>
      </rPr>
      <t>NOTE:</t>
    </r>
    <r>
      <rPr>
        <sz val="10"/>
        <rFont val="Arial"/>
        <family val="2"/>
        <charset val="161"/>
      </rPr>
      <t xml:space="preserve"> All above rates are per PERSON per way.</t>
    </r>
  </si>
  <si>
    <t xml:space="preserve">Naxos Town/Aghios Georgios or V.V. </t>
  </si>
  <si>
    <t xml:space="preserve">Aghios Prokopios/Stelida/Aghia Anna or V.V. </t>
  </si>
  <si>
    <t xml:space="preserve">Mikri Vigla/Kastraki/Chateau Zevgoli or V.V. </t>
  </si>
  <si>
    <r>
      <rPr>
        <b/>
        <sz val="10"/>
        <rFont val="Arial"/>
        <family val="2"/>
        <charset val="161"/>
      </rPr>
      <t xml:space="preserve">NOTE: </t>
    </r>
    <r>
      <rPr>
        <sz val="10"/>
        <rFont val="Arial"/>
        <family val="2"/>
        <charset val="161"/>
      </rPr>
      <t>All above rates are per PERSON per way</t>
    </r>
  </si>
  <si>
    <t>Airport</t>
  </si>
  <si>
    <t xml:space="preserve">Parikia/Parasporos/Aliki/Pounta or V.V. </t>
  </si>
  <si>
    <t xml:space="preserve">Naoussa/Lefkes/Dryos/Pisso Livadi/Chrysi Akti/St. Maria/Logaras or V.V. </t>
  </si>
  <si>
    <t xml:space="preserve">Parikia or V.V. </t>
  </si>
  <si>
    <r>
      <t xml:space="preserve">Hotel Facilities: </t>
    </r>
    <r>
      <rPr>
        <sz val="10"/>
        <rFont val="Arial"/>
        <family val="2"/>
        <charset val="161"/>
      </rPr>
      <t>Laundry Service, Pool Bar, Safe Deposit Boxes, Snack Bar, Swimming Pool</t>
    </r>
    <r>
      <rPr>
        <i/>
        <sz val="10"/>
        <rFont val="Arial"/>
        <family val="2"/>
        <charset val="161"/>
      </rPr>
      <t xml:space="preserve">
Room Facilities: </t>
    </r>
    <r>
      <rPr>
        <sz val="10"/>
        <rFont val="Arial"/>
        <family val="2"/>
        <charset val="161"/>
      </rPr>
      <t>Air-condition, Direct-dial phone, Hairdryer, Kitchenette, Mini Fridge, Music, Telephone, Terrace</t>
    </r>
  </si>
  <si>
    <t>Bus station in front of the hotel. Busses every 30 minutes.</t>
  </si>
  <si>
    <t>Rhodes, Lindos</t>
  </si>
  <si>
    <t>Lindos Mare</t>
  </si>
  <si>
    <t>Rooms 164</t>
  </si>
  <si>
    <t>Rooms 301</t>
  </si>
  <si>
    <t>Rooms 197</t>
  </si>
  <si>
    <t>Rooms 216</t>
  </si>
  <si>
    <t>Rooms 110 , Junior Suites 40</t>
  </si>
  <si>
    <t>Rooms 144 , Junior Suites 10</t>
  </si>
  <si>
    <t>Plaza Best Western</t>
  </si>
  <si>
    <t>7, Ierou Lochou, Rhodes, Rhodes Town</t>
  </si>
  <si>
    <t>300 m. from Eli Beach</t>
  </si>
  <si>
    <t>Meteora</t>
  </si>
  <si>
    <t>Theopetra</t>
  </si>
  <si>
    <t xml:space="preserve">Naoussa/Lefkes/Parasporos/Pounta or V.V. </t>
  </si>
  <si>
    <t xml:space="preserve">Dryos/Pisso Livadi/Chryssi Akti/St. Maria/Logaras or V.V. </t>
  </si>
  <si>
    <t xml:space="preserve">Aliki/Airport or V.V. </t>
  </si>
  <si>
    <t xml:space="preserve">Port  </t>
  </si>
  <si>
    <t xml:space="preserve">Skala or V.V. </t>
  </si>
  <si>
    <t>Grikos/Kampos or V.V.</t>
  </si>
  <si>
    <t>Rates</t>
  </si>
  <si>
    <t xml:space="preserve">Rhodes Town/Ixia/Ialyssos or V.V. </t>
  </si>
  <si>
    <t>Kallithea/Faliraki/Koskinou/Reni or V.V.</t>
  </si>
  <si>
    <t xml:space="preserve">Kolymbia/Archangelos/Afandou or V.V. </t>
  </si>
  <si>
    <t xml:space="preserve">Lindos/Pefkos/Lardos/Kiotari or V.V. </t>
  </si>
  <si>
    <t>Pythagorion/Potokaki/Puntes or V.V.</t>
  </si>
  <si>
    <t>Samos Town/Posidonio/Kerveli/Psili Ammos/Kokkari/Ag. Konstantinos or V.V.</t>
  </si>
  <si>
    <t>Karlovassi/Kampos Marathokampos/Balos/Limnionas or V.V.</t>
  </si>
  <si>
    <t xml:space="preserve">Samos Port </t>
  </si>
  <si>
    <t>Samos Town/Kalami or V.V.</t>
  </si>
  <si>
    <t>Pythagorion/Kokkari/Karlovassi/Puntes/Psili Ammos/Kerveli/Possidonio or V.V.</t>
  </si>
  <si>
    <t>Limnionas/Kampos Marathokampos or V.V.</t>
  </si>
  <si>
    <t xml:space="preserve">Pythagorion Port </t>
  </si>
  <si>
    <t xml:space="preserve">Pythagorion or V.V. </t>
  </si>
  <si>
    <t xml:space="preserve">Kokkari or V.V. </t>
  </si>
  <si>
    <t xml:space="preserve">Karlovassi Port </t>
  </si>
  <si>
    <t xml:space="preserve">Karlovassi or V.V. </t>
  </si>
  <si>
    <t xml:space="preserve">Kampos Marathokampos/Balos or V.V. </t>
  </si>
  <si>
    <t>Port  or Airport</t>
  </si>
  <si>
    <t>All destinations except Oia/Perissa/Vlychada/Perivolos V.V.</t>
  </si>
  <si>
    <t>Oia or V.V</t>
  </si>
  <si>
    <t>Perisa/Vlychada/Perivolos or V.V</t>
  </si>
  <si>
    <t xml:space="preserve">All destinations except Aghia Paraskevi/Koukounaries or V.V. </t>
  </si>
  <si>
    <t xml:space="preserve">Aghia Paraskevi/Koukounaries or V.V. </t>
  </si>
  <si>
    <t xml:space="preserve">Skopelos Town or V.V. </t>
  </si>
  <si>
    <t xml:space="preserve">Stafylos or V.V. </t>
  </si>
  <si>
    <t>Panormos or V.V.</t>
  </si>
  <si>
    <t xml:space="preserve">Thessaloniki or V.V. </t>
  </si>
  <si>
    <t xml:space="preserve">Laganas/Kalamaki/Argassi/Zante Town/Tsivili or V.V. </t>
  </si>
  <si>
    <t>Vassilikos/Alykes/Alykanas/Keri/Lithakia/Kipseli/Tsamis/Porto Koukla or V.V.</t>
  </si>
  <si>
    <t xml:space="preserve">Skinari Port/Volimes or V.V. </t>
  </si>
  <si>
    <t>NOTE: All above rates are per PERSON per way</t>
  </si>
  <si>
    <t xml:space="preserve">Hotel facilities: Outdoor infinity-edge pool, Pool Bar, Gourmet Restaurant Wine Cave
Room facilities: A/C, Satellite TV, Safe, Direct dial phone, Mini bar, Hairdryer
</t>
  </si>
  <si>
    <t>74 Standard Rooms</t>
  </si>
  <si>
    <t>65 Standard Rooms</t>
  </si>
  <si>
    <t>14Km from Skiathos</t>
  </si>
  <si>
    <t>Megali  Ammos</t>
  </si>
  <si>
    <t>20 Standard Rooms</t>
  </si>
  <si>
    <t>7 Standard Rooms</t>
  </si>
  <si>
    <t>241 Standard Rooms, 29 Suites, 7 De Lux Villas, 5 Executive Villas, 5 Superior Villas, 2 Presidential Villas</t>
  </si>
  <si>
    <t>405 Standard Rooms</t>
  </si>
  <si>
    <t>211 Standard Rooms, 69 Grand Suites &amp; Maisonettes</t>
  </si>
  <si>
    <t>Ixia Beach</t>
  </si>
  <si>
    <t>333 Standard Rooms, 33 Junior Suites, 7 1Bedroom Suites</t>
  </si>
  <si>
    <t>Haritou Square, Rhodes, Rhodes Town</t>
  </si>
  <si>
    <t>95 Standard Rooms</t>
  </si>
  <si>
    <t>145 Standard Rooms, 136 Family Rooms with Kitchenettes</t>
  </si>
  <si>
    <t>124 Standard Rooms</t>
  </si>
  <si>
    <t>Oia</t>
  </si>
  <si>
    <t>19 Suites</t>
  </si>
  <si>
    <t>6 Standard Rooms, 1 Master Suite, 3 Maisonettes</t>
  </si>
  <si>
    <t>18 Suites</t>
  </si>
  <si>
    <t xml:space="preserve">Santorini, Perivolas </t>
  </si>
  <si>
    <t>71 Standard Rooms, 14 Suites &amp; Maisonettes</t>
  </si>
  <si>
    <t>Imerovigli</t>
  </si>
  <si>
    <t>22 Apts</t>
  </si>
  <si>
    <t>57 Standard Rooms, 10 Studios, 28 Junior Suites</t>
  </si>
  <si>
    <t>23 Studios &amp; Suites</t>
  </si>
  <si>
    <t>6 Studios, 9 Apts</t>
  </si>
  <si>
    <t>18 Standard Rooms, 18 Suites</t>
  </si>
  <si>
    <t>GENERAL INFORMATIONS &amp; CONDITIONS</t>
  </si>
  <si>
    <t>BANK DETAILS</t>
  </si>
  <si>
    <t>Kontokali Bay</t>
  </si>
  <si>
    <t>Corfu, Kontokali</t>
  </si>
  <si>
    <t>Best Western Pythagorion</t>
  </si>
  <si>
    <t>16, Bouboulinas Street, Moussio</t>
  </si>
  <si>
    <t>01/05-31/07</t>
  </si>
  <si>
    <t>Rooms 369</t>
  </si>
  <si>
    <t>Rooms 75</t>
  </si>
  <si>
    <t xml:space="preserve">Hotel facilities: Cave dinner restaurant, pool lounge and cocktail bar, out door swimming pool, indoor heated plunge pool, indoor Jacuzzi and steam room, Spa treatment.
Room facilities: air condition, satellite TV, direct dial phone, safety deposit box, mini bar, hair dryer, luxurious bath amenities
</t>
  </si>
  <si>
    <t>Notes: Children Under 14 Years Old Are NOT Accepted.</t>
  </si>
  <si>
    <t>16/06-15/09</t>
  </si>
  <si>
    <t>Nomikos Villas</t>
  </si>
  <si>
    <t>Firostefani</t>
  </si>
  <si>
    <t xml:space="preserve">Triple </t>
  </si>
  <si>
    <t>Hersonissos Maris</t>
  </si>
  <si>
    <t>16/07-15/09</t>
  </si>
  <si>
    <t xml:space="preserve"> Cat. 3* </t>
  </si>
  <si>
    <t xml:space="preserve">Cat. 3* </t>
  </si>
  <si>
    <t xml:space="preserve">Cat. 4* </t>
  </si>
  <si>
    <t xml:space="preserve">Cat. 5* </t>
  </si>
  <si>
    <t>Restored Traditional Houses.</t>
  </si>
  <si>
    <r>
      <t>Hotel Facilities: 2</t>
    </r>
    <r>
      <rPr>
        <sz val="10"/>
        <rFont val="Arial"/>
        <family val="2"/>
        <charset val="161"/>
      </rPr>
      <t xml:space="preserve"> Restaurants, A/C throughout, Bar, Basketball Court, Business Centre, Children’s Playground, Convention Facilities, Indoor Swimming Pool,Jacuzzi, Lounge, Outdoor Swimming Pool, Pool Snack Bar, Room Service, Tennis, Valet, Water Sports</t>
    </r>
    <r>
      <rPr>
        <i/>
        <sz val="10"/>
        <rFont val="Arial"/>
        <family val="2"/>
        <charset val="161"/>
      </rPr>
      <t xml:space="preserve">
Room Facilities: </t>
    </r>
    <r>
      <rPr>
        <sz val="10"/>
        <rFont val="Arial"/>
        <family val="2"/>
        <charset val="161"/>
      </rPr>
      <t>Balcony with View, Direct-dial phone, Hairdryer, In-house Movies, ISDN Lines, Mini Bar, Port data, Radio, Safe Box, TV, Voice Mail</t>
    </r>
  </si>
  <si>
    <r>
      <t>Hotel Facilities: 2</t>
    </r>
    <r>
      <rPr>
        <sz val="10"/>
        <rFont val="Arial"/>
        <family val="2"/>
        <charset val="161"/>
      </rPr>
      <t xml:space="preserve"> Bars, 2 Restaurants, A/C throughout, Business Centre, Coffee Shop, Conference Facilities, Indoor Swimming Pool, Laundry &amp; Valet service, Outdoor Swimming Pool, Room Service</t>
    </r>
    <r>
      <rPr>
        <i/>
        <sz val="10"/>
        <rFont val="Arial"/>
        <family val="2"/>
        <charset val="161"/>
      </rPr>
      <t xml:space="preserve">
Room Facilities: </t>
    </r>
    <r>
      <rPr>
        <sz val="10"/>
        <rFont val="Arial"/>
        <family val="2"/>
        <charset val="161"/>
      </rPr>
      <t>Direct-dial phone, ISDN Lines, Mini Bar, Safe Box, Satellite &amp; Cable TV, Voice Mail</t>
    </r>
  </si>
  <si>
    <r>
      <t xml:space="preserve">Hotel Facilities: </t>
    </r>
    <r>
      <rPr>
        <sz val="10"/>
        <rFont val="Arial"/>
        <family val="2"/>
        <charset val="161"/>
      </rPr>
      <t>Air-Condition, Bar, Central Heating, Restaurant, Swimming Pool</t>
    </r>
    <r>
      <rPr>
        <i/>
        <sz val="10"/>
        <rFont val="Arial"/>
        <family val="2"/>
        <charset val="161"/>
      </rPr>
      <t xml:space="preserve">
Room Facilities: </t>
    </r>
    <r>
      <rPr>
        <sz val="10"/>
        <rFont val="Arial"/>
        <family val="2"/>
        <charset val="161"/>
      </rPr>
      <t>3-Channel Music, Direct-dial phone, Hairdryer, Mini Bar, TV</t>
    </r>
  </si>
  <si>
    <r>
      <t xml:space="preserve">Hotel Facilities: </t>
    </r>
    <r>
      <rPr>
        <sz val="10"/>
        <rFont val="Arial"/>
        <family val="2"/>
        <charset val="161"/>
      </rPr>
      <t>A/C throughout, 2 Bar, 4 Restaurant, Outdoor Swimming Pool, Business Center, Laundry/Valet services, Health club, Shops, Bank/ATM</t>
    </r>
    <r>
      <rPr>
        <i/>
        <sz val="10"/>
        <rFont val="Arial"/>
        <family val="2"/>
        <charset val="161"/>
      </rPr>
      <t xml:space="preserve">
Room Facilities: Airconditioning, Satelline TV </t>
    </r>
  </si>
  <si>
    <r>
      <t xml:space="preserve">Hotel rates are strictly </t>
    </r>
    <r>
      <rPr>
        <b/>
        <i/>
        <sz val="9"/>
        <rFont val="Arial"/>
        <family val="2"/>
        <charset val="161"/>
      </rPr>
      <t>for Leisure Travellers</t>
    </r>
    <r>
      <rPr>
        <sz val="9"/>
        <rFont val="Arial"/>
        <family val="2"/>
        <charset val="161"/>
      </rPr>
      <t xml:space="preserve"> and are NOT valid for Groups &amp; Business Travellers.
</t>
    </r>
    <r>
      <rPr>
        <b/>
        <sz val="9"/>
        <rFont val="Arial"/>
        <family val="2"/>
        <charset val="161"/>
      </rPr>
      <t>Supplement</t>
    </r>
    <r>
      <rPr>
        <sz val="9"/>
        <rFont val="Arial"/>
        <family val="2"/>
        <charset val="161"/>
      </rPr>
      <t xml:space="preserve"> for higher rates will apply during events, exhibitions, holidays, congresses etc.
</t>
    </r>
    <r>
      <rPr>
        <b/>
        <sz val="9"/>
        <rFont val="Arial"/>
        <family val="2"/>
        <charset val="161"/>
      </rPr>
      <t>Supplement</t>
    </r>
    <r>
      <rPr>
        <sz val="9"/>
        <rFont val="Arial"/>
        <family val="2"/>
        <charset val="161"/>
      </rPr>
      <t xml:space="preserve"> of higher rates will apply for certain Nationalities etc.</t>
    </r>
  </si>
  <si>
    <t>YOUR REMITTANCE SHOULD BE FREE OF ANY/ALL</t>
  </si>
  <si>
    <t>BANKS' CHARGES AND FEES TO US.</t>
  </si>
  <si>
    <t>An administration fee of EURO 50 per person applies on all cancellations. Any cancellation and/or change within 60 days prior departure is subject to the following cancellation fee per person:
Cancellations received 60-45 days prior departure: EURO: 200
Cancellations received 45-20 days prior departure: 30% of total paid
Cancellations received 21-15 days prior departure: 50% of total paid
Cancellations received 14-8 days prior departure: 75% of total paid
Cancellations received 7 days or less prior departure: up to 100% of total paid
No valid for net rates given on groups, reduced special promotion packages etc which are subject to cancellations as per each case and according to special conditions might be 100% non refundable upon confirmation of booking.        
Should you run into a problem during your holiday, please inform our agent or us immediately, who will try to resolve the problem on the spot, since it is difficult to take effective action after your return. Any claims must be received prior the termination of the tour. No refund or adjustment will be made for any portion of the tour or services not used after the return to country of origin.</t>
  </si>
  <si>
    <t>A/C On Request at EURO 5.- Per Room Per Day.</t>
  </si>
  <si>
    <t>Notes: Air-Condition On Request at EURO 8.- Per Room Per Day.</t>
  </si>
  <si>
    <t>A/C On Request at EURO 8.- Per Room Per Day.</t>
  </si>
  <si>
    <t>Notes: Air Condition On Request at EURO 5.- Per Room Per Day.</t>
  </si>
  <si>
    <t>Notes: Air Condition Supplement of EURO 7.00.- Per Room Per Day.</t>
  </si>
  <si>
    <t>Notes: Air-Condition On Request at EURO 5.00.- Per Room Per Day.</t>
  </si>
  <si>
    <t>All  rates are in EURO per Taxi unless otherwise stated.
From 10 p.m. (22:00) to 7 a.m.(07:00) supplement 50% will apply.</t>
  </si>
  <si>
    <r>
      <t xml:space="preserve">Hotel Facilities: Main Restaurant, Gourmet Restaurant, Main Bar, Pool bar, Swimming pool, water sports, 24h </t>
    </r>
    <r>
      <rPr>
        <sz val="10"/>
        <rFont val="Arial"/>
        <family val="2"/>
        <charset val="161"/>
      </rPr>
      <t>Room Service, Business center</t>
    </r>
    <r>
      <rPr>
        <i/>
        <sz val="10"/>
        <rFont val="Arial"/>
        <family val="2"/>
        <charset val="161"/>
      </rPr>
      <t xml:space="preserve">
Room Facilities: A/C,  </t>
    </r>
    <r>
      <rPr>
        <sz val="10"/>
        <rFont val="Arial"/>
        <family val="2"/>
        <charset val="161"/>
      </rPr>
      <t>Direct-dial phone, Mini Bar, Satellite TV, Internet access</t>
    </r>
  </si>
  <si>
    <r>
      <t>Hotel Facilities: Lounge TV, Bar, Swimming pool, Pool bar, Children's playground, Parking
Room Facilities:</t>
    </r>
    <r>
      <rPr>
        <sz val="10"/>
        <rFont val="Arial"/>
        <family val="2"/>
        <charset val="161"/>
      </rPr>
      <t xml:space="preserve"> Shower, Telephone, Music, A/C, Fridge, Balcony</t>
    </r>
  </si>
  <si>
    <r>
      <t xml:space="preserve">Hotel Facilities: </t>
    </r>
    <r>
      <rPr>
        <sz val="10"/>
        <rFont val="Arial"/>
        <family val="2"/>
        <charset val="161"/>
      </rPr>
      <t>Bar, Children’s Pool, Conference Hall, Health Club, Parking, Pool Bar, Restaurant, Safe Deposit Boxes, Sauna, Sea Sports, Shops, Snack
Bar, Swimming Pool, Table Tennis, Tavern, TV Room</t>
    </r>
    <r>
      <rPr>
        <i/>
        <sz val="10"/>
        <rFont val="Arial"/>
        <family val="2"/>
        <charset val="161"/>
      </rPr>
      <t xml:space="preserve">
Room Facilities: </t>
    </r>
    <r>
      <rPr>
        <sz val="10"/>
        <rFont val="Arial"/>
        <family val="2"/>
        <charset val="161"/>
      </rPr>
      <t>Hairdryer, Mini Bar, Music, Telephone</t>
    </r>
  </si>
  <si>
    <r>
      <t>Hotel Facilities: Restaurant a la carte, Dinner buffet, Buffet breakfast, Snack bar, Pool bar, Internet access, 24h Reception, Sauna, Massage, Beauty salon, Swimming pool, Children's pool &amp; playroom, Fitness room, Car &amp; motorbike hire, Parking
Room Facilities:</t>
    </r>
    <r>
      <rPr>
        <sz val="10"/>
        <rFont val="Arial"/>
        <family val="2"/>
        <charset val="161"/>
      </rPr>
      <t xml:space="preserve"> Direct dial phone, Bath/Shower, Hairdryer, TV, Fridge, Kitchenette, Safe, Wake up call service, Veranda or patio with sea view</t>
    </r>
  </si>
  <si>
    <r>
      <t>Hotel Facilities: Bar – Restaurant, Breakfast hall, Room Service, Free Wireless internet access, Baby sitting service after arrangement, Tennis court 
Room Facilities:</t>
    </r>
    <r>
      <rPr>
        <sz val="10"/>
        <rFont val="Arial"/>
        <family val="2"/>
        <charset val="161"/>
      </rPr>
      <t xml:space="preserve"> Fully equipped kitchen, Bathroom, Hair dryer, Telephone, Satellite TV, Free Wireless Internet, Safe, Air conditioning, Heating</t>
    </r>
  </si>
  <si>
    <r>
      <t>Hotel Facilities: Wi-Fi Internet access, Buffet breakfast, Safe, Lounge with Satellite TV, Swimming Pool, Pool bar, Restaurant, Room service, Parking 
Room Facilities: A/C, Direct dial phone, Mini bar, Fridge, Music, Satellite TV, Internet access, Bath, Wake up call service, Balcony or Veranda</t>
    </r>
    <r>
      <rPr>
        <sz val="10"/>
        <rFont val="Arial"/>
        <family val="2"/>
        <charset val="161"/>
      </rPr>
      <t xml:space="preserve"> </t>
    </r>
  </si>
  <si>
    <r>
      <t>Hotel Facilities: Restaurant, Buffet breakfast, Snack bar, Pool bar, 24h Reception, Swimming pool, Room service, Lounge, Car &amp; motorbike hire, Safe at the reception, Laundry service
Room Facilities:</t>
    </r>
    <r>
      <rPr>
        <sz val="10"/>
        <rFont val="Arial"/>
        <family val="2"/>
        <charset val="161"/>
      </rPr>
      <t xml:space="preserve"> Bath/Shower, Hairdryer, TV, Fridge, Kitchenette at apts, Balcony-Veranda or Patio</t>
    </r>
  </si>
  <si>
    <t xml:space="preserve">  ARACHOVA ……….…………………………….. </t>
  </si>
  <si>
    <t xml:space="preserve">  AEGINA ………….……………………………….. </t>
  </si>
  <si>
    <t xml:space="preserve">  CEPHALONIA ……….……………………………</t>
  </si>
  <si>
    <t xml:space="preserve">  CHALKIDIKI  ..……….……………………………</t>
  </si>
  <si>
    <t xml:space="preserve">  DELPHI ...…………………………………………</t>
  </si>
  <si>
    <r>
      <t xml:space="preserve">Hotel Facilities: </t>
    </r>
    <r>
      <rPr>
        <sz val="10"/>
        <rFont val="Arial"/>
        <family val="2"/>
        <charset val="161"/>
      </rPr>
      <t>A/C throughout, Bar, Restaurant, Room Service</t>
    </r>
    <r>
      <rPr>
        <i/>
        <sz val="10"/>
        <rFont val="Arial"/>
        <family val="2"/>
        <charset val="161"/>
      </rPr>
      <t xml:space="preserve">
Room Facilities:</t>
    </r>
    <r>
      <rPr>
        <sz val="10"/>
        <rFont val="Arial"/>
        <family val="2"/>
        <charset val="161"/>
      </rPr>
      <t xml:space="preserve"> Direct-dial phone, Hairdryer, Magnifying Mirror, Music, Satellite TV</t>
    </r>
  </si>
  <si>
    <r>
      <t xml:space="preserve">Hotel Facilities: </t>
    </r>
    <r>
      <rPr>
        <sz val="10"/>
        <rFont val="Arial"/>
        <family val="2"/>
        <charset val="161"/>
      </rPr>
      <t xml:space="preserve">A/C throughout, Bar, Lobby lounge bar, Restaurant, Internet corner, Wi-Fi Internet access, Baby sitting, Car rental, Laundry &amp; Dry cleaning service, Room Service, Exchange, Excursion-city tours. Connecting &amp; non-smoking room available, Meeting &amp; Banquet facilities up to 450 persons, Secretarial service. Parking (nearby) </t>
    </r>
    <r>
      <rPr>
        <i/>
        <sz val="10"/>
        <rFont val="Arial"/>
        <family val="2"/>
        <charset val="161"/>
      </rPr>
      <t xml:space="preserve">
Room Facilities:</t>
    </r>
    <r>
      <rPr>
        <sz val="10"/>
        <rFont val="Arial"/>
        <family val="2"/>
        <charset val="161"/>
      </rPr>
      <t xml:space="preserve"> Direct-dial phone, Pay TV, Mini Bar, High speed internet access, Marble bath, Bathrobes, Hairdryer, Satellite TV</t>
    </r>
  </si>
  <si>
    <r>
      <t xml:space="preserve">Hotel Facilities: </t>
    </r>
    <r>
      <rPr>
        <sz val="10"/>
        <rFont val="Arial"/>
        <family val="2"/>
        <charset val="161"/>
      </rPr>
      <t>Fax facilities, Laundry Service, Roof Garden Restaurant, Safe Deposit Boxes, Twice daily Maid service</t>
    </r>
    <r>
      <rPr>
        <i/>
        <sz val="10"/>
        <rFont val="Arial"/>
        <family val="2"/>
        <charset val="161"/>
      </rPr>
      <t xml:space="preserve">
Room Facilities: </t>
    </r>
    <r>
      <rPr>
        <sz val="10"/>
        <rFont val="Arial"/>
        <family val="2"/>
        <charset val="161"/>
      </rPr>
      <t>Air-condition, Direct-dial phone, TV</t>
    </r>
  </si>
  <si>
    <r>
      <t xml:space="preserve">Hotel Facilities: </t>
    </r>
    <r>
      <rPr>
        <sz val="10"/>
        <rFont val="Arial"/>
        <family val="2"/>
        <charset val="161"/>
      </rPr>
      <t>Restaurant, Roof Garden bar-restaurant overlooking Acropolis, Coctail bar, Laundry Service, Fitness club, Sauna, 24h Room Services</t>
    </r>
    <r>
      <rPr>
        <i/>
        <sz val="10"/>
        <rFont val="Arial"/>
        <family val="2"/>
        <charset val="161"/>
      </rPr>
      <t xml:space="preserve">
Room Facilities:Sound proof with ai</t>
    </r>
    <r>
      <rPr>
        <sz val="10"/>
        <rFont val="Arial"/>
        <family val="2"/>
        <charset val="161"/>
      </rPr>
      <t>rconditioning, Direct-dial phone, Mini Bar, Satellite/pay TV, Internet access, safe, Stereo music.</t>
    </r>
  </si>
  <si>
    <t>45 km. from Rhodes Town, 30 m. from Vlyha Beach</t>
  </si>
  <si>
    <t>Mediterranean</t>
  </si>
  <si>
    <t>35, Kos Street, Rhodes, Rhodes Town</t>
  </si>
  <si>
    <t>700 m. from the port, 50 m. from the Beach, 14 km. from the airport</t>
  </si>
  <si>
    <t>Aldemar Knossos Royal Village</t>
  </si>
  <si>
    <t>Crete, Hersonissos</t>
  </si>
  <si>
    <t>Rooms 40</t>
  </si>
  <si>
    <t>Rooms 42</t>
  </si>
  <si>
    <t>Rooms 26 , Suites 3</t>
  </si>
  <si>
    <t>Astir Palace - The Westin Athens</t>
  </si>
  <si>
    <t>Divani Caravel</t>
  </si>
  <si>
    <t>2, Vass. Alexandrou Ave., Athens</t>
  </si>
  <si>
    <t>423 Standard Room(s), 2 Presidential Suite(s), 46 Suite(s)</t>
  </si>
  <si>
    <t>11/07-31/07</t>
  </si>
  <si>
    <t>20/09-30/09</t>
  </si>
  <si>
    <t>12/07-29/08</t>
  </si>
  <si>
    <t>Rooms 31</t>
  </si>
  <si>
    <t>Rooms 155</t>
  </si>
  <si>
    <t>Rooms 27</t>
  </si>
  <si>
    <t>Rooms 18</t>
  </si>
  <si>
    <t>Rooms 41</t>
  </si>
  <si>
    <t>Rooms 43</t>
  </si>
  <si>
    <t>Notes: Air-Condition Is Available Only For The Period 1/7-31/8</t>
  </si>
  <si>
    <t>Skiathos, Kanapitsa</t>
  </si>
  <si>
    <t>Santorini, Messaria</t>
  </si>
  <si>
    <t>Rooms 239</t>
  </si>
  <si>
    <t>12 km. from Corfu Town, 300 m. from Dassia Beach</t>
  </si>
  <si>
    <t xml:space="preserve">Cat. 4*     </t>
  </si>
  <si>
    <t>4, Rovertou Galli street , Athens</t>
  </si>
  <si>
    <t>90 Standard Room(s)</t>
  </si>
  <si>
    <t>5 minutes walking distance to Parthenon &amp; Plaka.</t>
  </si>
  <si>
    <t>Rhodes, Ixia</t>
  </si>
  <si>
    <t>Vienoula’s Garden</t>
  </si>
  <si>
    <t>Rooms 54 , Junior Suites 14 , Maisonettes 12</t>
  </si>
  <si>
    <t>Kamari Beach</t>
  </si>
  <si>
    <t>9 km. from Fira Town, 80 m. from Kamari Beach</t>
  </si>
  <si>
    <t>Fenix - Best Western</t>
  </si>
  <si>
    <t>1, Artemissiou street, Athens, Glyfada</t>
  </si>
  <si>
    <t>143 Standard Room(s)</t>
  </si>
  <si>
    <t>87 Standard Room(s)</t>
  </si>
  <si>
    <t>01/01-31/10</t>
  </si>
  <si>
    <t>29, Ifigenias &amp; Syngrou Str.</t>
  </si>
  <si>
    <t>Epirus Palace &amp; Congress Center</t>
  </si>
  <si>
    <t>SG</t>
  </si>
  <si>
    <t>DB</t>
  </si>
  <si>
    <t>TR</t>
  </si>
  <si>
    <r>
      <t>QD</t>
    </r>
    <r>
      <rPr>
        <sz val="10"/>
        <rFont val="Arial"/>
        <family val="2"/>
        <charset val="161"/>
      </rPr>
      <t xml:space="preserve"> </t>
    </r>
  </si>
  <si>
    <t>PR</t>
  </si>
  <si>
    <r>
      <t xml:space="preserve">ή </t>
    </r>
    <r>
      <rPr>
        <sz val="10"/>
        <rFont val="Arial"/>
        <family val="2"/>
        <charset val="161"/>
      </rPr>
      <t>Per Person</t>
    </r>
  </si>
  <si>
    <r>
      <t xml:space="preserve">ή </t>
    </r>
    <r>
      <rPr>
        <sz val="10"/>
        <rFont val="Arial"/>
        <family val="2"/>
        <charset val="161"/>
      </rPr>
      <t>Per Room</t>
    </r>
  </si>
  <si>
    <r>
      <t>ή</t>
    </r>
    <r>
      <rPr>
        <sz val="10"/>
        <rFont val="Arial"/>
        <family val="2"/>
        <charset val="161"/>
      </rPr>
      <t xml:space="preserve"> Single</t>
    </r>
  </si>
  <si>
    <r>
      <t>ή</t>
    </r>
    <r>
      <rPr>
        <sz val="10"/>
        <rFont val="Arial"/>
        <family val="2"/>
        <charset val="161"/>
      </rPr>
      <t xml:space="preserve"> Double</t>
    </r>
  </si>
  <si>
    <r>
      <t xml:space="preserve">ή </t>
    </r>
    <r>
      <rPr>
        <sz val="10"/>
        <rFont val="Arial"/>
        <family val="2"/>
        <charset val="161"/>
      </rPr>
      <t>Triple</t>
    </r>
  </si>
  <si>
    <r>
      <t>ή</t>
    </r>
    <r>
      <rPr>
        <sz val="10"/>
        <rFont val="Arial"/>
        <family val="2"/>
        <charset val="161"/>
      </rPr>
      <t xml:space="preserve"> Quadruple</t>
    </r>
  </si>
  <si>
    <r>
      <t xml:space="preserve">ή </t>
    </r>
    <r>
      <rPr>
        <sz val="10"/>
        <rFont val="Arial"/>
        <family val="2"/>
        <charset val="161"/>
      </rPr>
      <t>Studio or Suite for 1 Pax</t>
    </r>
  </si>
  <si>
    <r>
      <t>ή</t>
    </r>
    <r>
      <rPr>
        <sz val="10"/>
        <rFont val="Arial"/>
        <family val="2"/>
        <charset val="161"/>
      </rPr>
      <t xml:space="preserve"> Studio or Suite for 2 Pax</t>
    </r>
  </si>
  <si>
    <r>
      <t>ή</t>
    </r>
    <r>
      <rPr>
        <sz val="10"/>
        <rFont val="Arial"/>
        <family val="2"/>
        <charset val="161"/>
      </rPr>
      <t xml:space="preserve"> Studio or Suite for 3 Pax</t>
    </r>
  </si>
  <si>
    <r>
      <t>ή</t>
    </r>
    <r>
      <rPr>
        <sz val="10"/>
        <rFont val="Arial"/>
        <family val="2"/>
        <charset val="161"/>
      </rPr>
      <t xml:space="preserve"> Studio or Suite for 4 Pax</t>
    </r>
  </si>
  <si>
    <r>
      <t>ή</t>
    </r>
    <r>
      <rPr>
        <sz val="10"/>
        <rFont val="Arial"/>
        <family val="2"/>
        <charset val="161"/>
      </rPr>
      <t xml:space="preserve"> Studio or Suite for 5 Pax</t>
    </r>
  </si>
  <si>
    <t>A2</t>
  </si>
  <si>
    <r>
      <t>A3</t>
    </r>
    <r>
      <rPr>
        <sz val="10"/>
        <rFont val="Arial"/>
        <family val="2"/>
        <charset val="161"/>
      </rPr>
      <t xml:space="preserve"> </t>
    </r>
  </si>
  <si>
    <t>A4</t>
  </si>
  <si>
    <t>Naxos Resort</t>
  </si>
  <si>
    <r>
      <t xml:space="preserve">Hotel Facilities: </t>
    </r>
    <r>
      <rPr>
        <sz val="10"/>
        <rFont val="Arial"/>
        <family val="2"/>
        <charset val="161"/>
      </rPr>
      <t>A/C throughout, Beauty Salon, Central Heating, Conference Rooms, Fitness Club, Garden Swimming pool, Grill room with bar, Hairdresser, Laundry &amp; Dry Cleaning service, Main Bar, Parking, Pool Bar, Restaurant, Room Service, Sauna, Shopping Arcade</t>
    </r>
    <r>
      <rPr>
        <i/>
        <sz val="10"/>
        <rFont val="Arial"/>
        <family val="2"/>
        <charset val="161"/>
      </rPr>
      <t xml:space="preserve">
Room Facilities: </t>
    </r>
    <r>
      <rPr>
        <sz val="10"/>
        <rFont val="Arial"/>
        <family val="2"/>
        <charset val="161"/>
      </rPr>
      <t>Direct-dial phone, Mini Bar, Satellite TV, Sound-proofing</t>
    </r>
  </si>
  <si>
    <r>
      <t>Hotel Facilities:</t>
    </r>
    <r>
      <rPr>
        <sz val="10"/>
        <rFont val="Arial"/>
        <family val="2"/>
        <charset val="161"/>
      </rPr>
      <t xml:space="preserve"> A/C throughout, Bank, Boutique, Business Facilities, Cocktail Bar, Conference Facilities, Gift Shop, Internet, Restaurant &amp; Garden, Restaurant with Acropolis view, Roof-top Swimming Pool</t>
    </r>
    <r>
      <rPr>
        <i/>
        <sz val="10"/>
        <rFont val="Arial"/>
        <family val="2"/>
        <charset val="161"/>
      </rPr>
      <t xml:space="preserve">
Room Facilities: </t>
    </r>
    <r>
      <rPr>
        <sz val="10"/>
        <rFont val="Arial"/>
        <family val="2"/>
        <charset val="161"/>
      </rPr>
      <t>Direct-dial phone, In-house Movies, Satellite TV, Voice Mail</t>
    </r>
  </si>
  <si>
    <r>
      <t xml:space="preserve">Hotel Facilities: </t>
    </r>
    <r>
      <rPr>
        <sz val="10"/>
        <rFont val="Arial"/>
        <family val="2"/>
        <charset val="161"/>
      </rPr>
      <t>A/C throughout, Business Centre, Cafe, Internet, 3 Restaurant, Parking</t>
    </r>
    <r>
      <rPr>
        <i/>
        <sz val="10"/>
        <rFont val="Arial"/>
        <family val="2"/>
        <charset val="161"/>
      </rPr>
      <t xml:space="preserve">
Room Facilities:Data ports for e-mail PC &amp; Fax modem,</t>
    </r>
    <r>
      <rPr>
        <sz val="10"/>
        <rFont val="Arial"/>
        <family val="2"/>
        <charset val="161"/>
      </rPr>
      <t xml:space="preserve"> Direct-dial phone, Mini Bar, Pay TV, Radio, Safe Box, Satellite TV, Sound-proofing.</t>
    </r>
  </si>
  <si>
    <r>
      <t xml:space="preserve">Hotel Facilities: A/C, </t>
    </r>
    <r>
      <rPr>
        <sz val="10"/>
        <rFont val="Arial"/>
        <family val="2"/>
        <charset val="161"/>
      </rPr>
      <t>Bar, Restaurant, Room Service, Beach bar, Childrens playground, Parking</t>
    </r>
    <r>
      <rPr>
        <i/>
        <sz val="10"/>
        <rFont val="Arial"/>
        <family val="2"/>
        <charset val="161"/>
      </rPr>
      <t xml:space="preserve">
Room Facilities:</t>
    </r>
    <r>
      <rPr>
        <sz val="10"/>
        <rFont val="Arial"/>
        <family val="2"/>
        <charset val="161"/>
      </rPr>
      <t xml:space="preserve"> Direct-dial phone, Mini Bar, Satellite TV, Hairdryer</t>
    </r>
  </si>
  <si>
    <t>Oscar</t>
  </si>
  <si>
    <t>25, Filadelfias &amp; Samou Streets</t>
  </si>
  <si>
    <t>162 Standard Room(s), 2 Suite(s)</t>
  </si>
  <si>
    <t>170 Standard Room(s), 34 Suite(s)</t>
  </si>
  <si>
    <t>QB</t>
  </si>
  <si>
    <t>5 km. from RhodesTown, 200 m. from Ixia Beach</t>
  </si>
  <si>
    <t>10 km. from Rhodes Town, 50 m. from Ialyssos Beach</t>
  </si>
  <si>
    <t>Opposite Antiparos, 8 km. from Parikia Town, 4 km. from the airport</t>
  </si>
  <si>
    <t>Narges</t>
  </si>
  <si>
    <t>Paros, Alyki</t>
  </si>
  <si>
    <t>Studios 16 , Apartments 5 , Honeymoon Suite 1 , Trad Honeymoon Windmill 1</t>
  </si>
  <si>
    <t>Studios 11 , Apartments 15 , Honeymoon Suites 2</t>
  </si>
  <si>
    <t>300 m. from Agia Anna Beach</t>
  </si>
  <si>
    <t>Paros, Naoussa</t>
  </si>
  <si>
    <t>Studios 12</t>
  </si>
  <si>
    <t>Santorini, Kamari</t>
  </si>
  <si>
    <t>4 km. from Mykonos Town, 300 m. from Ornos Beach</t>
  </si>
  <si>
    <t>Myconos Grand Resort</t>
  </si>
  <si>
    <t>01/10-15/10</t>
  </si>
  <si>
    <t>10/09-30/09</t>
  </si>
  <si>
    <r>
      <t xml:space="preserve">Hotel Facilities: </t>
    </r>
    <r>
      <rPr>
        <sz val="10"/>
        <rFont val="Arial"/>
        <family val="2"/>
        <charset val="161"/>
      </rPr>
      <t xml:space="preserve">Bar, Airconditioned, Restaurant, Room Service, Central heating, Bussiness center, Free wireless internet access, Laundry &amp; Dry cleaning services, Parking </t>
    </r>
    <r>
      <rPr>
        <i/>
        <sz val="10"/>
        <rFont val="Arial"/>
        <family val="2"/>
        <charset val="161"/>
      </rPr>
      <t xml:space="preserve">
Room Facilities: </t>
    </r>
    <r>
      <rPr>
        <sz val="10"/>
        <rFont val="Arial"/>
        <family val="2"/>
        <charset val="161"/>
      </rPr>
      <t xml:space="preserve">Direct-dial phone, Satelline TV, Mini bar, Safe, Hairdryer </t>
    </r>
  </si>
  <si>
    <r>
      <t xml:space="preserve">Hotel Facilities: </t>
    </r>
    <r>
      <rPr>
        <sz val="10"/>
        <rFont val="Arial"/>
        <family val="2"/>
        <charset val="161"/>
      </rPr>
      <t>Air-Condition, Cafe, Conference Rooms, Parking, Piano bar with Acropolis view, Restaurant, Room Service</t>
    </r>
    <r>
      <rPr>
        <i/>
        <sz val="10"/>
        <rFont val="Arial"/>
        <family val="2"/>
        <charset val="161"/>
      </rPr>
      <t xml:space="preserve">
Room Facilities: </t>
    </r>
    <r>
      <rPr>
        <sz val="10"/>
        <rFont val="Arial"/>
        <family val="2"/>
        <charset val="161"/>
      </rPr>
      <t>Bathrooms with phone devices, Hairdryer, In-house Movies, Mini Bar, Safe Box, Satellite TV</t>
    </r>
  </si>
  <si>
    <r>
      <t xml:space="preserve">Hotel Facilities: </t>
    </r>
    <r>
      <rPr>
        <sz val="10"/>
        <rFont val="Arial"/>
        <family val="2"/>
        <charset val="161"/>
      </rPr>
      <t xml:space="preserve">Telephone services, 24 hours message center, 24 hours fax center, Currency services at the front desk, Foreign currency &amp; travellers cheque exchange on 24 hour basis, Laundry &amp; dry cleaning delivery from 8:00 am till 23:00 pm except weekends, Luggage storage, Medical attention, Baby sitting </t>
    </r>
    <r>
      <rPr>
        <i/>
        <sz val="10"/>
        <rFont val="Arial"/>
        <family val="2"/>
        <charset val="161"/>
      </rPr>
      <t xml:space="preserve">
Room Facilities: </t>
    </r>
    <r>
      <rPr>
        <sz val="10"/>
        <rFont val="Arial"/>
        <family val="2"/>
        <charset val="161"/>
      </rPr>
      <t>Fully air conditioned, Direct dial telephone, TV, Pay-TV system, Radio, Private bathrooms with hairdryers, Most rooms with refrigarators</t>
    </r>
  </si>
  <si>
    <r>
      <t>Hotel Facilities:</t>
    </r>
    <r>
      <rPr>
        <sz val="10"/>
        <rFont val="Arial"/>
        <family val="2"/>
        <charset val="161"/>
      </rPr>
      <t xml:space="preserve"> A/C throughout, Room Service</t>
    </r>
    <r>
      <rPr>
        <i/>
        <sz val="10"/>
        <rFont val="Arial"/>
        <family val="2"/>
        <charset val="161"/>
      </rPr>
      <t xml:space="preserve">
Room Facilities: </t>
    </r>
    <r>
      <rPr>
        <sz val="10"/>
        <rFont val="Arial"/>
        <family val="2"/>
        <charset val="161"/>
      </rPr>
      <t>Direct-dial phone, Mini Bar, Satellite TV</t>
    </r>
  </si>
  <si>
    <r>
      <t>Hotel Facilities:</t>
    </r>
    <r>
      <rPr>
        <sz val="10"/>
        <rFont val="Arial"/>
        <family val="2"/>
        <charset val="161"/>
      </rPr>
      <t xml:space="preserve"> A/C throughout, Café bar, Internet corner, Fax services</t>
    </r>
    <r>
      <rPr>
        <i/>
        <sz val="10"/>
        <rFont val="Arial"/>
        <family val="2"/>
        <charset val="161"/>
      </rPr>
      <t xml:space="preserve">
Room Facilities: </t>
    </r>
    <r>
      <rPr>
        <sz val="10"/>
        <rFont val="Arial"/>
        <family val="2"/>
        <charset val="161"/>
      </rPr>
      <t>Direct-dial phone, Sound proof with Mini Bar, Satellite TV, Hairdryer, Safe, Iron &amp; Ironing board, Internet access</t>
    </r>
  </si>
  <si>
    <r>
      <t xml:space="preserve">Hotel Facilities: </t>
    </r>
    <r>
      <rPr>
        <sz val="10"/>
        <rFont val="Arial"/>
        <family val="2"/>
        <charset val="161"/>
      </rPr>
      <t>Cafe-Brasserie, Conference Rooms, Grill for the summer, Health Club, Lounge Bar, Massage, Piano Bar, Pool Bar, Room Service, Sauna,
Solarium, Steam-bath, Swimming Pool, Swimming Pool with Jacuzzi</t>
    </r>
    <r>
      <rPr>
        <i/>
        <sz val="10"/>
        <rFont val="Arial"/>
        <family val="2"/>
        <charset val="161"/>
      </rPr>
      <t xml:space="preserve">
Room Facilities: </t>
    </r>
    <r>
      <rPr>
        <sz val="10"/>
        <rFont val="Arial"/>
        <family val="2"/>
        <charset val="161"/>
      </rPr>
      <t>Air-condition, Balcony, Direct-dial phone, Jacuzzi, Mini Bar, Mini Safe, Satellite TV, Voice Mail</t>
    </r>
  </si>
  <si>
    <r>
      <t xml:space="preserve">Hotel Facilities: </t>
    </r>
    <r>
      <rPr>
        <sz val="10"/>
        <rFont val="Arial"/>
        <family val="2"/>
        <charset val="161"/>
      </rPr>
      <t>Air-Condition in common areas, Bar, Restaurant, Sea Sports, Shops, Snack Bar, TV Room</t>
    </r>
    <r>
      <rPr>
        <i/>
        <sz val="10"/>
        <rFont val="Arial"/>
        <family val="2"/>
        <charset val="161"/>
      </rPr>
      <t xml:space="preserve">
Room Facilities:</t>
    </r>
    <r>
      <rPr>
        <sz val="10"/>
        <rFont val="Arial"/>
        <family val="2"/>
        <charset val="161"/>
      </rPr>
      <t xml:space="preserve"> Air-condition, Color TV, Mini Fridge, Music, Telephone</t>
    </r>
  </si>
  <si>
    <r>
      <t xml:space="preserve">Hotel Facilities: </t>
    </r>
    <r>
      <rPr>
        <sz val="10"/>
        <rFont val="Arial"/>
        <family val="2"/>
        <charset val="161"/>
      </rPr>
      <t>Air-Condition in common areas, Bar, Billiards, Children’s Pool, Golf Course, Hair Salon, Laundry Service, Mini Golf, Mini Market, Pool Bar,
Restaurant, Safe Deposit Boxes, Sea Sports, Snack Bar, Swimming Pool, Table Tennis, Tennis Court, TV Room</t>
    </r>
    <r>
      <rPr>
        <i/>
        <sz val="10"/>
        <rFont val="Arial"/>
        <family val="2"/>
        <charset val="161"/>
      </rPr>
      <t xml:space="preserve">
Room Facilities: </t>
    </r>
    <r>
      <rPr>
        <sz val="10"/>
        <rFont val="Arial"/>
        <family val="2"/>
        <charset val="161"/>
      </rPr>
      <t>Air-condition, Mini Fridge, Safe Box, Satellite Color TV, Telephone</t>
    </r>
  </si>
  <si>
    <r>
      <t>Hotel Facilities: 2</t>
    </r>
    <r>
      <rPr>
        <sz val="10"/>
        <rFont val="Arial"/>
        <family val="2"/>
        <charset val="161"/>
      </rPr>
      <t xml:space="preserve"> Outdoor Swimming Pools, Baby Sitting, Children’s Playground, Games Rooms, Main Bar, Main Restaurant, Mini Golf, Pool Bar, Reception,
Safe Deposit Boxes, Shopping Arcade, Snack Bar, Sun beds/Umbrellas, Tennis Court, TV Room, Water Sports</t>
    </r>
    <r>
      <rPr>
        <i/>
        <sz val="10"/>
        <rFont val="Arial"/>
        <family val="2"/>
        <charset val="161"/>
      </rPr>
      <t xml:space="preserve">
Room Facilities: </t>
    </r>
    <r>
      <rPr>
        <sz val="10"/>
        <rFont val="Arial"/>
        <family val="2"/>
        <charset val="161"/>
      </rPr>
      <t>Air-condition, Balcony, Fridge, Music, Telephone</t>
    </r>
  </si>
  <si>
    <r>
      <t>Hotel Facilities:</t>
    </r>
    <r>
      <rPr>
        <sz val="10"/>
        <rFont val="Arial"/>
        <family val="2"/>
        <charset val="161"/>
      </rPr>
      <t xml:space="preserve"> Air-Condition in common areas, Bar, Restaurant, Safe Deposit Boxes, Snack Bar, TV Room</t>
    </r>
    <r>
      <rPr>
        <i/>
        <sz val="10"/>
        <rFont val="Arial"/>
        <family val="2"/>
        <charset val="161"/>
      </rPr>
      <t xml:space="preserve">
Room Facilities: </t>
    </r>
    <r>
      <rPr>
        <sz val="10"/>
        <rFont val="Arial"/>
        <family val="2"/>
        <charset val="161"/>
      </rPr>
      <t>Air-condition, Hairdryer, Mini Fridge, Music, Satellite Color TV, Telephone</t>
    </r>
  </si>
  <si>
    <r>
      <t xml:space="preserve">Hotel Facilities: </t>
    </r>
    <r>
      <rPr>
        <sz val="10"/>
        <rFont val="Arial"/>
        <family val="2"/>
        <charset val="161"/>
      </rPr>
      <t>Air-Condition in common areas, Animation, Baby Sitting, Bar, Billiards, Card room, Central Heating, Children’s Playground, Children’s Pool,
Fresh-water swimming pool, Gym, Hydromassage, Laundry Service, Massage, Mini Golf, Mini Market, Parking, Restaurant, Room Service, Safe Box, Sauna, Scuba Diving, Snack Bar, Table Tennis, Tennis Court, TV Lounge, Video Games, Volley</t>
    </r>
    <r>
      <rPr>
        <i/>
        <sz val="10"/>
        <rFont val="Arial"/>
        <family val="2"/>
        <charset val="161"/>
      </rPr>
      <t xml:space="preserve">
Room Facilities: </t>
    </r>
    <r>
      <rPr>
        <sz val="10"/>
        <rFont val="Arial"/>
        <family val="2"/>
        <charset val="161"/>
      </rPr>
      <t>Balcony or Terrace, Direct-dial phone, Fridge, In-house Music</t>
    </r>
  </si>
  <si>
    <r>
      <t xml:space="preserve">Hotel Facilities: </t>
    </r>
    <r>
      <rPr>
        <sz val="10"/>
        <rFont val="Arial"/>
        <family val="2"/>
        <charset val="161"/>
      </rPr>
      <t>Air-Condition in common areas, Boutique, Central Heating, Children’s Pool, Entertainment Team, Fresh-water swimming pool, Games
Rooms, Jewelry Shop, Main Bar, Mini Market, Pool Bar, Restaurant, Room Service, Snack Bar, Souvenir Shop, TV-Video Room, Water Sports</t>
    </r>
    <r>
      <rPr>
        <i/>
        <sz val="10"/>
        <rFont val="Arial"/>
        <family val="2"/>
        <charset val="161"/>
      </rPr>
      <t xml:space="preserve">
Room Facilities: </t>
    </r>
    <r>
      <rPr>
        <sz val="10"/>
        <rFont val="Arial"/>
        <family val="2"/>
        <charset val="161"/>
      </rPr>
      <t>Air-condition, Mini Fridge, Music, Telephone</t>
    </r>
  </si>
  <si>
    <r>
      <t xml:space="preserve">Hotel Facilities: </t>
    </r>
    <r>
      <rPr>
        <sz val="10"/>
        <rFont val="Arial"/>
        <family val="2"/>
        <charset val="161"/>
      </rPr>
      <t>Air-Condition in common areas, Cafe-Brasserie, Conference Hall, Meeting &amp; Banquet Facilities, Piano Bar, Pool Bar, Restaurant, Room
Service, Swimming Pool, Underground Passage To Beach</t>
    </r>
    <r>
      <rPr>
        <i/>
        <sz val="10"/>
        <rFont val="Arial"/>
        <family val="2"/>
        <charset val="161"/>
      </rPr>
      <t xml:space="preserve">
Room Facilities: </t>
    </r>
    <r>
      <rPr>
        <sz val="10"/>
        <rFont val="Arial"/>
        <family val="2"/>
        <charset val="161"/>
      </rPr>
      <t>Air-condition, Balcony, Direct-dial phone, Mini Bar, Satellite Color TV</t>
    </r>
  </si>
  <si>
    <r>
      <t xml:space="preserve">Hotel Facilities: </t>
    </r>
    <r>
      <rPr>
        <sz val="10"/>
        <rFont val="Arial"/>
        <family val="2"/>
        <charset val="161"/>
      </rPr>
      <t>Air-Condition, Bar, Mini Market, Pool Bar, Restaurant, Room Service, Safe Deposit Boxes, Snack Bar, Swimming Pool, Table Tennis</t>
    </r>
    <r>
      <rPr>
        <i/>
        <sz val="10"/>
        <rFont val="Arial"/>
        <family val="2"/>
        <charset val="161"/>
      </rPr>
      <t xml:space="preserve">
Room Facilities: </t>
    </r>
    <r>
      <rPr>
        <sz val="10"/>
        <rFont val="Arial"/>
        <family val="2"/>
        <charset val="161"/>
      </rPr>
      <t>Air-condition, Direct-dial phone, Hairdryer, Mini Fridge, Music, Satellite Color TV</t>
    </r>
  </si>
  <si>
    <r>
      <t xml:space="preserve">Hotel Facilities: </t>
    </r>
    <r>
      <rPr>
        <sz val="10"/>
        <rFont val="Arial"/>
        <family val="2"/>
        <charset val="161"/>
      </rPr>
      <t>Air-Condition in common areas, Bar, Billiards, Children’s Pool, Conference Hall, Jacuzzi, Mini Market, Ping Pong, Restaurant, Safe Deposit
Boxes, Sauna, Shops, Snack Bar, Swimming Pool, Table Tennis, TV Room</t>
    </r>
    <r>
      <rPr>
        <i/>
        <sz val="10"/>
        <rFont val="Arial"/>
        <family val="2"/>
        <charset val="161"/>
      </rPr>
      <t xml:space="preserve">
Room Facilities: </t>
    </r>
    <r>
      <rPr>
        <sz val="10"/>
        <rFont val="Arial"/>
        <family val="2"/>
        <charset val="161"/>
      </rPr>
      <t>Mini Fridge, Music, Telephone</t>
    </r>
  </si>
  <si>
    <r>
      <t xml:space="preserve">Hotel Facilities: </t>
    </r>
    <r>
      <rPr>
        <sz val="10"/>
        <rFont val="Arial"/>
        <family val="2"/>
        <charset val="161"/>
      </rPr>
      <t>Animation, Bar, Beach Volley, Children’s Pool, Conference Center, Gym, Restaurant, Room Service, Sea-water Swimming Pool, Shops,
Table Tennis, Tavern, Tennis Court, Water Sports</t>
    </r>
    <r>
      <rPr>
        <i/>
        <sz val="10"/>
        <rFont val="Arial"/>
        <family val="2"/>
        <charset val="161"/>
      </rPr>
      <t xml:space="preserve">
Room Facilities: </t>
    </r>
    <r>
      <rPr>
        <sz val="10"/>
        <rFont val="Arial"/>
        <family val="2"/>
        <charset val="161"/>
      </rPr>
      <t>Air-condition, Balcony, Hairdryer, Mini Bar, Mini Fridge, Music, Safe Box, Satellite Color TV, Telephone</t>
    </r>
  </si>
  <si>
    <t>Askeli, on the beach</t>
  </si>
  <si>
    <t>Olympia</t>
  </si>
  <si>
    <t>Ancient Olympia</t>
  </si>
  <si>
    <t>13 Standard Rooms</t>
  </si>
  <si>
    <t>34 Standard Rooms</t>
  </si>
  <si>
    <t>12 km. from Parikia Town, on Agii Anargyri Beach</t>
  </si>
  <si>
    <t>Hotel Facilities: A/C, Restaurant, Taverna, Breakfast &amp; Dinner buffet, Coffee shop, Bar, Swimming Pool, WiFi internet access, Laundry service, Garden, Baby sitting, Room Service, Parking
Room Facilities: Satellite TV, Direct dial phone, Fridge, WiFi Internet access, Balcony</t>
  </si>
  <si>
    <t>El Greco</t>
  </si>
  <si>
    <t>Studios 10 , Apartments 15 , Suites 13 , Honeymoon Suite 1 , VIP Suite 1</t>
  </si>
  <si>
    <t>Contaratos Beach</t>
  </si>
  <si>
    <t>Hotel Facilities: Main Restaurant, Outdoor restaurant, Library, Bar, Café, Room Service
Room Facilities: A/C, Direct dial phone, TV, Optional fax, Internet access, Hairdryer</t>
  </si>
  <si>
    <t>Amalias Str. Nafplio</t>
  </si>
  <si>
    <t>Hotel Facilities: Breakfast, Swimming Pool, Main Restaurant, Coffee Shop, Pool bar, TV Room, Businness facilities
Room Facilities: Direct Dial phone, Internet access, Mini bar, Fridge</t>
  </si>
  <si>
    <t>Filellinon Square, Nafplio</t>
  </si>
  <si>
    <t>Hotel Facilities: Bar, Restaurant, Buffet breakfast, Room Service
Room Facilities: A/C, Direct dial phone, Satellite Tv, Radio, Mini bar, Safe, Internet access, Hairdryer</t>
  </si>
  <si>
    <t>John &amp; George</t>
  </si>
  <si>
    <t>8, Halis Str., Tolo</t>
  </si>
  <si>
    <t>Hotel Facilities: Reception, Restaurant, Bar, Swimming Pool, Pool Bar, Mini galf, Internet access
Room Facilities: A/C, Direct dial phone, Fridge, Bath, Satellite Tv, Safe</t>
  </si>
  <si>
    <t>Dolphin</t>
  </si>
  <si>
    <t>50, Aktis Str., Tolo</t>
  </si>
  <si>
    <t>Hotel Facilities: Reception, WiFi Internet access, Restaurant, Bar, Games Room, Internet access, TV Room
Room Facilities: A/C, Girect dial phone, Fridge, Bath, TV, Safe, Hairdryer, Balcony</t>
  </si>
  <si>
    <t>Rex</t>
  </si>
  <si>
    <r>
      <t>Hotel Facilities: Main Restaurant, Main bar, Mini Bar, Pool bar, Room services, Swimming pool, Childrens pool &amp; playground, Mini market, Laundry &amp; Dry cleaning services, Babby sitting, Parking
Room Facilities:</t>
    </r>
    <r>
      <rPr>
        <sz val="10"/>
        <rFont val="Arial"/>
        <family val="2"/>
        <charset val="161"/>
      </rPr>
      <t xml:space="preserve"> Air-condition, Balcony with sea view, Direct-dial phone, internet access, Satellite TV, Music, Safe</t>
    </r>
  </si>
  <si>
    <r>
      <t xml:space="preserve">Hotel Facilities: </t>
    </r>
    <r>
      <rPr>
        <sz val="10"/>
        <rFont val="Arial"/>
        <family val="2"/>
        <charset val="161"/>
      </rPr>
      <t>2 Restaurants, 4 Bars, Basketball Court, Children’s Activities, Children’s Pool, Conference /Banquet Facilities, Fitness Centre, Indoor
Swimming Pool, Outdoor Swimming Pool, Shopping Center, Tennis Court, Volley, Water Sports</t>
    </r>
    <r>
      <rPr>
        <i/>
        <sz val="10"/>
        <rFont val="Arial"/>
        <family val="2"/>
        <charset val="161"/>
      </rPr>
      <t xml:space="preserve">
Room Facilities: </t>
    </r>
    <r>
      <rPr>
        <sz val="10"/>
        <rFont val="Arial"/>
        <family val="2"/>
        <charset val="161"/>
      </rPr>
      <t>Direct-dial phone, Mini Bar, Safe Box, Satellite TV</t>
    </r>
  </si>
  <si>
    <r>
      <t xml:space="preserve">Hotel Facilities: </t>
    </r>
    <r>
      <rPr>
        <sz val="10"/>
        <rFont val="Arial"/>
        <family val="2"/>
        <charset val="161"/>
      </rPr>
      <t>4 Restaurants, 5 Bars, Art Gallery, Baby Sitting, Basketball Court, Chapel, Children’s Playground, Conference Rooms, Fitness Centre,
Museum, Open Air Amphitheatrer, Outdoor Heated Pool, Shopping Center, Tennis, Volley, Water Sports</t>
    </r>
    <r>
      <rPr>
        <i/>
        <sz val="10"/>
        <rFont val="Arial"/>
        <family val="2"/>
        <charset val="161"/>
      </rPr>
      <t xml:space="preserve">
Room Facilities: </t>
    </r>
    <r>
      <rPr>
        <sz val="10"/>
        <rFont val="Arial"/>
        <family val="2"/>
        <charset val="161"/>
      </rPr>
      <t>Air-condition, Direct-dial phone, In-house Movies, Mini Bar, Safe Box, Satellite</t>
    </r>
  </si>
  <si>
    <r>
      <t>Hotel Facilities:</t>
    </r>
    <r>
      <rPr>
        <sz val="10"/>
        <rFont val="Arial"/>
        <family val="2"/>
        <charset val="161"/>
      </rPr>
      <t xml:space="preserve"> Bar, Laundry Service, Pool Bar, Room Service, Swimming Pool</t>
    </r>
    <r>
      <rPr>
        <i/>
        <sz val="10"/>
        <rFont val="Arial"/>
        <family val="2"/>
        <charset val="161"/>
      </rPr>
      <t xml:space="preserve">
Room Facilities: </t>
    </r>
    <r>
      <rPr>
        <sz val="10"/>
        <rFont val="Arial"/>
        <family val="2"/>
        <charset val="161"/>
      </rPr>
      <t>Air-condition, Direct-dial phone, Kitchenette, Mini Bar, Piped Music</t>
    </r>
  </si>
  <si>
    <r>
      <t>Hotel Facilities:</t>
    </r>
    <r>
      <rPr>
        <sz val="10"/>
        <rFont val="Arial"/>
        <family val="2"/>
        <charset val="161"/>
      </rPr>
      <t xml:space="preserve"> 24 hour reception, swimming pool overlooking the volcano, pool bar, American style buffet breakfast (outdoor) with pool view, babysitting/child services, maid service, public internet, secretarial services, laundry service, doctor on call. </t>
    </r>
    <r>
      <rPr>
        <i/>
        <sz val="10"/>
        <rFont val="Arial"/>
        <family val="2"/>
        <charset val="161"/>
      </rPr>
      <t xml:space="preserve">
Room Facilities: air conditioning, internet access in rooms, radio, direct dial phone, hair dryer,  safe box, refrigerator, bathroom with shower, TV and  private balcony or veranda with tables and chairs overlooking the volcano.</t>
    </r>
  </si>
  <si>
    <r>
      <t xml:space="preserve">Hotel Facilities: </t>
    </r>
    <r>
      <rPr>
        <sz val="10"/>
        <rFont val="Arial"/>
        <family val="2"/>
        <charset val="161"/>
      </rPr>
      <t>Air-Condition in common areas, Bar, Pool Bar, Safe Deposit Boxes, Sauna, Snack Bar, Swimming Pool, TV Room</t>
    </r>
    <r>
      <rPr>
        <i/>
        <sz val="10"/>
        <rFont val="Arial"/>
        <family val="2"/>
        <charset val="161"/>
      </rPr>
      <t xml:space="preserve">
Room Facilities:</t>
    </r>
    <r>
      <rPr>
        <sz val="10"/>
        <rFont val="Arial"/>
        <family val="2"/>
        <charset val="161"/>
      </rPr>
      <t xml:space="preserve"> Air-condition, Hairdryer, Mini Bar, Music, Satellite Color TV, Telephone, TV</t>
    </r>
  </si>
  <si>
    <r>
      <t xml:space="preserve">Hotel Facilities: </t>
    </r>
    <r>
      <rPr>
        <sz val="10"/>
        <rFont val="Arial"/>
        <family val="2"/>
        <charset val="161"/>
      </rPr>
      <t>Air-Condition in common areas, Bar, Pool Bar, Reception, Snack Bar, Swimming Pool</t>
    </r>
    <r>
      <rPr>
        <i/>
        <sz val="10"/>
        <rFont val="Arial"/>
        <family val="2"/>
        <charset val="161"/>
      </rPr>
      <t xml:space="preserve">
Room Facilities: </t>
    </r>
    <r>
      <rPr>
        <sz val="10"/>
        <rFont val="Arial"/>
        <family val="2"/>
        <charset val="161"/>
      </rPr>
      <t>Air-condition, Balcony, Direct-dial phone, Fully Equiped Kitchenette, Hairdryer, Music, Radio, Safe Box, Satellite TV</t>
    </r>
  </si>
  <si>
    <r>
      <t xml:space="preserve">Hotel Facilities: </t>
    </r>
    <r>
      <rPr>
        <sz val="10"/>
        <rFont val="Arial"/>
        <family val="2"/>
        <charset val="161"/>
      </rPr>
      <t>Apartments with Kitchen, Laundry Service, Main Bar, Parking, Pool Snack Bar, Room Service, Swimming Pool, TV Room</t>
    </r>
    <r>
      <rPr>
        <i/>
        <sz val="10"/>
        <rFont val="Arial"/>
        <family val="2"/>
        <charset val="161"/>
      </rPr>
      <t xml:space="preserve">
Room Facilities: </t>
    </r>
    <r>
      <rPr>
        <sz val="10"/>
        <rFont val="Arial"/>
        <family val="2"/>
        <charset val="161"/>
      </rPr>
      <t>Air-condition, Balcony, Direct-dial phone, Hairdryer, Mini Bar, Satellite TV</t>
    </r>
  </si>
  <si>
    <r>
      <t xml:space="preserve">Hotel Facilities: </t>
    </r>
    <r>
      <rPr>
        <sz val="10"/>
        <rFont val="Arial"/>
        <family val="2"/>
        <charset val="161"/>
      </rPr>
      <t>Reception, Gym, Steam room (Hamam), breakfast served in the room</t>
    </r>
    <r>
      <rPr>
        <i/>
        <sz val="10"/>
        <rFont val="Arial"/>
        <family val="2"/>
        <charset val="161"/>
      </rPr>
      <t xml:space="preserve">
Room Facilities: Air-condition, Mini bar, DVD player, Telephone, Internet access, Safe box, Hair dryer, Satellite TV with Filmnet, Bathrobes and Slippers, balcony or terrace</t>
    </r>
  </si>
  <si>
    <r>
      <t>Hotel Facilities: Reception area, swimming pool , pool bar, outdoor Jacuzzi , daily maid service, porters, in house laundry, dry cleaning, internet access , baby sitting 
Room Facilities:</t>
    </r>
    <r>
      <rPr>
        <sz val="10"/>
        <rFont val="Arial"/>
        <family val="2"/>
        <charset val="161"/>
      </rPr>
      <t xml:space="preserve"> air condition, direct dial phone, safe deposit boxes, hairdryer, satellite TV</t>
    </r>
  </si>
  <si>
    <r>
      <t xml:space="preserve">Hotel Facilities: </t>
    </r>
    <r>
      <rPr>
        <sz val="10"/>
        <rFont val="Arial"/>
        <family val="2"/>
        <charset val="161"/>
      </rPr>
      <t>Internet, Library, Lounge Bar, Pool Bar, Restaurant, Swimming Pool</t>
    </r>
    <r>
      <rPr>
        <i/>
        <sz val="10"/>
        <rFont val="Arial"/>
        <family val="2"/>
        <charset val="161"/>
      </rPr>
      <t xml:space="preserve">
Room Facilities: </t>
    </r>
    <r>
      <rPr>
        <sz val="10"/>
        <rFont val="Arial"/>
        <family val="2"/>
        <charset val="161"/>
      </rPr>
      <t>Air-condition, Direct-dial phone, Hairdryer, Mini Bar, Safe Box, Satellite TV</t>
    </r>
  </si>
  <si>
    <r>
      <t>Hotel Facilities: TV corner, 2 Restaurants, 3 Bars, American buffet breakfast, Free WiFi internet access, Car rental, Table tennis, Safe, Laundry &amp; Dry cleaning , Postal service, tennis, Safe
Room Facilities:</t>
    </r>
    <r>
      <rPr>
        <sz val="10"/>
        <rFont val="Arial"/>
        <family val="2"/>
        <charset val="161"/>
      </rPr>
      <t xml:space="preserve">  Shower or bath, Direct dial phone, Mini fridge, Hairdryer, DVD player, Balcony or Terrace</t>
    </r>
  </si>
  <si>
    <r>
      <t xml:space="preserve">Hotel Facilities: </t>
    </r>
    <r>
      <rPr>
        <sz val="10"/>
        <rFont val="Arial"/>
        <family val="2"/>
        <charset val="161"/>
      </rPr>
      <t>Bar, Beach Bar, Games Rooms, Restaurant, Sea Sports, Swimming Pool, Tennis Court, TV Room</t>
    </r>
    <r>
      <rPr>
        <i/>
        <sz val="10"/>
        <rFont val="Arial"/>
        <family val="2"/>
        <charset val="161"/>
      </rPr>
      <t xml:space="preserve">
Room Facilities:</t>
    </r>
    <r>
      <rPr>
        <sz val="10"/>
        <rFont val="Arial"/>
        <family val="2"/>
        <charset val="161"/>
      </rPr>
      <t xml:space="preserve"> 3-Channel Music, Balcony, Refrigerator, Telephone, TV</t>
    </r>
  </si>
  <si>
    <r>
      <t xml:space="preserve">Hotel Facilities: Main </t>
    </r>
    <r>
      <rPr>
        <sz val="10"/>
        <rFont val="Arial"/>
        <family val="2"/>
        <charset val="161"/>
      </rPr>
      <t>Bar, Beach Bar, 3 Restaurants, Chlidrens pool, Laundry &amp; Dry cleaning, 24h Room services, 24h Medical services, Internet corner, Parking</t>
    </r>
    <r>
      <rPr>
        <i/>
        <sz val="10"/>
        <rFont val="Arial"/>
        <family val="2"/>
        <charset val="161"/>
      </rPr>
      <t xml:space="preserve">
Room Facilities:</t>
    </r>
    <r>
      <rPr>
        <sz val="10"/>
        <rFont val="Arial"/>
        <family val="2"/>
        <charset val="161"/>
      </rPr>
      <t xml:space="preserve"> A/C, Direct dial phone, Satellite TV</t>
    </r>
  </si>
  <si>
    <r>
      <t xml:space="preserve">Hotel Facilities: </t>
    </r>
    <r>
      <rPr>
        <sz val="10"/>
        <rFont val="Arial"/>
        <family val="2"/>
        <charset val="161"/>
      </rPr>
      <t>5 Restaurants, 6 Bars, 24h Room service, Wi-Fi Internet access, Laundry, Swimming Pools, Garden, Fully organized beach, Water sports, Wellness center, Hairdressing salon, Shopping center, Gift shop, Casino 5000 sq.m, 80 Gaming tables, 1000 Slot machines, VIP Private area, Free Parking</t>
    </r>
    <r>
      <rPr>
        <i/>
        <sz val="10"/>
        <rFont val="Arial"/>
        <family val="2"/>
        <charset val="161"/>
      </rPr>
      <t xml:space="preserve">
Room Facilities: </t>
    </r>
    <r>
      <rPr>
        <sz val="10"/>
        <rFont val="Arial"/>
        <family val="2"/>
        <charset val="161"/>
      </rPr>
      <t>Direct dial phone, Internet access, Fax, Satellite TV, Mini bar, Safe, Bathrobes, Slippers, Jacuzzi bathtub &amp; separate shower, Balcony with sea view</t>
    </r>
  </si>
  <si>
    <r>
      <t xml:space="preserve">Hotel Facilities: </t>
    </r>
    <r>
      <rPr>
        <sz val="10"/>
        <rFont val="Arial"/>
        <family val="2"/>
        <charset val="161"/>
      </rPr>
      <t>Main Restaurant, Snack Bar, Traditional and international cuisine, served at Buffet Style, Beach bar</t>
    </r>
    <r>
      <rPr>
        <i/>
        <sz val="10"/>
        <rFont val="Arial"/>
        <family val="2"/>
        <charset val="161"/>
      </rPr>
      <t xml:space="preserve">
Room Facilities: </t>
    </r>
    <r>
      <rPr>
        <sz val="10"/>
        <rFont val="Arial"/>
        <family val="2"/>
        <charset val="161"/>
      </rPr>
      <t>Air-condition, Sattelite TV, safe, radio, refrigerator, hairdryer, telephone, internet line, marble bathrooms</t>
    </r>
  </si>
  <si>
    <r>
      <t xml:space="preserve">Hotel Facilities: </t>
    </r>
    <r>
      <rPr>
        <sz val="10"/>
        <rFont val="Arial"/>
        <family val="2"/>
        <charset val="161"/>
      </rPr>
      <t>A/C throughout, Bar, Jacuzzi Bath</t>
    </r>
    <r>
      <rPr>
        <i/>
        <sz val="10"/>
        <rFont val="Arial"/>
        <family val="2"/>
        <charset val="161"/>
      </rPr>
      <t xml:space="preserve">
Room Facilities: </t>
    </r>
    <r>
      <rPr>
        <sz val="10"/>
        <rFont val="Arial"/>
        <family val="2"/>
        <charset val="161"/>
      </rPr>
      <t>Direct-dial phone, In-house Laundry, Mini Bar, Radio, Satellite TV</t>
    </r>
  </si>
  <si>
    <r>
      <t xml:space="preserve">Hotel Facilities: </t>
    </r>
    <r>
      <rPr>
        <sz val="10"/>
        <rFont val="Arial"/>
        <family val="2"/>
        <charset val="161"/>
      </rPr>
      <t>Air-Condition, Bar, Conference Room, Fireplace, Laundry Service, Parking, Restaurant, Room Service, Snack Bar, TV Room</t>
    </r>
    <r>
      <rPr>
        <i/>
        <sz val="10"/>
        <rFont val="Arial"/>
        <family val="2"/>
        <charset val="161"/>
      </rPr>
      <t xml:space="preserve">
Room Facilities: </t>
    </r>
    <r>
      <rPr>
        <sz val="10"/>
        <rFont val="Arial"/>
        <family val="2"/>
        <charset val="161"/>
      </rPr>
      <t>Air-condition, Balcony or Veranda, Direct-dial phone, Hairdryer, Mini Bar, Music, Sound-proofing, TV</t>
    </r>
  </si>
  <si>
    <r>
      <t xml:space="preserve">Hotel Facilities: Breakfast room, Main restaurant, Lobby bar, TV lounge, Roof garden, Internet corner, Laundry, Room services 
Room Facilities: Sound proof with </t>
    </r>
    <r>
      <rPr>
        <sz val="10"/>
        <rFont val="Arial"/>
        <family val="2"/>
        <charset val="161"/>
      </rPr>
      <t>Air-condition, Hairdryer, Mini Bar, Music, TV, Internet access, Safe</t>
    </r>
  </si>
  <si>
    <r>
      <t>Hotel Facilities: Breakfast, Swimming Pool, Garden, Main Restaurant, Coffee Shop, TV room, Safe, Bussiness Facilities &amp; Secretary Services, Parking
Room Facilities: A/C, Satellite TV, Direct dial phone, Bath or Shower</t>
    </r>
    <r>
      <rPr>
        <sz val="10"/>
        <rFont val="Arial"/>
        <family val="2"/>
        <charset val="161"/>
      </rPr>
      <t xml:space="preserve"> </t>
    </r>
  </si>
  <si>
    <r>
      <t>Hotel Facilities: 24h Room Services, Central heating, Restaurant, Bar, Wi-Fi internet, TV, Safe boxes, Garden
Room Facilities:</t>
    </r>
    <r>
      <rPr>
        <sz val="10"/>
        <rFont val="Arial"/>
        <family val="2"/>
        <charset val="161"/>
      </rPr>
      <t xml:space="preserve"> Direct dial phone, Satellite TV, Safe, Hairdryer</t>
    </r>
  </si>
  <si>
    <r>
      <t>Hotel Facilities: Room Services, Bar, Restaurant, Central heating
Room Facilities:</t>
    </r>
    <r>
      <rPr>
        <sz val="10"/>
        <rFont val="Arial"/>
        <family val="2"/>
        <charset val="161"/>
      </rPr>
      <t xml:space="preserve"> A/C, TV, Direct dial phone, Hairdryer, Bath, Balcony with sea view</t>
    </r>
  </si>
  <si>
    <t>59, Nikis Avenue, Thessaloniki</t>
  </si>
  <si>
    <t>Hotel Facilities: WiFi Internet access, Laundry service, Restaurant, Bar
Room Facilities: Cable/Satellite TV, Direct dial phone, Hairdryer, Internet access, Mini bar, Safe</t>
  </si>
  <si>
    <t>305-307, Monastiriou Str., Thessaloniki</t>
  </si>
  <si>
    <t xml:space="preserve">Hotel Facilities: Business center, Laundry service, Gym, Indoor Swimming Pool, Sauna, Massage, 2 Restaurants, Lobby, Bistro bar, TV Room, Parking
Room Facilities: A/C, Mini bar, Satellite / Pay TV, Radio, Hairdryer, Safe, Direct dial phone, Internet access </t>
  </si>
  <si>
    <t>8, Monastiriou Str.</t>
  </si>
  <si>
    <t>Hotel Facilities: Restaurant, Bar, Mini gym, 24h Room Service, Business center, Baby sitting, Laundry &amp; Cleaning services, Parking
Room Facilities: Direct dial phone, Safe, Radio, Satellite / Pay TV, Internet access, Mini bar, Bath, Hairdryer, Music</t>
  </si>
  <si>
    <t>16, Kolokotroni Str., Thessaloniki</t>
  </si>
  <si>
    <t>Hotel Facilities: Free WiFi internet access, 24h Room Services, Restaurant, Bar, Valet service, Laundry &amp; Cleaning service, Business room, Parking
Room Facilities: A/C, Direct dial phone, Mini bar, Satellite &amp; Pay TV, Video, Safe, Internet access</t>
  </si>
  <si>
    <t>42 Standard Rooms, 3 Suites</t>
  </si>
  <si>
    <t>172 Standard Rooms</t>
  </si>
  <si>
    <t>19 Standard Rooms, 1 Suite</t>
  </si>
  <si>
    <t>62 Standard Rooms</t>
  </si>
  <si>
    <t>33 Standard Rooms</t>
  </si>
  <si>
    <t>39 Standard Rooms, 3 Suites</t>
  </si>
  <si>
    <t>77 Standard Rooms</t>
  </si>
  <si>
    <t>26 Standard Rooms</t>
  </si>
  <si>
    <t>88 Standard Rooms, 4 Family Rooms, 2 Suites</t>
  </si>
  <si>
    <t>148 Standard Rooms</t>
  </si>
  <si>
    <t>70 Standard Rooms</t>
  </si>
  <si>
    <r>
      <t>Hotel Facilities: Room Services, Bar, Restaurant, Safe, internet access, Swimming pool, Coffee shop, Garden, TV room, Parking
Room Facilities:</t>
    </r>
    <r>
      <rPr>
        <sz val="10"/>
        <rFont val="Arial"/>
        <family val="2"/>
        <charset val="161"/>
      </rPr>
      <t xml:space="preserve"> A/C, Satellite TV, Direct dial phone, Bath or Shower</t>
    </r>
  </si>
  <si>
    <r>
      <t>Hotel Facilities: Room Services, Bar, Restaurant, Central heating, 2 Swimming Pool, Sauna, Jacuzzi, Gym, Hammam
Room Facilities:</t>
    </r>
    <r>
      <rPr>
        <sz val="10"/>
        <rFont val="Arial"/>
        <family val="2"/>
        <charset val="161"/>
      </rPr>
      <t xml:space="preserve"> A/C, TV, Mini bar, Direct dial phone, Balcony with view to Meteora</t>
    </r>
  </si>
  <si>
    <t xml:space="preserve">Suite </t>
  </si>
  <si>
    <t>Note: 08-11/05, 05-14/09, 05-07/10/14 about rates are not valid</t>
  </si>
  <si>
    <r>
      <t xml:space="preserve">Hotel Facilities: </t>
    </r>
    <r>
      <rPr>
        <sz val="10"/>
        <rFont val="Arial"/>
        <family val="2"/>
        <charset val="161"/>
      </rPr>
      <t>A/C throughout, Laundry Service, Massage, Mini Shop, Parking, Pool Bar, Restaurant a La Carte, Room Service, Swimming Pool</t>
    </r>
    <r>
      <rPr>
        <i/>
        <sz val="10"/>
        <rFont val="Arial"/>
        <family val="2"/>
        <charset val="161"/>
      </rPr>
      <t xml:space="preserve">
Room Facilities: </t>
    </r>
    <r>
      <rPr>
        <sz val="10"/>
        <rFont val="Arial"/>
        <family val="2"/>
        <charset val="161"/>
      </rPr>
      <t>Balcony, Direct-dial phone, Hairdryer, Mini Bar, Modem Jacks, Radio, Safe Box, TV</t>
    </r>
  </si>
  <si>
    <r>
      <t xml:space="preserve">Hotel Facilities: </t>
    </r>
    <r>
      <rPr>
        <sz val="10"/>
        <rFont val="Arial"/>
        <family val="2"/>
        <charset val="161"/>
      </rPr>
      <t>Fitness Centre, Gourmet Restaurant, Jacuzzi, Pool Bar, Sauna, Squash Court, Swimming Pool</t>
    </r>
    <r>
      <rPr>
        <i/>
        <sz val="10"/>
        <rFont val="Arial"/>
        <family val="2"/>
        <charset val="161"/>
      </rPr>
      <t xml:space="preserve">
Room Facilities: </t>
    </r>
    <r>
      <rPr>
        <sz val="10"/>
        <rFont val="Arial"/>
        <family val="2"/>
        <charset val="161"/>
      </rPr>
      <t>Air-condition</t>
    </r>
  </si>
  <si>
    <r>
      <t xml:space="preserve">Hotel Facilities: </t>
    </r>
    <r>
      <rPr>
        <sz val="10"/>
        <rFont val="Arial"/>
        <family val="2"/>
        <charset val="161"/>
      </rPr>
      <t>A/C throughout, Children’s Playroom, Conference Rooms, Congress Hall, Fitness Centre, Hair Salon, Jacuzzi, Laundry Service, Lobby Bar, Mini Golf, Outdoor Chess, Parking, Pool Bar, Restaurant, Room Service, Safe Box, Sauna, Snack Bar, Squash Court, Swimming Pool, Tennis Court, TV Room</t>
    </r>
    <r>
      <rPr>
        <i/>
        <sz val="10"/>
        <rFont val="Arial"/>
        <family val="2"/>
        <charset val="161"/>
      </rPr>
      <t xml:space="preserve">
Room Facilities: </t>
    </r>
    <r>
      <rPr>
        <sz val="10"/>
        <rFont val="Arial"/>
        <family val="2"/>
        <charset val="161"/>
      </rPr>
      <t>Balcony, Direct-dial phone, Hairdryer, Mini Bar, TV</t>
    </r>
  </si>
  <si>
    <r>
      <t xml:space="preserve">Hotel Facilities: </t>
    </r>
    <r>
      <rPr>
        <sz val="10"/>
        <rFont val="Arial"/>
        <family val="2"/>
        <charset val="161"/>
      </rPr>
      <t>A/C throughout, Children’s Playroom, Conference Rooms, Hair Salon, Jacuzzi, Laundry Service, Mini Golf, Parking, Restaurant, Room Service, Sauna, TV Room</t>
    </r>
    <r>
      <rPr>
        <i/>
        <sz val="10"/>
        <rFont val="Arial"/>
        <family val="2"/>
        <charset val="161"/>
      </rPr>
      <t xml:space="preserve">
Room Facilities: </t>
    </r>
    <r>
      <rPr>
        <sz val="10"/>
        <rFont val="Arial"/>
        <family val="2"/>
        <charset val="161"/>
      </rPr>
      <t>Direct-dial phone, Hairdryer, Mini Bar, Satellite TV, Radio, Safe</t>
    </r>
  </si>
  <si>
    <r>
      <t xml:space="preserve">Hotel Facilities: </t>
    </r>
    <r>
      <rPr>
        <sz val="10"/>
        <rFont val="Arial"/>
        <family val="2"/>
        <charset val="161"/>
      </rPr>
      <t>Air-Condition in common areas, Bar, Children’s Playground, Children’s Pool, Conference Hall, Hair Salon, Health Club, Indoor Swimming Pool, Mini Market, Night Club, Parking, Pool Bar, Restaurant, Safe Deposit Boxes, Sauna, Sea Sports, Shops, Snack Bar, Swimming Pool, Table Tennis, TV Room</t>
    </r>
    <r>
      <rPr>
        <i/>
        <sz val="10"/>
        <rFont val="Arial"/>
        <family val="2"/>
        <charset val="161"/>
      </rPr>
      <t xml:space="preserve">
Room Facilities:</t>
    </r>
    <r>
      <rPr>
        <sz val="10"/>
        <rFont val="Arial"/>
        <family val="2"/>
        <charset val="161"/>
      </rPr>
      <t xml:space="preserve"> Air-condition, Hairdryer, Mini Bar, Music, Safe Box, Satellite Color TV, Telephone</t>
    </r>
  </si>
  <si>
    <r>
      <t>Hotel Facilities: 24h Room Service, Laundry &amp; Valet services, Indoor &amp; Outdoor Swimming Pool, Children's Pool &amp; playground, Tennis, 3 Restaurants, Bar, Cafe, Pool bar, Transfer services 
Room Facilities:</t>
    </r>
    <r>
      <rPr>
        <sz val="10"/>
        <rFont val="Arial"/>
        <family val="2"/>
        <charset val="161"/>
      </rPr>
      <t xml:space="preserve"> Air-condition, Direct dial phone, Satellite TV, Mini bar</t>
    </r>
  </si>
  <si>
    <t>Cancellation refunds or claims:</t>
  </si>
  <si>
    <t>Insurance:</t>
  </si>
  <si>
    <t>Trip package cancellation insurance and baggage insurance are highly recommended. Please consult your travel agent for details.</t>
  </si>
  <si>
    <t>Hotel &amp; Transfers Rates:</t>
  </si>
  <si>
    <t>Subject to change prior to your departure, without any notice.</t>
  </si>
  <si>
    <t>Responsibility:</t>
  </si>
  <si>
    <r>
      <t xml:space="preserve">Hotel Facilities: </t>
    </r>
    <r>
      <rPr>
        <sz val="10"/>
        <rFont val="Arial"/>
        <family val="2"/>
        <charset val="161"/>
      </rPr>
      <t>Air-Condition in common areas, Baby Sitting, Bar, Laundry Service, Lobby Bar, Playroom, Restaurant, Room Service, Safe Box</t>
    </r>
    <r>
      <rPr>
        <i/>
        <sz val="10"/>
        <rFont val="Arial"/>
        <family val="2"/>
        <charset val="161"/>
      </rPr>
      <t xml:space="preserve">
Room Facilities: </t>
    </r>
    <r>
      <rPr>
        <sz val="10"/>
        <rFont val="Arial"/>
        <family val="2"/>
        <charset val="161"/>
      </rPr>
      <t>Air-condition, Direct-dial phone, Hairdryer, Mini Bar, Satellite TV</t>
    </r>
  </si>
  <si>
    <r>
      <t xml:space="preserve">Hotel Facilities: </t>
    </r>
    <r>
      <rPr>
        <sz val="10"/>
        <rFont val="Arial"/>
        <family val="2"/>
        <charset val="161"/>
      </rPr>
      <t>Bar, Parking, Pool Bar, Restaurant, Safe Deposit Boxes, Snack Bar, Swimming Pool, Tavern, TV Room</t>
    </r>
    <r>
      <rPr>
        <i/>
        <sz val="10"/>
        <rFont val="Arial"/>
        <family val="2"/>
        <charset val="161"/>
      </rPr>
      <t xml:space="preserve">
Room Facilities: </t>
    </r>
    <r>
      <rPr>
        <sz val="10"/>
        <rFont val="Arial"/>
        <family val="2"/>
        <charset val="161"/>
      </rPr>
      <t>Air-condition, Hairdryer, Mini Fridge, Music, Satellite Color TV, Telephone</t>
    </r>
  </si>
  <si>
    <r>
      <t xml:space="preserve">Hotel Facilities: </t>
    </r>
    <r>
      <rPr>
        <sz val="10"/>
        <rFont val="Arial"/>
        <family val="2"/>
        <charset val="161"/>
      </rPr>
      <t>Air-Condition in common areas, Bar, Pool Bar, Safe Deposit Boxes, Snack Bar, Swimming Pool, TV Room</t>
    </r>
    <r>
      <rPr>
        <i/>
        <sz val="10"/>
        <rFont val="Arial"/>
        <family val="2"/>
        <charset val="161"/>
      </rPr>
      <t xml:space="preserve">
Room Facilities: </t>
    </r>
    <r>
      <rPr>
        <sz val="10"/>
        <rFont val="Arial"/>
        <family val="2"/>
        <charset val="161"/>
      </rPr>
      <t>Air-condition, Color TV, Mini Fridge, Music, Telephone</t>
    </r>
  </si>
  <si>
    <r>
      <t>Hotel Facilities:</t>
    </r>
    <r>
      <rPr>
        <sz val="10"/>
        <rFont val="Arial"/>
        <family val="2"/>
        <charset val="161"/>
      </rPr>
      <t xml:space="preserve"> Fitness center, Parking, Room Service, Swimming Pool, TV Lounge</t>
    </r>
    <r>
      <rPr>
        <i/>
        <sz val="10"/>
        <rFont val="Arial"/>
        <family val="2"/>
        <charset val="161"/>
      </rPr>
      <t xml:space="preserve">
Room Facilities: </t>
    </r>
    <r>
      <rPr>
        <sz val="10"/>
        <rFont val="Arial"/>
        <family val="2"/>
        <charset val="161"/>
      </rPr>
      <t>Direct-dial phone, Fridge, Hairdryer, Satellite/interactive TV, internet &amp; email access</t>
    </r>
  </si>
  <si>
    <r>
      <t>Hotel Facilities:</t>
    </r>
    <r>
      <rPr>
        <sz val="10"/>
        <rFont val="Arial"/>
        <family val="2"/>
        <charset val="161"/>
      </rPr>
      <t xml:space="preserve"> </t>
    </r>
    <r>
      <rPr>
        <i/>
        <sz val="10"/>
        <rFont val="Arial"/>
        <family val="2"/>
        <charset val="161"/>
      </rPr>
      <t xml:space="preserve">
Room Facilities: A/C, color TV, mini bar, direct-dial phone, music, safe, internet access</t>
    </r>
  </si>
  <si>
    <r>
      <t xml:space="preserve">Hotel Facilities: </t>
    </r>
    <r>
      <rPr>
        <sz val="10"/>
        <rFont val="Arial"/>
        <family val="2"/>
        <charset val="161"/>
      </rPr>
      <t>Air-Condition in common areas, Bar, Pool Bar, Restaurant, Safe Deposit Boxes, Snack Bar, Swimming Pool, TV Room</t>
    </r>
    <r>
      <rPr>
        <i/>
        <sz val="10"/>
        <rFont val="Arial"/>
        <family val="2"/>
        <charset val="161"/>
      </rPr>
      <t xml:space="preserve">
Room Facilities: </t>
    </r>
    <r>
      <rPr>
        <sz val="10"/>
        <rFont val="Arial"/>
        <family val="2"/>
        <charset val="161"/>
      </rPr>
      <t>Air-condition, Color TV, Hairdryer, Mini Bar, Music, Telephone</t>
    </r>
  </si>
  <si>
    <r>
      <t xml:space="preserve">Hotel Facilities: </t>
    </r>
    <r>
      <rPr>
        <sz val="10"/>
        <rFont val="Arial"/>
        <family val="2"/>
        <charset val="161"/>
      </rPr>
      <t>Air-Condition in common areas, Bar, Children’s Pool, Health Club, Parking, Pool Bar, Restaurant, Snack Bar, Swimming Pool, Table Tennis, TV Room</t>
    </r>
    <r>
      <rPr>
        <i/>
        <sz val="10"/>
        <rFont val="Arial"/>
        <family val="2"/>
        <charset val="161"/>
      </rPr>
      <t xml:space="preserve">
Room Facilities: </t>
    </r>
    <r>
      <rPr>
        <sz val="10"/>
        <rFont val="Arial"/>
        <family val="2"/>
        <charset val="161"/>
      </rPr>
      <t>Air-condition, Hairdryer, Mini Bar, Music, Safe Box, Satellite Color TV, Telephone</t>
    </r>
  </si>
  <si>
    <r>
      <t xml:space="preserve">Hotel Facilities: </t>
    </r>
    <r>
      <rPr>
        <sz val="10"/>
        <rFont val="Arial"/>
        <family val="2"/>
        <charset val="161"/>
      </rPr>
      <t>2 Terraces, A/C throughout, Air-Condition, Baby Sitting, Jacuzzi, Laundry Service, Living Room, Parking, Pool Bar, Room Service, Safe Box, Snack Bar, Swimming Pool</t>
    </r>
    <r>
      <rPr>
        <i/>
        <sz val="10"/>
        <rFont val="Arial"/>
        <family val="2"/>
        <charset val="161"/>
      </rPr>
      <t xml:space="preserve">
Room Facilities: </t>
    </r>
    <r>
      <rPr>
        <sz val="10"/>
        <rFont val="Arial"/>
        <family val="2"/>
        <charset val="161"/>
      </rPr>
      <t>3-Channel Music, Balcony, Direct-dial phone, Hairdryer, Mini Bar, Small lounge, TV</t>
    </r>
  </si>
  <si>
    <r>
      <t xml:space="preserve">Hotel Facilities: </t>
    </r>
    <r>
      <rPr>
        <sz val="10"/>
        <rFont val="Arial"/>
        <family val="2"/>
        <charset val="161"/>
      </rPr>
      <t>2 TV Lounges, Central Heating, Lobby Bar, Main Restaurant, Parking, Pool Bar, Safe Box, Swimming Pool, Tennis Court</t>
    </r>
    <r>
      <rPr>
        <i/>
        <sz val="10"/>
        <rFont val="Arial"/>
        <family val="2"/>
        <charset val="161"/>
      </rPr>
      <t xml:space="preserve">
Room Facilities: </t>
    </r>
    <r>
      <rPr>
        <sz val="10"/>
        <rFont val="Arial"/>
        <family val="2"/>
        <charset val="161"/>
      </rPr>
      <t>3-Channel Music &amp; Hi-Fi Stereo, Air-condition, Balcony or Terrace, Direct-dial phone, Fridge, Hairdryer, Satellite TV</t>
    </r>
  </si>
  <si>
    <r>
      <t xml:space="preserve">Hotel Facilities: </t>
    </r>
    <r>
      <rPr>
        <sz val="10"/>
        <rFont val="Arial"/>
        <family val="2"/>
        <charset val="161"/>
      </rPr>
      <t>Bar, Library, Safe Box, TV Lounge</t>
    </r>
    <r>
      <rPr>
        <i/>
        <sz val="10"/>
        <rFont val="Arial"/>
        <family val="2"/>
        <charset val="161"/>
      </rPr>
      <t xml:space="preserve">
Room Facilities:</t>
    </r>
    <r>
      <rPr>
        <sz val="10"/>
        <rFont val="Arial"/>
        <family val="2"/>
        <charset val="161"/>
      </rPr>
      <t xml:space="preserve"> 2-Channel Music, Air-condition, Direct-dial phone, Hairdryer, Satellite TV, Terrac</t>
    </r>
    <r>
      <rPr>
        <i/>
        <sz val="10"/>
        <rFont val="Arial"/>
        <family val="2"/>
        <charset val="161"/>
      </rPr>
      <t>e</t>
    </r>
  </si>
  <si>
    <r>
      <t xml:space="preserve">Hotel Facilities: </t>
    </r>
    <r>
      <rPr>
        <sz val="10"/>
        <rFont val="Arial"/>
        <family val="2"/>
        <charset val="161"/>
      </rPr>
      <t>Air-Condition in common areas, Bar, Safe Deposit Boxes, Snack Bar, Swimming Pool</t>
    </r>
    <r>
      <rPr>
        <i/>
        <sz val="10"/>
        <rFont val="Arial"/>
        <family val="2"/>
        <charset val="161"/>
      </rPr>
      <t xml:space="preserve">
Room Facilities: </t>
    </r>
    <r>
      <rPr>
        <sz val="10"/>
        <rFont val="Arial"/>
        <family val="2"/>
        <charset val="161"/>
      </rPr>
      <t>Air-condition, Color TV, Mini Fridge, Music, Telephone</t>
    </r>
  </si>
  <si>
    <r>
      <t>Hotel Facilities:</t>
    </r>
    <r>
      <rPr>
        <sz val="10"/>
        <rFont val="Arial"/>
        <family val="2"/>
        <charset val="161"/>
      </rPr>
      <t xml:space="preserve"> Air-Condition, Baby Sitting, Conference Room, Fitness, Jacuzzi, Laundry Service, Lobby Bar, Massage, Parking, Pool Bar, Room Service, Safe Box, Sauna, Sea-water Swimming Pool, TV Lounge</t>
    </r>
    <r>
      <rPr>
        <i/>
        <sz val="10"/>
        <rFont val="Arial"/>
        <family val="2"/>
        <charset val="161"/>
      </rPr>
      <t xml:space="preserve">
Room Facilities: </t>
    </r>
    <r>
      <rPr>
        <sz val="10"/>
        <rFont val="Arial"/>
        <family val="2"/>
        <charset val="161"/>
      </rPr>
      <t>2-Channel Music, Balcony or Terrace, Direct-dial phone, Fridge, Hairdryer, In-house VHS movies, Marble Bath, Mini Bar, Satellite TV</t>
    </r>
  </si>
  <si>
    <t>Petinos</t>
  </si>
  <si>
    <t>Platis Gialos, Mykonos</t>
  </si>
  <si>
    <t>Agios Prokopios</t>
  </si>
  <si>
    <t>50 m. from Fira center</t>
  </si>
  <si>
    <t>5 km. from Skiathos Town, 100 m. from Kanapitsa Beach</t>
  </si>
  <si>
    <t>Astoria Capsis</t>
  </si>
  <si>
    <t>Apartments 10 , Honeymoon Suite1</t>
  </si>
  <si>
    <t>Suites 5 , Honeymoon Suites 2</t>
  </si>
  <si>
    <t xml:space="preserve">Single </t>
  </si>
  <si>
    <t>Double</t>
  </si>
  <si>
    <t>01/07-31/07</t>
  </si>
  <si>
    <t>Ios, Mylopotas</t>
  </si>
  <si>
    <t>Doryssa Bay</t>
  </si>
  <si>
    <t>Samos, Potokaki</t>
  </si>
  <si>
    <t>13 km. from Samos Town, 1 km. from Pythagorio, On Potokaki Beach, 1,5 km. from the airport</t>
  </si>
  <si>
    <t>Santorini, Fira</t>
  </si>
  <si>
    <t>4 km. from Mykonos Town, on Agios Stefanos Beach</t>
  </si>
  <si>
    <t>Kosmoplaz</t>
  </si>
  <si>
    <t>Paros Bay</t>
  </si>
  <si>
    <t>02/01-31/03</t>
  </si>
  <si>
    <t>01/11-17/12</t>
  </si>
  <si>
    <t>15/06-15/07</t>
  </si>
  <si>
    <t>Vouliagmeni</t>
  </si>
  <si>
    <t>162 Standard Room(s)</t>
  </si>
  <si>
    <t>Ilissia</t>
  </si>
  <si>
    <t>Sounio</t>
  </si>
  <si>
    <t>Syntagma</t>
  </si>
  <si>
    <t>Palaio Faliro</t>
  </si>
  <si>
    <t>Anavyssos</t>
  </si>
  <si>
    <t>98 Standard Room(s)</t>
  </si>
  <si>
    <t>Athens</t>
  </si>
  <si>
    <t>Neos Kosmos</t>
  </si>
  <si>
    <t>Glyfada</t>
  </si>
  <si>
    <t>Omonia</t>
  </si>
  <si>
    <t>300 meters from Syntagma Square</t>
  </si>
  <si>
    <t>115 Standard Room(s)</t>
  </si>
  <si>
    <t>Hotel Facilities: Café, Bar, Tv lounge
Room Facilities: A/C, Safe, Mini bar, Hairdryer, TV, Pay TV, Direct dial phone, Internet access</t>
  </si>
  <si>
    <t>Agia Triada</t>
  </si>
  <si>
    <t>Hotel Facilities: Airconditioned, Central heating, 2 Restaurants, Bar, Taverna, Cafeteria, Swimming Pool, Pool restaurant, Gym, Room service, WiFi internet access, Parking
Room Facilities: Direct dial phone, TV, Fridge, Balcony</t>
  </si>
  <si>
    <t>23, Egnatias Str. Thessaloniki</t>
  </si>
  <si>
    <t>Hotel Facilities: Buffet breakfast, Restaurant[only for group], Bar, Free WiFi internet access, Room service, Laundry, Charged parking
Room Facilities: Direct dial phone, Satellite TV, Fridge, Hairdryer, Balcony</t>
  </si>
  <si>
    <t>29, Egnatias &amp; 2, Antigonidon Str., Thessaloniki</t>
  </si>
  <si>
    <t>Hotel Facilities: Bar, Buffet breakfast, Free WiFi Internet access, TV lounge, Internet corner, Room service, Parking
Room Facilities: Direct dial phone, Satellite cable TV, Bath, Fridge, Hairdryer, Balcony, Safe</t>
  </si>
  <si>
    <t>65, Vass.Olgas Av., Thessaloniki</t>
  </si>
  <si>
    <t>Hotel Facilities: Bar, Restaurant, Room service, Laundry service, Fax service, Business center, WiFi internet access, TV room, Parking
Room Facilities: Bath, Direct dial phone, Satellite TV, Fridge</t>
  </si>
  <si>
    <t>16, Ag. Dimitriou Str., Thessaloniki</t>
  </si>
  <si>
    <t>Hotel Facilities: Lobby bar, Café bar, Buffet breakfast, Safe, WiFi internet access, Room service
Room Facilities: A/C, Mini bar, Hairdryer, Direct dial phone, Satellite TV, Fridge, Bath</t>
  </si>
  <si>
    <t>9, Aristotelous Avenue, Thessaloniki</t>
  </si>
  <si>
    <t>2 km. from Mykonos Town, 800 m. from Tourlos Beach</t>
  </si>
  <si>
    <t>Melia Marbella Corfu</t>
  </si>
  <si>
    <t>Corfu, Agios Ioannis</t>
  </si>
  <si>
    <t>Rooms 72</t>
  </si>
  <si>
    <t>01/05 - 31/05</t>
  </si>
  <si>
    <t>Skiathos Princess</t>
  </si>
  <si>
    <t>Skiathos, Agia Paraskevi</t>
  </si>
  <si>
    <t>21/08-31/08</t>
  </si>
  <si>
    <t>04/09-17/09</t>
  </si>
  <si>
    <r>
      <t xml:space="preserve">Hotel Facilities: </t>
    </r>
    <r>
      <rPr>
        <sz val="10"/>
        <rFont val="Arial"/>
        <family val="2"/>
        <charset val="161"/>
      </rPr>
      <t>Air-Condition, Beauty Salon, Children’s Pool, Conference Hall, Hair Salon, Health Club, Jacuzzi, Laundry Service, Lounge Bar, Massage, Open Air Amphitheatrer, Outdoor Chess, Parking, Pool Bar, Pool Restaurant, Restaurant, Room Service, Safe Deposit Boxes, Sauna, Shops, Snack Bar,
Squash Court, Steam-bath, Swimming Pool, Tennis Court, TV Room</t>
    </r>
    <r>
      <rPr>
        <i/>
        <sz val="10"/>
        <rFont val="Arial"/>
        <family val="2"/>
        <charset val="161"/>
      </rPr>
      <t xml:space="preserve">
Room Facilities: </t>
    </r>
    <r>
      <rPr>
        <sz val="10"/>
        <rFont val="Arial"/>
        <family val="2"/>
        <charset val="161"/>
      </rPr>
      <t>Air-condition, Direct-dial phone, Hairdryer, In-house Movies, Mini Bar, Music, PC Socket, Safe Box, Satellite Color TV</t>
    </r>
  </si>
  <si>
    <r>
      <t>Hotel Facilities:</t>
    </r>
    <r>
      <rPr>
        <sz val="10"/>
        <rFont val="Arial"/>
        <family val="2"/>
        <charset val="161"/>
      </rPr>
      <t xml:space="preserve"> Snack Bar, Piano, TV, Parking, Safe Boxes</t>
    </r>
    <r>
      <rPr>
        <i/>
        <sz val="10"/>
        <rFont val="Arial"/>
        <family val="2"/>
        <charset val="161"/>
      </rPr>
      <t xml:space="preserve">
Room Facilities: </t>
    </r>
    <r>
      <rPr>
        <sz val="10"/>
        <rFont val="Arial"/>
        <family val="2"/>
        <charset val="161"/>
      </rPr>
      <t>Air-condition, Hairdryer, Fridge, Telephone</t>
    </r>
  </si>
  <si>
    <t>14/09-30/09</t>
  </si>
  <si>
    <t>26/08-13/09</t>
  </si>
  <si>
    <r>
      <t xml:space="preserve">Hotel Facilities: </t>
    </r>
    <r>
      <rPr>
        <sz val="10"/>
        <rFont val="Arial"/>
        <family val="2"/>
        <charset val="161"/>
      </rPr>
      <t>A/C, 5 Bars, Pool bar, Main restaurant, Cafeteria, Outdoor gourmet restaurant a la carte, Indoor gourmet restaurant a la carte, Grill restaurant, Taverna, 3 Swimming Pools, Children's pool &amp; playgroung, 2 Tennis court, Basket, Volley, Mini golf, Video room, Room service, First aid station, Massage, Sauna, Jacuzzi, Baby sitting</t>
    </r>
    <r>
      <rPr>
        <i/>
        <sz val="10"/>
        <rFont val="Arial"/>
        <family val="2"/>
        <charset val="161"/>
      </rPr>
      <t xml:space="preserve">
Room Facilities: </t>
    </r>
    <r>
      <rPr>
        <sz val="10"/>
        <rFont val="Arial"/>
        <family val="2"/>
        <charset val="161"/>
      </rPr>
      <t>Satellite TV, Fridge, Direct dial phone, Hairdryer</t>
    </r>
  </si>
  <si>
    <t>Coral</t>
  </si>
  <si>
    <t>Herodion</t>
  </si>
  <si>
    <r>
      <t xml:space="preserve">Hotel Facilities: </t>
    </r>
    <r>
      <rPr>
        <sz val="10"/>
        <rFont val="Arial"/>
        <family val="2"/>
        <charset val="161"/>
      </rPr>
      <t>Air-Condition, Restaurant, Buffet Breakfast, Mini Market, Gym, Lounge                                                                                                                              Room Facilities: Bath, Fridge, Direct Dial phone, Veranda or Balcony</t>
    </r>
  </si>
  <si>
    <t>06/06-03/07</t>
  </si>
  <si>
    <t>13/09-24/09</t>
  </si>
  <si>
    <t>29/08-12/09</t>
  </si>
  <si>
    <t>01/06-11/07</t>
  </si>
  <si>
    <t>01/10-15/11</t>
  </si>
  <si>
    <t>16/05-15/07</t>
  </si>
  <si>
    <t>01/04-11/05</t>
  </si>
  <si>
    <t>29/04-25/05</t>
  </si>
  <si>
    <t>07/07-17/08</t>
  </si>
  <si>
    <t>06/07-23/08</t>
  </si>
  <si>
    <t>24/08-20/09</t>
  </si>
  <si>
    <t>21/09-15/10</t>
  </si>
  <si>
    <t>02/06-22/06</t>
  </si>
  <si>
    <t>02/06-13/07</t>
  </si>
  <si>
    <t>14/07-24/08</t>
  </si>
  <si>
    <t>12/04-15/05</t>
  </si>
  <si>
    <t>01/07-03/09</t>
  </si>
  <si>
    <t>01/04-04/05</t>
  </si>
  <si>
    <t>05/05-01/06</t>
  </si>
  <si>
    <t>25/08-21/09</t>
  </si>
  <si>
    <t>15/05-15/06</t>
  </si>
  <si>
    <t>16/06-07/07</t>
  </si>
  <si>
    <t>11/09-22/09</t>
  </si>
  <si>
    <t>12/07-25/08</t>
  </si>
  <si>
    <t>01/03-31/03</t>
  </si>
  <si>
    <t xml:space="preserve">Note: Minimun stay 3 nights, Valid for European certain nationalites supplement for others </t>
  </si>
  <si>
    <t xml:space="preserve">Note: Minimun stay 3 nights, Valid for European  certain nationalites supplement for others </t>
  </si>
  <si>
    <t xml:space="preserve">Note: Valid for European certain nationalites supplement for others </t>
  </si>
  <si>
    <t>01/05-04/06</t>
  </si>
  <si>
    <t>05/06-02/07</t>
  </si>
  <si>
    <t>24/08-13/09</t>
  </si>
  <si>
    <t>28/08-02/09</t>
  </si>
  <si>
    <t>24/09-30/09</t>
  </si>
  <si>
    <t>27/08-23/09</t>
  </si>
  <si>
    <t>19/09-31/10</t>
  </si>
  <si>
    <t>13/06-11/07</t>
  </si>
  <si>
    <t>30/08-26/09</t>
  </si>
  <si>
    <t>21/09-31/12</t>
  </si>
  <si>
    <t>01/06-14/07</t>
  </si>
  <si>
    <t>15/07-31/08</t>
  </si>
  <si>
    <t>16/09-07/10</t>
  </si>
  <si>
    <t>Canava Suite</t>
  </si>
  <si>
    <t>15/10-31/10</t>
  </si>
  <si>
    <t>15/06-15/09</t>
  </si>
  <si>
    <t>27/08-14/09</t>
  </si>
  <si>
    <t>15/04-30/04</t>
  </si>
  <si>
    <t>01/07-20/09</t>
  </si>
  <si>
    <t>01/01-30/06</t>
  </si>
  <si>
    <t>80 m. from Kamari Beach</t>
  </si>
  <si>
    <t>Most rooms with Private Balconies.</t>
  </si>
  <si>
    <t xml:space="preserve">Meal </t>
  </si>
  <si>
    <t>Electra (Ermou)</t>
  </si>
  <si>
    <t>5, Ermou street, Athens</t>
  </si>
  <si>
    <t>110 Standard Room(s)</t>
  </si>
  <si>
    <t>Semeli</t>
  </si>
  <si>
    <t>13, Lagada Str., Thessaloniki</t>
  </si>
  <si>
    <t>Hotel Facilities: Room service, Restaurant, Laundry &amp; Cleaning service, Massage, Parking
Room Facilities: A/C, Mini bar, Satelitte TV, Voice mail, Wi-Fi internet, Safe, Hairdryer, Iron/Ironing board</t>
  </si>
  <si>
    <t>18, Monastiriou Str.</t>
  </si>
  <si>
    <t>on Alyki Beach, 3 km. from the airport</t>
  </si>
  <si>
    <t>in close vicinity to many bars, restaurants, tavernas, shops and night life of Rhodes Town, on Eli Beach</t>
  </si>
  <si>
    <t>Rhodes, Kalithea</t>
  </si>
  <si>
    <t>Holiday Suites</t>
  </si>
  <si>
    <t>4, Arnis Street, Ilissia</t>
  </si>
  <si>
    <t>29 Suite(s)</t>
  </si>
  <si>
    <t>Arethusa</t>
  </si>
  <si>
    <t>6-8 Mitropoleos @ 12 Nikis Streets</t>
  </si>
  <si>
    <t>Sani Beach Hotel</t>
  </si>
  <si>
    <r>
      <t xml:space="preserve">Hotel Facilities: </t>
    </r>
    <r>
      <rPr>
        <sz val="10"/>
        <rFont val="Arial"/>
        <family val="2"/>
        <charset val="161"/>
      </rPr>
      <t>2 Swimming Pools, Air-Condition in common areas, Conference Hall, Fax facilities, Parking, Pool Bar, Reception, Snack Bar, Tennis Court, TV Room</t>
    </r>
    <r>
      <rPr>
        <i/>
        <sz val="10"/>
        <rFont val="Arial"/>
        <family val="2"/>
        <charset val="161"/>
      </rPr>
      <t xml:space="preserve">
Room Facilities: </t>
    </r>
    <r>
      <rPr>
        <sz val="10"/>
        <rFont val="Arial"/>
        <family val="2"/>
        <charset val="161"/>
      </rPr>
      <t>Air-condition, Color TV, Direct-dial phone, Hairdryer, Kitchenette, Music, Private Balcony w/Volcano View, Safe Box</t>
    </r>
  </si>
  <si>
    <r>
      <t xml:space="preserve">Hotel Facilities: </t>
    </r>
    <r>
      <rPr>
        <sz val="10"/>
        <rFont val="Arial"/>
        <family val="2"/>
        <charset val="161"/>
      </rPr>
      <t>A/C throughout, Children’s Pool, Children’s services, Gym, Laundry Service, Parking, Pool Bar, Restaurant, Room Service, Secretarial
Service, Swimming Pool, Tennis Court, TV Room, Wheelchair access throughout</t>
    </r>
    <r>
      <rPr>
        <i/>
        <sz val="10"/>
        <rFont val="Arial"/>
        <family val="2"/>
        <charset val="161"/>
      </rPr>
      <t xml:space="preserve">
Room Facilities: </t>
    </r>
    <r>
      <rPr>
        <sz val="10"/>
        <rFont val="Arial"/>
        <family val="2"/>
        <charset val="161"/>
      </rPr>
      <t>Air-condition, Balcony or Terrace, Direct-dial phone, Hairdryer, Mini Bar, Music, Safe Box, Satellite TV, Telephone</t>
    </r>
  </si>
  <si>
    <r>
      <t xml:space="preserve">Hotel Facilities: </t>
    </r>
    <r>
      <rPr>
        <sz val="10"/>
        <rFont val="Arial"/>
        <family val="2"/>
        <charset val="161"/>
      </rPr>
      <t>A/C throughout, Cocktail Bar, Conference Rooms, Parking, Restaurant, Room Service, Snack Bar, Swimming Pool</t>
    </r>
    <r>
      <rPr>
        <i/>
        <sz val="10"/>
        <rFont val="Arial"/>
        <family val="2"/>
        <charset val="161"/>
      </rPr>
      <t xml:space="preserve">
Room Facilities: </t>
    </r>
    <r>
      <rPr>
        <sz val="10"/>
        <rFont val="Arial"/>
        <family val="2"/>
        <charset val="161"/>
      </rPr>
      <t>Air-condition, Balcony, Direct-dial phone, Hairdryer, Mini Bar, Music, Satellite TV</t>
    </r>
  </si>
  <si>
    <t>Notes: Aircodition is Available Only for the Period 15/6-30/9</t>
  </si>
  <si>
    <t>Livadi Nafsika</t>
  </si>
  <si>
    <t>Santorini, Oia</t>
  </si>
  <si>
    <t>with Volcano View, 12 km. from Fira Town</t>
  </si>
  <si>
    <t>Traditional Island Style hotel.</t>
  </si>
  <si>
    <t>Honeymoon Suite</t>
  </si>
  <si>
    <t>Santorini, Imerovigli</t>
  </si>
  <si>
    <t>Built on Foundations of Old Island Structures, on the Rim of Caldera, facing the Sea &amp; the Volcano, 1 km. from Fira Town</t>
  </si>
  <si>
    <t>Santorini, Firostefani</t>
  </si>
  <si>
    <t>At the rim of the Caldera with Volcano view, 800 m. from Fira center</t>
  </si>
  <si>
    <t>VIP &amp; HONEYMOON suites with Individual Jacuzi, Bathtub Indoors, Queen size Bed.</t>
  </si>
  <si>
    <t>Notes: Cancellation Policy : 3 Days Prior Arrival 50% Cancellation Fees Will Be Applied.</t>
  </si>
  <si>
    <t>Cycladic Architecture.</t>
  </si>
  <si>
    <t>Princess Of Mykonos</t>
  </si>
  <si>
    <t>San Antonio Summerland</t>
  </si>
  <si>
    <t>Mykonos, Tourlos</t>
  </si>
  <si>
    <t>Rose Bay</t>
  </si>
  <si>
    <t>4 km. from Corfu Town, 200 m. from Kanoni Beach</t>
  </si>
  <si>
    <t>HB</t>
  </si>
  <si>
    <t>Corfu Palace</t>
  </si>
  <si>
    <t>2, Demokratias Avenue, , Corfu, Corfu Town</t>
  </si>
  <si>
    <t>AI</t>
  </si>
  <si>
    <t>35, Poseidonos street, Athens, Paleo Faliro</t>
  </si>
  <si>
    <t>86 Standard Room(s), 2 Suite(s)</t>
  </si>
  <si>
    <t>2 km. from Hersonissos, 22 km. from Heraklion Town, on Anissaras Beach</t>
  </si>
  <si>
    <t>All the Outdoor Swimming Pools with Waterfall &amp; 45m. Water Slide.</t>
  </si>
  <si>
    <t>Villa-Suites with Private Pool &amp; Kitchenette.</t>
  </si>
  <si>
    <t>Bungalow Sea View</t>
  </si>
  <si>
    <t>Rooms 89</t>
  </si>
  <si>
    <t>16/05-30/06</t>
  </si>
  <si>
    <t>Majestic</t>
  </si>
  <si>
    <t>Fira</t>
  </si>
  <si>
    <t>Traditional Architecture.</t>
  </si>
  <si>
    <t>Front Rooms with View of Temple of Jupiter.</t>
  </si>
  <si>
    <t>Kipriotis</t>
  </si>
  <si>
    <t>2, Valaoritou street, Rhodes, Rhodes Town</t>
  </si>
  <si>
    <t>7th Km of Ioannina - Athens National Road</t>
  </si>
  <si>
    <t>9 km. from Fira Town, on Kamari Beach</t>
  </si>
  <si>
    <t>B1</t>
  </si>
  <si>
    <t>B2</t>
  </si>
  <si>
    <t>B3</t>
  </si>
  <si>
    <t>01/04-23/05</t>
  </si>
  <si>
    <t>Agapi Beach</t>
  </si>
  <si>
    <t>Amoudara, on the beach</t>
  </si>
  <si>
    <t>Hotel Facilities: Central heating, Bar, Snack bar, Restaurant, Kafenion, Taverna, Cards room, Gym, Message, Sauna, Jacuzzi, Children's playground &amp; pool, 3 Swimming pools, Hairdressing
Room Facilities: Direct dial phone, Satellite TV, Fridge, Bath or Shower</t>
  </si>
  <si>
    <t>Poseidon</t>
  </si>
  <si>
    <r>
      <t xml:space="preserve">Hotel Facilities: </t>
    </r>
    <r>
      <rPr>
        <sz val="10"/>
        <rFont val="Arial"/>
        <family val="2"/>
        <charset val="161"/>
      </rPr>
      <t>6 Bars, 7 Tennis Courts, Animation Team, Baby Sitting, Beach Volley, Billiards, Bowling, Bridge Room, Conference Facilities, Diving, Fitness Centre, Kiddie Pool, Kindergarden, Medical Office, Mini Golf, Mountain Bikes, Open Air Cinema, Restaurant, Room Service, Shops, Snack Bar, Sun Terraces, Swimming Pool, Table Tennis, Tavern, TV Room, Water Sports</t>
    </r>
    <r>
      <rPr>
        <i/>
        <sz val="10"/>
        <rFont val="Arial"/>
        <family val="2"/>
        <charset val="161"/>
      </rPr>
      <t xml:space="preserve">
Room Facilities:</t>
    </r>
    <r>
      <rPr>
        <sz val="10"/>
        <rFont val="Arial"/>
        <family val="2"/>
        <charset val="161"/>
      </rPr>
      <t xml:space="preserve"> Air-condition, Balcony or Terrace, Direct-dial phone, Fridge, Hairdryer, Satellite TV</t>
    </r>
  </si>
  <si>
    <t xml:space="preserve">  EVIA …......…………………………………………</t>
  </si>
  <si>
    <t xml:space="preserve">  HYDRA ..…………………………………………… </t>
  </si>
  <si>
    <t xml:space="preserve">  IOANNINA .………………………………………… </t>
  </si>
  <si>
    <r>
      <t xml:space="preserve">Hotel Facilities: </t>
    </r>
    <r>
      <rPr>
        <sz val="9"/>
        <rFont val="Arial"/>
        <family val="2"/>
        <charset val="161"/>
      </rPr>
      <t>Fax facilities, Internet, Parking, Pizzeria, Pool Bar, Restaurant, Room Service, Swimming Pool</t>
    </r>
    <r>
      <rPr>
        <i/>
        <sz val="9"/>
        <rFont val="Arial"/>
        <family val="2"/>
        <charset val="161"/>
      </rPr>
      <t xml:space="preserve">
Room Facilities: </t>
    </r>
    <r>
      <rPr>
        <sz val="9"/>
        <rFont val="Arial"/>
        <family val="2"/>
        <charset val="161"/>
      </rPr>
      <t>3-Channel Music, Air-condition, Direct-dial phone, Fridge, Safe Box, Satellite TV</t>
    </r>
  </si>
  <si>
    <r>
      <t xml:space="preserve">Hotel Facilities: </t>
    </r>
    <r>
      <rPr>
        <sz val="9"/>
        <rFont val="Arial"/>
        <family val="2"/>
        <charset val="161"/>
      </rPr>
      <t>Air-Condition, Bar, Basketball Court, Billiards, Conference Facilities, Gym, Jazz Bar, Mountain Bikes, Parking, Pool Bar, Restaurant, Room Service, Swimming Pool, Tennis Court, TV-Video Room</t>
    </r>
    <r>
      <rPr>
        <i/>
        <sz val="9"/>
        <rFont val="Arial"/>
        <family val="2"/>
        <charset val="161"/>
      </rPr>
      <t xml:space="preserve">
Room Facilities: </t>
    </r>
    <r>
      <rPr>
        <sz val="9"/>
        <rFont val="Arial"/>
        <family val="2"/>
        <charset val="161"/>
      </rPr>
      <t>2-Channel Music, Balcony or Terrace w/ Sea View, Direct-dial phone, Mini Bar</t>
    </r>
  </si>
  <si>
    <r>
      <t xml:space="preserve">Hotel Facilities: </t>
    </r>
    <r>
      <rPr>
        <sz val="10"/>
        <rFont val="Arial"/>
        <family val="2"/>
        <charset val="161"/>
      </rPr>
      <t>Bar, Children’s Playground, Gym, Parking, Pool Bar, Ramp for Handicapped persons, Restaurant, Room Service, Safe Box, Sea Sports, Swimming Pool, Tennis Court, TV-Video Room</t>
    </r>
    <r>
      <rPr>
        <i/>
        <sz val="10"/>
        <rFont val="Arial"/>
        <family val="2"/>
        <charset val="161"/>
      </rPr>
      <t xml:space="preserve">
Room Facilities: </t>
    </r>
    <r>
      <rPr>
        <sz val="10"/>
        <rFont val="Arial"/>
        <family val="2"/>
        <charset val="161"/>
      </rPr>
      <t>Air-condition, Balcony or Terrace w/ Sea View, Direct-dial phone, Mini Bar, Music</t>
    </r>
  </si>
  <si>
    <t xml:space="preserve">  KALAMBAKA ..……………………………………. </t>
  </si>
  <si>
    <t xml:space="preserve">  KAVALA …....…..…………………………………. </t>
  </si>
  <si>
    <t xml:space="preserve">  LOUTRAKI  …………………………………………</t>
  </si>
  <si>
    <t xml:space="preserve">  NAFPLIO ...………………………………………… </t>
  </si>
  <si>
    <t xml:space="preserve">  NAXOS …...………………………………………… </t>
  </si>
  <si>
    <t xml:space="preserve">  OLYMPIA ...………………………………………… </t>
  </si>
  <si>
    <t xml:space="preserve">  PATRA  ......………………………………………… </t>
  </si>
  <si>
    <t xml:space="preserve">  PATMOS .…………………………………………..</t>
  </si>
  <si>
    <t xml:space="preserve">  POROS  ..…………………………………………..</t>
  </si>
  <si>
    <r>
      <t>Hotel Facilities:</t>
    </r>
    <r>
      <rPr>
        <sz val="9"/>
        <rFont val="Arial"/>
        <family val="2"/>
        <charset val="161"/>
      </rPr>
      <t xml:space="preserve"> 2 Outdoor Seawater Pools, Baby Sitting, Ballrooms, Cafeteria, Children’s Pool, Conference Rooms, Electronic Games, Exhibition Centre, Fitness Club, Indoor Heated Pool, Laundry Service, Main Restaurant, Massage, Parking, Piano Bar, Playroom, Room Service, Sauna, Secretarial Service, Self-service Restaurant, Shops, Snack Bar, Table Tennis, Tennis Court, Theatre</t>
    </r>
    <r>
      <rPr>
        <i/>
        <sz val="9"/>
        <rFont val="Arial"/>
        <family val="2"/>
        <charset val="161"/>
      </rPr>
      <t xml:space="preserve">
Room Facilities:</t>
    </r>
    <r>
      <rPr>
        <sz val="9"/>
        <rFont val="Arial"/>
        <family val="2"/>
        <charset val="161"/>
      </rPr>
      <t xml:space="preserve"> Air-condition, Balcony, Direct-dial phone, Hairdryer, Mini Bar, Safe Box, TV, Video on demand</t>
    </r>
  </si>
  <si>
    <r>
      <t>Hotel Facilities: Brand new Spa &amp; Welness Center (open in 2011), multi-functional conference center (operating in 2011), Two swimming pools: 1 fresh water pool and 1 salt water pool, Jacuzzi corner by the fresh water pool, Children’s pool section (under parents’ supervision), Sun beds and umbrellas by the pool complimentary, 24hrs Front Desk with multilingual personnel, Welcome drink while filling in your registration form, 1 bottle of mineral water in room upon arrival in all rooms, Room Service (up to 22.00 hrs), service charge applies, Porter service, Foreign currency exchange, Rent a Car or Moto, Invitation for breakfast for early arrivals (up to 10.00) or dinner for late departures (up to 21.30), Late check out at a charge upon availability, Complimentary late check out up to 18.00 upon availability for the Grand Suites Guests, Lounge area and library, Internet cornet  with 4 terminal computers at a charge, Wi-Fi Internet access (free of charge) at the Lobby Area, Laundry service at a charge, High chairs and baby cots for children and infants, Dietary menu on request, Mini market and jeweler's shop, 3 lifts in main building &amp; 1 lift in Garden Wing, Access with ramps in all areas (besides the beach), Fruit and traditional Greek sweets plateau in suites once per arrival, Light evening entertainment in Lobby Area twice per week
Room Facilities:</t>
    </r>
    <r>
      <rPr>
        <sz val="9"/>
        <rFont val="Arial"/>
        <family val="2"/>
        <charset val="161"/>
      </rPr>
      <t xml:space="preserve"> Double bed, Sofa bed, Electronic Safe Box (free), Mini Bar, Direct Telephone Line, Hair Dryer, Bathrobes &amp; Slippers, A/C (may-oct), Satellite LCD TV, DVD player</t>
    </r>
  </si>
  <si>
    <t xml:space="preserve">  SKOPELOS …..……………………………………. </t>
  </si>
  <si>
    <t xml:space="preserve">  THESSALONIKI  ...…………………………………. </t>
  </si>
  <si>
    <t xml:space="preserve">  ZAKYNTHOS ………………………………………. </t>
  </si>
  <si>
    <r>
      <t xml:space="preserve">Hotel Facilities: </t>
    </r>
    <r>
      <rPr>
        <sz val="9"/>
        <rFont val="Arial"/>
        <family val="2"/>
        <charset val="161"/>
      </rPr>
      <t>Air-Condition in common areas, Bar, Children’s Playground, Children’s Pool, Conference Hall, Parking, Pool Bar, Restaurant, Sauna, Sea Sports, Shops, Snack Bar, Swimming Pool, Tavern, TV Room</t>
    </r>
    <r>
      <rPr>
        <i/>
        <sz val="9"/>
        <rFont val="Arial"/>
        <family val="2"/>
        <charset val="161"/>
      </rPr>
      <t xml:space="preserve">
Room Facilities: </t>
    </r>
    <r>
      <rPr>
        <sz val="9"/>
        <rFont val="Arial"/>
        <family val="2"/>
        <charset val="161"/>
      </rPr>
      <t>Air-condition, Hairdryer, Mini Bar, Music, Safe Box, Telephone</t>
    </r>
  </si>
  <si>
    <t>Canaves Oia Hotel Suites</t>
  </si>
  <si>
    <r>
      <t xml:space="preserve">Hotel Facilities: </t>
    </r>
    <r>
      <rPr>
        <sz val="10"/>
        <rFont val="Arial"/>
        <family val="2"/>
        <charset val="161"/>
      </rPr>
      <t>Air-Condition in common areas, Art Gallery, Boutique, Conference Hall, Dining room, Drugstore, Fitness Centre, Health Club, Hotel Beach
with Bar Service, Jacuzzi Bar, Laundry Service, Massage, Open-Air Jacuzzi, Pergola Pool Restaurant, Pool Bar, Shops, Shuttle Service, Snack Bar,
Swimming Pool, Twice daily Maid service, VIP Club Service, Wine Bar &amp; Monty’s Club, Yoga</t>
    </r>
    <r>
      <rPr>
        <i/>
        <sz val="10"/>
        <rFont val="Arial"/>
        <family val="2"/>
        <charset val="161"/>
      </rPr>
      <t xml:space="preserve">
Room Facilities: </t>
    </r>
    <r>
      <rPr>
        <sz val="10"/>
        <rFont val="Arial"/>
        <family val="2"/>
        <charset val="161"/>
      </rPr>
      <t>Direct-dial phone, Fridge, Hairdryer, In-house Movies, Kitchenette, Marble Bath, Mini Bar, Music, Satellite TV, Veranda</t>
    </r>
  </si>
  <si>
    <r>
      <t xml:space="preserve">Hotel Facilities: </t>
    </r>
    <r>
      <rPr>
        <sz val="10"/>
        <rFont val="Arial"/>
        <family val="2"/>
        <charset val="161"/>
      </rPr>
      <t>Art Gallery, Dining room, Laundry Service, Lobby Salons, Meeting Room, Room Service, Swimming Pool, Twice daily Maid service, Wine
Bar, Terrace w/ Volcano v</t>
    </r>
    <r>
      <rPr>
        <i/>
        <sz val="10"/>
        <rFont val="Arial"/>
        <family val="2"/>
        <charset val="161"/>
      </rPr>
      <t xml:space="preserve">
Room Facilities:</t>
    </r>
    <r>
      <rPr>
        <sz val="10"/>
        <rFont val="Arial"/>
        <family val="2"/>
        <charset val="161"/>
      </rPr>
      <t xml:space="preserve"> Air-condition, Fully Equipped Kitchen, Hairdryer, Heating, Hi Fi Stereo, Mini Bar, Safe Box, Satellite TV</t>
    </r>
  </si>
  <si>
    <r>
      <t>Hotel Facilities:</t>
    </r>
    <r>
      <rPr>
        <sz val="10"/>
        <rFont val="Arial"/>
        <family val="2"/>
        <charset val="161"/>
      </rPr>
      <t xml:space="preserve"> Room Service, 24h Reception, Parking, Car rental, Jacuzzi, Bar, Swimming Pool</t>
    </r>
    <r>
      <rPr>
        <i/>
        <sz val="10"/>
        <rFont val="Arial"/>
        <family val="2"/>
        <charset val="161"/>
      </rPr>
      <t xml:space="preserve">
Room Facilities: Air Condition, Satellite TV, Fridge, Telephone, Hair Dryer and Safety/Deposit box. All our rooms have their private balcony</t>
    </r>
  </si>
  <si>
    <r>
      <t xml:space="preserve">Hotel Facilities: </t>
    </r>
    <r>
      <rPr>
        <sz val="10"/>
        <rFont val="Arial"/>
        <family val="2"/>
        <charset val="161"/>
      </rPr>
      <t>2 Swimming Pools, Jacuzzi, Parking, Pool Snack Bar, Room Service</t>
    </r>
    <r>
      <rPr>
        <i/>
        <sz val="10"/>
        <rFont val="Arial"/>
        <family val="2"/>
        <charset val="161"/>
      </rPr>
      <t xml:space="preserve">
Room Facilities:</t>
    </r>
    <r>
      <rPr>
        <sz val="10"/>
        <rFont val="Arial"/>
        <family val="2"/>
        <charset val="161"/>
      </rPr>
      <t xml:space="preserve"> Air-condition, Antique Furniture, Color TV, Direct-dial phone, Fully Equipped Kitchen, Hairdryer, Living Room, Music, Safe Box, Terrace</t>
    </r>
  </si>
  <si>
    <r>
      <t>Hotel Facilities:</t>
    </r>
    <r>
      <rPr>
        <sz val="10"/>
        <rFont val="Arial"/>
        <family val="2"/>
        <charset val="161"/>
      </rPr>
      <t xml:space="preserve"> Air-Condition, Bar, Central Heating, Conference Rooms, Health Club, Laundry Service, Restaurants, Room Service, Swimming Pool</t>
    </r>
  </si>
  <si>
    <r>
      <t xml:space="preserve">Hotel Facilities: Airconditioned throughout, 2 Bars, </t>
    </r>
    <r>
      <rPr>
        <sz val="10"/>
        <rFont val="Arial"/>
        <family val="2"/>
        <charset val="161"/>
      </rPr>
      <t>Restaurant, Indoor Swimming Pool, Sauna, 24h Room Services, Businness center, Wi-Fi Internet access, Transfer services from to airport.</t>
    </r>
    <r>
      <rPr>
        <i/>
        <sz val="10"/>
        <rFont val="Arial"/>
        <family val="2"/>
        <charset val="161"/>
      </rPr>
      <t xml:space="preserve">
Room Facilities: Direct dial phone, </t>
    </r>
    <r>
      <rPr>
        <sz val="10"/>
        <rFont val="Arial"/>
        <family val="2"/>
        <charset val="161"/>
      </rPr>
      <t>Mini bar, Satellite TV, Internet access, safe, Video</t>
    </r>
  </si>
  <si>
    <r>
      <t>Hotel Facilities: Out</t>
    </r>
    <r>
      <rPr>
        <sz val="10"/>
        <rFont val="Arial"/>
        <family val="2"/>
        <charset val="161"/>
      </rPr>
      <t>door Swimming Pool, 24h Room Services, Businness center, Gift shop, Jacuzzi, Parking.</t>
    </r>
    <r>
      <rPr>
        <i/>
        <sz val="10"/>
        <rFont val="Arial"/>
        <family val="2"/>
        <charset val="161"/>
      </rPr>
      <t xml:space="preserve">
Room Facilities: Direct dial phone, </t>
    </r>
    <r>
      <rPr>
        <sz val="10"/>
        <rFont val="Arial"/>
        <family val="2"/>
        <charset val="161"/>
      </rPr>
      <t>Mini bar, Satellite TV, Internet access, safe, Hairdryer</t>
    </r>
  </si>
  <si>
    <r>
      <t xml:space="preserve">Hotel Facilities: </t>
    </r>
    <r>
      <rPr>
        <sz val="10"/>
        <rFont val="Arial"/>
        <family val="2"/>
        <charset val="161"/>
      </rPr>
      <t>A/C throughout, American Bar, Central Heating, Exhibition Centre, Meeting &amp; Banquet Facilities, Outdoor Swimming Pool, Parking, Restaurant, Roof Garden</t>
    </r>
    <r>
      <rPr>
        <i/>
        <sz val="10"/>
        <rFont val="Arial"/>
        <family val="2"/>
        <charset val="161"/>
      </rPr>
      <t xml:space="preserve">
Room Facilities: </t>
    </r>
    <r>
      <rPr>
        <sz val="10"/>
        <rFont val="Arial"/>
        <family val="2"/>
        <charset val="161"/>
      </rPr>
      <t>Direct-dial phone, Double glazing, Hairdryer, Mini Bar, Pay TV, PC Socket, Radio, Safe Box, Satellite TV, Smoke detectors, Trouser press, Voice Mail</t>
    </r>
  </si>
  <si>
    <r>
      <t>Hotel Facilities:</t>
    </r>
    <r>
      <rPr>
        <sz val="10"/>
        <rFont val="Arial"/>
        <family val="2"/>
        <charset val="161"/>
      </rPr>
      <t xml:space="preserve"> A/C throughout, Bar, Central Heating, Convention Facilities, Restaurant, Roof Garden, Swimming Pool, Tavern</t>
    </r>
    <r>
      <rPr>
        <i/>
        <sz val="10"/>
        <rFont val="Arial"/>
        <family val="2"/>
        <charset val="161"/>
      </rPr>
      <t xml:space="preserve">
Room Facilities: </t>
    </r>
    <r>
      <rPr>
        <sz val="10"/>
        <rFont val="Arial"/>
        <family val="2"/>
        <charset val="161"/>
      </rPr>
      <t>Air-condition, Direct-dial phone, Mini Bar, Satellite TV</t>
    </r>
  </si>
  <si>
    <t>Ovadias Tours, hereafter called the tour operator and /or their representatives act only as agents for transportation companies and other companies. The responsibility of the tour operators and / or their representatives is limited. The tour operators and / or their agents will not accept any responsibility in the event of damage, loss, accident, illness, delay or other irregularity due to defects in any vehicle used for transportation or the fault or default of any company or person employed in the organization of the transportation. The tour operators and / or their representatives will not accept any responsibility for extra cost due to delay, changes or any other reason. The tour operators and/or their representatives are not responsible for any consular, political or military complications created voluntarily or involuntarily by the passengers or any other person. The operators cannot be held responsible for any fault or default or negligence by hotel owner or his employees. The tour operators reserve the right to decline, to accept or retain any person and to change or cancel the tours, if necessary, for any reason. The airline tickets shall, when issued, constitute to the sole contract between the passenger and the airline. The airline is not to be held responsible for any act, omission or event, when the passengers are not on board its aircraft. Any deposit will represent acceptance of all the above mentioned conditions.</t>
  </si>
  <si>
    <r>
      <t xml:space="preserve">Deposit(s) </t>
    </r>
    <r>
      <rPr>
        <sz val="9"/>
        <rFont val="Arial"/>
        <family val="2"/>
      </rPr>
      <t>required for all reservations in order to secure space in Hotels, Cruises, Guides, and other services required. Full payment of a deposit indicates acceptance by the purchaser of our terms and conditions.</t>
    </r>
  </si>
  <si>
    <r>
      <rPr>
        <b/>
        <sz val="9"/>
        <rFont val="Arial"/>
        <family val="2"/>
        <charset val="161"/>
      </rPr>
      <t>Full Payment</t>
    </r>
    <r>
      <rPr>
        <sz val="9"/>
        <rFont val="Arial"/>
        <family val="2"/>
        <charset val="161"/>
      </rPr>
      <t xml:space="preserve"> should be received by us prior to your arrival.
All Payments by either Bank Cheque or Bank Transfer should be FREE of all Banks' Expenses involved to us.</t>
    </r>
  </si>
  <si>
    <r>
      <t xml:space="preserve">All rates </t>
    </r>
    <r>
      <rPr>
        <b/>
        <sz val="9"/>
        <rFont val="Arial"/>
        <family val="2"/>
        <charset val="161"/>
      </rPr>
      <t xml:space="preserve">INCLUDE </t>
    </r>
    <r>
      <rPr>
        <sz val="9"/>
        <rFont val="Arial"/>
        <family val="2"/>
        <charset val="161"/>
      </rPr>
      <t>Federal and Municipal Taxes in Greece.</t>
    </r>
  </si>
  <si>
    <r>
      <t xml:space="preserve">Hotel Facilities: </t>
    </r>
    <r>
      <rPr>
        <sz val="10"/>
        <rFont val="Arial"/>
        <family val="2"/>
        <charset val="161"/>
      </rPr>
      <t>Restaurant, Bar, Snack bar, Swimming pool, TV room, Relaxing living room, Gym, Front Desk 24 hours service, 24hours Room service, twice daily maid service, travel desk , transfers from and to the airport and the port, in-house laundry and ironing, bell boy service, baby sitting service, first aid services</t>
    </r>
    <r>
      <rPr>
        <i/>
        <sz val="10"/>
        <rFont val="Arial"/>
        <family val="2"/>
        <charset val="161"/>
      </rPr>
      <t xml:space="preserve">
Room Facilities: </t>
    </r>
    <r>
      <rPr>
        <sz val="10"/>
        <rFont val="Arial"/>
        <family val="2"/>
        <charset val="161"/>
      </rPr>
      <t xml:space="preserve">A/C, color TV, direct-dial phone, alarm clock, music system, safe deposit box, fast internet access, hair dryer </t>
    </r>
  </si>
  <si>
    <r>
      <t>Hotel Facilities:</t>
    </r>
    <r>
      <rPr>
        <sz val="10"/>
        <rFont val="Arial"/>
        <family val="2"/>
        <charset val="161"/>
      </rPr>
      <t xml:space="preserve"> Swimming Pool &amp; Jacuzzi, Free Wi-Fi Internet Access, Internet Corner (at a cost), Bar &amp; Snack Bar, Breakfast Hall &amp; Restaurant, Tour Desk, Reception Lounge with Satellite TV, Bus Station, Private &amp; Safe Parking, Safe Deposite Box</t>
    </r>
    <r>
      <rPr>
        <i/>
        <sz val="10"/>
        <rFont val="Arial"/>
        <family val="2"/>
        <charset val="161"/>
      </rPr>
      <t xml:space="preserve">
Room Facilities: </t>
    </r>
    <r>
      <rPr>
        <sz val="10"/>
        <rFont val="Arial"/>
        <family val="2"/>
        <charset val="161"/>
      </rPr>
      <t>TV, Telephone, Radio, Refrigerator, Air Conditioning, Hair Dryer, Safe Deposit Box, Bathroom with Shower, Private Balcony</t>
    </r>
  </si>
  <si>
    <r>
      <t>Hotel Facilities:</t>
    </r>
    <r>
      <rPr>
        <sz val="10"/>
        <rFont val="Arial"/>
        <family val="2"/>
        <charset val="161"/>
      </rPr>
      <t xml:space="preserve"> Air-Condition in common areas, Children’s Playground, Children’s Pool, Diving, Jacuzzi, Parking, Pool Bar, Restaurant, Room Service,
Swimming Pool, Twice daily Maid service, Water Sports
</t>
    </r>
    <r>
      <rPr>
        <i/>
        <sz val="10"/>
        <rFont val="Arial"/>
        <family val="2"/>
        <charset val="161"/>
      </rPr>
      <t xml:space="preserve">Room Facilities: </t>
    </r>
    <r>
      <rPr>
        <sz val="10"/>
        <rFont val="Arial"/>
        <family val="2"/>
        <charset val="161"/>
      </rPr>
      <t>Direct-dial phone, Hairdryer, Mini Bar, Safe Box, Satellite TV</t>
    </r>
  </si>
  <si>
    <r>
      <t xml:space="preserve">Hotel Facilities: </t>
    </r>
    <r>
      <rPr>
        <sz val="10"/>
        <rFont val="Arial"/>
        <family val="2"/>
        <charset val="161"/>
      </rPr>
      <t>Outdoor Seawater Swimming Pool, Children's Pool, Outdoor Jacuzzi, Pool Area with Sunbeds, Poolside Bar, Fully equiped Gym, Breakfast Room with Breakfast buffet, Internet Corner, Elevator</t>
    </r>
    <r>
      <rPr>
        <i/>
        <sz val="10"/>
        <rFont val="Arial"/>
        <family val="2"/>
        <charset val="161"/>
      </rPr>
      <t xml:space="preserve">
Room Facilities: S</t>
    </r>
    <r>
      <rPr>
        <sz val="10"/>
        <rFont val="Arial"/>
        <family val="2"/>
        <charset val="161"/>
      </rPr>
      <t>atellite TV, Safe, Internet access, Hairdryer, Fridge</t>
    </r>
  </si>
  <si>
    <t>20/09-02/10</t>
  </si>
  <si>
    <t>01/06-03/07</t>
  </si>
  <si>
    <t>05/09-18/09</t>
  </si>
  <si>
    <t>31/05-20/06</t>
  </si>
  <si>
    <t>01/05-29/05</t>
  </si>
  <si>
    <t>30/05-14/09</t>
  </si>
  <si>
    <t>21/05-30/06</t>
  </si>
  <si>
    <t>29/05-18/06</t>
  </si>
  <si>
    <t>15/04-02/06</t>
  </si>
  <si>
    <t>03/06-04/07</t>
  </si>
  <si>
    <t>30/08--28/09</t>
  </si>
  <si>
    <t>05/07-29/08</t>
  </si>
  <si>
    <t>14/10-31/10</t>
  </si>
  <si>
    <t>21/06-20/07</t>
  </si>
  <si>
    <t>Ixian Grand Sentido</t>
  </si>
  <si>
    <t>23/04-20/05</t>
  </si>
  <si>
    <t>01/10-25/10</t>
  </si>
  <si>
    <t>26/07-25/08</t>
  </si>
  <si>
    <t>21/09-04/10</t>
  </si>
  <si>
    <t>27/07-23/08</t>
  </si>
  <si>
    <t>01/04-12/04</t>
  </si>
  <si>
    <t>16/04-20/05</t>
  </si>
  <si>
    <t>01/03-31/10</t>
  </si>
  <si>
    <t>25/09-08/10</t>
  </si>
  <si>
    <t>21/08-24/09</t>
  </si>
  <si>
    <t>10/07-20/08</t>
  </si>
  <si>
    <t>11/10-30/10</t>
  </si>
  <si>
    <t>16/06-27/07</t>
  </si>
  <si>
    <t>28/07-25/08</t>
  </si>
  <si>
    <t>16/07-30/09</t>
  </si>
  <si>
    <t>24/05-20/06</t>
  </si>
  <si>
    <t>08/09-21/09</t>
  </si>
  <si>
    <t>08/06-30/06</t>
  </si>
  <si>
    <t>20/07-23/08</t>
  </si>
  <si>
    <t>16/06-06/07</t>
  </si>
  <si>
    <t>01/10 - 15/10</t>
  </si>
  <si>
    <t>21/08-09/09</t>
  </si>
  <si>
    <t>25/07-24/08</t>
  </si>
  <si>
    <t>26/04-30/05</t>
  </si>
  <si>
    <t>13/09-12/10</t>
  </si>
  <si>
    <t>30/08-12/09</t>
  </si>
  <si>
    <t>21/06-04/07</t>
  </si>
  <si>
    <t>05/07-27/07</t>
  </si>
  <si>
    <t>28/07-29/08</t>
  </si>
  <si>
    <t>01/04-15/04</t>
  </si>
  <si>
    <t>06/10-15/10</t>
  </si>
  <si>
    <r>
      <t xml:space="preserve">Hotel Facilities: </t>
    </r>
    <r>
      <rPr>
        <sz val="10"/>
        <rFont val="Arial"/>
        <family val="2"/>
        <charset val="161"/>
      </rPr>
      <t>Air-Condition, Bar, Central Heating, Restaurant, Roof Garden, Room Service</t>
    </r>
    <r>
      <rPr>
        <i/>
        <sz val="10"/>
        <rFont val="Arial"/>
        <family val="2"/>
        <charset val="161"/>
      </rPr>
      <t xml:space="preserve">
Room Facilities: </t>
    </r>
    <r>
      <rPr>
        <sz val="10"/>
        <rFont val="Arial"/>
        <family val="2"/>
        <charset val="161"/>
      </rPr>
      <t>Direct-dial phone, Mini Bar, TV</t>
    </r>
  </si>
  <si>
    <r>
      <t xml:space="preserve">Hotel Facilities: </t>
    </r>
    <r>
      <rPr>
        <sz val="10"/>
        <rFont val="Arial"/>
        <family val="2"/>
        <charset val="161"/>
      </rPr>
      <t>Air-Condition, Bar, Restaurant, Room Services, Cafeteria, Laundry services</t>
    </r>
    <r>
      <rPr>
        <i/>
        <sz val="10"/>
        <rFont val="Arial"/>
        <family val="2"/>
        <charset val="161"/>
      </rPr>
      <t xml:space="preserve">
Room Facilities: </t>
    </r>
    <r>
      <rPr>
        <sz val="10"/>
        <rFont val="Arial"/>
        <family val="2"/>
        <charset val="161"/>
      </rPr>
      <t>Direct-dial phone, Mini Bar, TV, Wi-Fi internet, Hairdryer, Safe</t>
    </r>
  </si>
  <si>
    <r>
      <t xml:space="preserve">Hotel Facilities: </t>
    </r>
    <r>
      <rPr>
        <sz val="10"/>
        <rFont val="Arial"/>
        <family val="2"/>
        <charset val="161"/>
      </rPr>
      <t>Baby Sitting, Bar, Laundry Service, Meeting &amp; Banquet Facilities, Parking, Restaurant, Roof Garden, Room Service, Safe Deposit Boxes, Secretarial Service, Whirlpool</t>
    </r>
    <r>
      <rPr>
        <i/>
        <sz val="10"/>
        <rFont val="Arial"/>
        <family val="2"/>
        <charset val="161"/>
      </rPr>
      <t xml:space="preserve">
Room Facilities: </t>
    </r>
    <r>
      <rPr>
        <sz val="10"/>
        <rFont val="Arial"/>
        <family val="2"/>
        <charset val="161"/>
      </rPr>
      <t>Air-condition, Central Heating, Mini Bar, TV</t>
    </r>
  </si>
  <si>
    <r>
      <t xml:space="preserve">Hotel Facilities: </t>
    </r>
    <r>
      <rPr>
        <sz val="10"/>
        <rFont val="Arial"/>
        <family val="2"/>
        <charset val="161"/>
      </rPr>
      <t>Air-Condition, Bar, Central Heating, Restaurant</t>
    </r>
    <r>
      <rPr>
        <i/>
        <sz val="10"/>
        <rFont val="Arial"/>
        <family val="2"/>
        <charset val="161"/>
      </rPr>
      <t xml:space="preserve">
Room Facilities: </t>
    </r>
    <r>
      <rPr>
        <sz val="10"/>
        <rFont val="Arial"/>
        <family val="2"/>
        <charset val="161"/>
      </rPr>
      <t>3-Channel Music, Direct-dial phone, Hairdryer, Mini Bar, TV</t>
    </r>
  </si>
  <si>
    <r>
      <t>Hotel Facilities:</t>
    </r>
    <r>
      <rPr>
        <sz val="10"/>
        <rFont val="Arial"/>
        <family val="2"/>
        <charset val="161"/>
      </rPr>
      <t xml:space="preserve"> A/C throughout, Baby Sitting, Central Heating, Cocktail Lounge, Conference Room, Correspondence Room, Disco Club, Gift Shop, Restaurant, Roof-top Swimming Pool, Room Service, Sauna, Secretarial Service, Sun terrace</t>
    </r>
    <r>
      <rPr>
        <i/>
        <sz val="10"/>
        <rFont val="Arial"/>
        <family val="2"/>
        <charset val="161"/>
      </rPr>
      <t xml:space="preserve">
Room Facilities: </t>
    </r>
    <r>
      <rPr>
        <sz val="10"/>
        <rFont val="Arial"/>
        <family val="2"/>
        <charset val="161"/>
      </rPr>
      <t>Direct-dial phone, Sound-proof Double Glazing, TV, Veranda</t>
    </r>
  </si>
  <si>
    <r>
      <t xml:space="preserve">Hotel Facilities: </t>
    </r>
    <r>
      <rPr>
        <sz val="10"/>
        <rFont val="Arial"/>
        <family val="2"/>
        <charset val="161"/>
      </rPr>
      <t>Air-Condition, Bar, Central Heating, Cocktail Lounge, Conference /Banquet Facilities, Double Glazing, Parking, Pool Bar, Restaurant, Room, Service, Secretarial Service, Swimming Pool</t>
    </r>
    <r>
      <rPr>
        <i/>
        <sz val="10"/>
        <rFont val="Arial"/>
        <family val="2"/>
        <charset val="161"/>
      </rPr>
      <t xml:space="preserve">
Room Facilities:</t>
    </r>
    <r>
      <rPr>
        <sz val="10"/>
        <rFont val="Arial"/>
        <family val="2"/>
        <charset val="161"/>
      </rPr>
      <t xml:space="preserve"> 3-Channel Music, Balcony, Direct-dial phone, Fridge upon request, TV</t>
    </r>
  </si>
  <si>
    <r>
      <t xml:space="preserve">Hotel Facilities: </t>
    </r>
    <r>
      <rPr>
        <sz val="10"/>
        <rFont val="Arial"/>
        <family val="2"/>
        <charset val="161"/>
      </rPr>
      <t>A/C throughout, Bar, Central Heating, Coffee Shop, Conference /Banquet Facilities, Parking, Restaurant, Room Service, Tavern</t>
    </r>
    <r>
      <rPr>
        <i/>
        <sz val="10"/>
        <rFont val="Arial"/>
        <family val="2"/>
        <charset val="161"/>
      </rPr>
      <t xml:space="preserve">
Room Facilities: </t>
    </r>
    <r>
      <rPr>
        <sz val="10"/>
        <rFont val="Arial"/>
        <family val="2"/>
        <charset val="161"/>
      </rPr>
      <t>Direct-dial phone, Mini Bar, Sound-proof Double Glazing, TV</t>
    </r>
  </si>
  <si>
    <r>
      <t xml:space="preserve">Hotel Facilities: </t>
    </r>
    <r>
      <rPr>
        <sz val="10"/>
        <rFont val="Arial"/>
        <family val="2"/>
        <charset val="161"/>
      </rPr>
      <t>A/C throughout, Bar, Central Heating, Conference Facilities, Gift Shop, Laundry &amp; Valet service, Restaurant, Roof Garden w/ Acropolis View,Safe Box</t>
    </r>
    <r>
      <rPr>
        <i/>
        <sz val="10"/>
        <rFont val="Arial"/>
        <family val="2"/>
        <charset val="161"/>
      </rPr>
      <t xml:space="preserve">
Room Facilities: </t>
    </r>
    <r>
      <rPr>
        <sz val="10"/>
        <rFont val="Arial"/>
        <family val="2"/>
        <charset val="161"/>
      </rPr>
      <t>Direct-dial phone, Mini Bar, Satellite Color TV</t>
    </r>
  </si>
  <si>
    <r>
      <t xml:space="preserve">Hotel Facilities: </t>
    </r>
    <r>
      <rPr>
        <sz val="10"/>
        <rFont val="Arial"/>
        <family val="2"/>
        <charset val="161"/>
      </rPr>
      <t>A/C throughout, Bar, Central Heating, Roof Garden Restaurant, Room Services, Laundry Services</t>
    </r>
    <r>
      <rPr>
        <i/>
        <sz val="10"/>
        <rFont val="Arial"/>
        <family val="2"/>
        <charset val="161"/>
      </rPr>
      <t xml:space="preserve">
Room Facilities: </t>
    </r>
    <r>
      <rPr>
        <sz val="10"/>
        <rFont val="Arial"/>
        <family val="2"/>
        <charset val="161"/>
      </rPr>
      <t>Direct-dial phone, Internet access, Mini Bar, Safe, Data port, Hairdryer</t>
    </r>
  </si>
  <si>
    <r>
      <t xml:space="preserve">Hotel Facilities: </t>
    </r>
    <r>
      <rPr>
        <sz val="10"/>
        <rFont val="Arial"/>
        <family val="2"/>
        <charset val="161"/>
      </rPr>
      <t>Bar, Conference Room, Fully Airconditioned, Parking, Restaurant, Room Service</t>
    </r>
    <r>
      <rPr>
        <i/>
        <sz val="10"/>
        <rFont val="Arial"/>
        <family val="2"/>
        <charset val="161"/>
      </rPr>
      <t xml:space="preserve">
Room Facilities:</t>
    </r>
    <r>
      <rPr>
        <sz val="10"/>
        <rFont val="Arial"/>
        <family val="2"/>
        <charset val="161"/>
      </rPr>
      <t xml:space="preserve"> Direct-dial phone, TV</t>
    </r>
  </si>
  <si>
    <r>
      <t xml:space="preserve">Hotel Facilities: </t>
    </r>
    <r>
      <rPr>
        <sz val="10"/>
        <rFont val="Arial"/>
        <family val="2"/>
        <charset val="161"/>
      </rPr>
      <t>A/C throughout, Bar, Central Heating, Convention Facilities, Restaurant, Room Service</t>
    </r>
    <r>
      <rPr>
        <i/>
        <sz val="10"/>
        <rFont val="Arial"/>
        <family val="2"/>
        <charset val="161"/>
      </rPr>
      <t xml:space="preserve">
Room Facilities: </t>
    </r>
    <r>
      <rPr>
        <sz val="10"/>
        <rFont val="Arial"/>
        <family val="2"/>
        <charset val="161"/>
      </rPr>
      <t>3-Channel Music</t>
    </r>
  </si>
  <si>
    <r>
      <t xml:space="preserve">Hotel Facilities: </t>
    </r>
    <r>
      <rPr>
        <sz val="10"/>
        <rFont val="Arial"/>
        <family val="2"/>
        <charset val="161"/>
      </rPr>
      <t>Mini bar, Room service 18 hours, Non-smoking rooms, Internet access in all rooms, Doctor on call, Car rental services, Luggage Storage Room, Wireless internet access in all, meeting rooms</t>
    </r>
    <r>
      <rPr>
        <i/>
        <sz val="10"/>
        <rFont val="Arial"/>
        <family val="2"/>
        <charset val="161"/>
      </rPr>
      <t xml:space="preserve">
Room Facilities: </t>
    </r>
    <r>
      <rPr>
        <sz val="10"/>
        <rFont val="Arial"/>
        <family val="2"/>
        <charset val="161"/>
      </rPr>
      <t>Satelite TV, Radio, Mini bar, Hairdryer, Wake up call, Room and laundry service</t>
    </r>
  </si>
  <si>
    <r>
      <t>Hotel Facilities:</t>
    </r>
    <r>
      <rPr>
        <sz val="10"/>
        <rFont val="Arial"/>
        <family val="2"/>
        <charset val="161"/>
      </rPr>
      <t xml:space="preserve"> Air-Condition, Bars, Central Heating, Parking, Restaurant, Roof Garden, Swimming Pool, Tavern</t>
    </r>
    <r>
      <rPr>
        <i/>
        <sz val="10"/>
        <rFont val="Arial"/>
        <family val="2"/>
        <charset val="161"/>
      </rPr>
      <t xml:space="preserve">
Room Facilities: </t>
    </r>
    <r>
      <rPr>
        <sz val="10"/>
        <rFont val="Arial"/>
        <family val="2"/>
        <charset val="161"/>
      </rPr>
      <t>Air-condition, Color TV, Radio, Telephone</t>
    </r>
  </si>
  <si>
    <r>
      <t xml:space="preserve">Hotel Facilities: </t>
    </r>
    <r>
      <rPr>
        <sz val="10"/>
        <rFont val="Arial"/>
        <family val="2"/>
        <charset val="161"/>
      </rPr>
      <t>Air-Condition in common areas, Bar, Children’s Pool, Conference Hall, Hair Salon, Pool Bar, Restaurant, Safe Deposit Boxes, Sauna, Shops, Swimming Pool, Tennis Court, TV Room</t>
    </r>
    <r>
      <rPr>
        <i/>
        <sz val="10"/>
        <rFont val="Arial"/>
        <family val="2"/>
        <charset val="161"/>
      </rPr>
      <t xml:space="preserve">
Room Facilities: </t>
    </r>
    <r>
      <rPr>
        <sz val="10"/>
        <rFont val="Arial"/>
        <family val="2"/>
        <charset val="161"/>
      </rPr>
      <t>Air-condition, Hairdryer, Music, Telephone</t>
    </r>
  </si>
  <si>
    <r>
      <t>Hotel Facilities: 2</t>
    </r>
    <r>
      <rPr>
        <sz val="10"/>
        <rFont val="Arial"/>
        <family val="2"/>
        <charset val="161"/>
      </rPr>
      <t>0 meeting &amp; function rooms, 4 Swimming Pools, 6 Bars, 6 Restaurants, Aerobics, Bank, Beauty Salon, Disco Club, Executive VIP Wings,
Fitness Centre, Games Rooms, Int’nal Conference Centre, Jacuzzi, Massage, Piano Lounge, Room Service, Sauna, Shopping Arcade, Steam Room, Tennis
Court, Water Sports</t>
    </r>
    <r>
      <rPr>
        <i/>
        <sz val="10"/>
        <rFont val="Arial"/>
        <family val="2"/>
        <charset val="161"/>
      </rPr>
      <t xml:space="preserve">
Room Facilities: </t>
    </r>
    <r>
      <rPr>
        <sz val="10"/>
        <rFont val="Arial"/>
        <family val="2"/>
        <charset val="161"/>
      </rPr>
      <t>Air-condition, Balcony, Direct-dial phone, Satellite TV</t>
    </r>
  </si>
  <si>
    <r>
      <t xml:space="preserve">Hotel Facilities: </t>
    </r>
    <r>
      <rPr>
        <sz val="10"/>
        <rFont val="Arial"/>
        <family val="2"/>
        <charset val="161"/>
      </rPr>
      <t>Air-Condition in common areas, Central Heating, Safe Deposit Boxes, Snack Bar, TV Room</t>
    </r>
    <r>
      <rPr>
        <i/>
        <sz val="10"/>
        <rFont val="Arial"/>
        <family val="2"/>
        <charset val="161"/>
      </rPr>
      <t xml:space="preserve">
Room Facilities: </t>
    </r>
    <r>
      <rPr>
        <sz val="10"/>
        <rFont val="Arial"/>
        <family val="2"/>
        <charset val="161"/>
      </rPr>
      <t>Air-condition, Color TV, Music, Telephone</t>
    </r>
  </si>
  <si>
    <r>
      <t xml:space="preserve">Hotel Facilities: </t>
    </r>
    <r>
      <rPr>
        <sz val="10"/>
        <rFont val="Arial"/>
        <family val="2"/>
        <charset val="161"/>
      </rPr>
      <t>Safe Box, Snack Bar, Swimming Pool</t>
    </r>
    <r>
      <rPr>
        <i/>
        <sz val="10"/>
        <rFont val="Arial"/>
        <family val="2"/>
        <charset val="161"/>
      </rPr>
      <t xml:space="preserve">
Room Facilities: </t>
    </r>
    <r>
      <rPr>
        <sz val="10"/>
        <rFont val="Arial"/>
        <family val="2"/>
        <charset val="161"/>
      </rPr>
      <t>Air-condition, Balcony with View, Fridge, Music, Telephone, TV</t>
    </r>
  </si>
  <si>
    <r>
      <t xml:space="preserve">Hotel Facilities: </t>
    </r>
    <r>
      <rPr>
        <sz val="10"/>
        <rFont val="Arial"/>
        <family val="2"/>
        <charset val="161"/>
      </rPr>
      <t>2 Swimming Pools, Air-Condition in common areas, Bar, Children’s Pool, Jacuzzi, Parking, Pool Bar, Reception, Restaurant, Room Service, Safe Deposit Boxes, TV Room</t>
    </r>
    <r>
      <rPr>
        <i/>
        <sz val="10"/>
        <rFont val="Arial"/>
        <family val="2"/>
        <charset val="161"/>
      </rPr>
      <t xml:space="preserve">
Room Facilities: </t>
    </r>
    <r>
      <rPr>
        <sz val="10"/>
        <rFont val="Arial"/>
        <family val="2"/>
        <charset val="161"/>
      </rPr>
      <t>Air-condition, Direct-dial phone, Fully Equiped Kitchenette, Music, Private Balcony w/Volcano View, Safe Box, Satellite Color TV</t>
    </r>
  </si>
  <si>
    <r>
      <t xml:space="preserve">Hotel Facilities: </t>
    </r>
    <r>
      <rPr>
        <sz val="10"/>
        <rFont val="Arial"/>
        <family val="2"/>
        <charset val="161"/>
      </rPr>
      <t>Cafeteria, Snack Bar</t>
    </r>
    <r>
      <rPr>
        <i/>
        <sz val="10"/>
        <rFont val="Arial"/>
        <family val="2"/>
        <charset val="161"/>
      </rPr>
      <t xml:space="preserve">
Room Facilities: </t>
    </r>
    <r>
      <rPr>
        <sz val="10"/>
        <rFont val="Arial"/>
        <family val="2"/>
        <charset val="161"/>
      </rPr>
      <t>Fridge, Music, Telephone, Ventilator</t>
    </r>
  </si>
  <si>
    <r>
      <t xml:space="preserve">Hotel Facilities: </t>
    </r>
    <r>
      <rPr>
        <sz val="10"/>
        <rFont val="Arial"/>
        <family val="2"/>
        <charset val="161"/>
      </rPr>
      <t>Bar, Parking, Pool Bar, Safe Deposit Boxes, Snack Bar, Swimming Pool, TV Room</t>
    </r>
    <r>
      <rPr>
        <i/>
        <sz val="10"/>
        <rFont val="Arial"/>
        <family val="2"/>
        <charset val="161"/>
      </rPr>
      <t xml:space="preserve">
Room Facilities: </t>
    </r>
    <r>
      <rPr>
        <sz val="10"/>
        <rFont val="Arial"/>
        <family val="2"/>
        <charset val="161"/>
      </rPr>
      <t>Music, Telephone</t>
    </r>
  </si>
  <si>
    <r>
      <t xml:space="preserve">Hotel Facilities: </t>
    </r>
    <r>
      <rPr>
        <sz val="10"/>
        <rFont val="Arial"/>
        <family val="2"/>
        <charset val="161"/>
      </rPr>
      <t>A/C throughout, Bar, Billiards, Children’s Playground, Fitness Centre, Gym, Health Club, Parking, Pool Bar, Restaurant, Room Service, Safe Deposit Boxes, Snack Bar, Swimming Pool, TV Room</t>
    </r>
    <r>
      <rPr>
        <i/>
        <sz val="10"/>
        <rFont val="Arial"/>
        <family val="2"/>
        <charset val="161"/>
      </rPr>
      <t xml:space="preserve">
Room Facilities: </t>
    </r>
    <r>
      <rPr>
        <sz val="10"/>
        <rFont val="Arial"/>
        <family val="2"/>
        <charset val="161"/>
      </rPr>
      <t>Air-condition, Balcony or Terrace, Direct-dial phone, Music, Safe Box, Satellite Color TV</t>
    </r>
  </si>
  <si>
    <t>01/05-30/09</t>
  </si>
  <si>
    <t>Sun Rocks - Apartment</t>
  </si>
  <si>
    <t>Dana Villas - Apartment</t>
  </si>
  <si>
    <t>On The Rocks - Apartment</t>
  </si>
  <si>
    <t>01/06-19/06</t>
  </si>
  <si>
    <t>Aressana</t>
  </si>
  <si>
    <t>Mystique</t>
  </si>
  <si>
    <t>Perivolas - Apartment</t>
  </si>
  <si>
    <t>Chromata - Apartment</t>
  </si>
  <si>
    <t>Ellinon Thea</t>
  </si>
  <si>
    <t>Rocabella Villas - Apartment</t>
  </si>
  <si>
    <t>Volcano’s View - Apartment</t>
  </si>
  <si>
    <r>
      <t xml:space="preserve">Hotel Facilities: </t>
    </r>
    <r>
      <rPr>
        <sz val="10"/>
        <rFont val="Arial"/>
        <family val="2"/>
        <charset val="161"/>
      </rPr>
      <t>Billiards, Gift Shop, Ping Pong, Snack Bar, Swimming Pool</t>
    </r>
    <r>
      <rPr>
        <i/>
        <sz val="10"/>
        <rFont val="Arial"/>
        <family val="2"/>
        <charset val="161"/>
      </rPr>
      <t xml:space="preserve">
Room Facilities: </t>
    </r>
    <r>
      <rPr>
        <sz val="10"/>
        <rFont val="Arial"/>
        <family val="2"/>
        <charset val="161"/>
      </rPr>
      <t>Air-condition, Direct-dial phone, Fridge, Hairdryer, Music, Safe Box, Satellite TV, Sea View</t>
    </r>
  </si>
  <si>
    <r>
      <t>Hotel Facilities:</t>
    </r>
    <r>
      <rPr>
        <sz val="10"/>
        <rFont val="Arial"/>
        <family val="2"/>
        <charset val="161"/>
      </rPr>
      <t xml:space="preserve"> Air-Condition in common areas, Bar, Conference Hall, Mini Market, Parking, Pool Bar, Restaurant, Safe Deposit Boxes, Sea Sports, Shops, Snack Bar, Swimming Pool, Tennis Court, TV Room</t>
    </r>
    <r>
      <rPr>
        <i/>
        <sz val="10"/>
        <rFont val="Arial"/>
        <family val="2"/>
        <charset val="161"/>
      </rPr>
      <t xml:space="preserve">
Room Facilities: </t>
    </r>
    <r>
      <rPr>
        <sz val="10"/>
        <rFont val="Arial"/>
        <family val="2"/>
        <charset val="161"/>
      </rPr>
      <t>Air-condition, Hairdryer, Mini Fridge, Music, Telephone</t>
    </r>
  </si>
  <si>
    <r>
      <t>Hotel Facilities</t>
    </r>
    <r>
      <rPr>
        <sz val="10"/>
        <rFont val="Arial"/>
        <family val="2"/>
        <charset val="161"/>
      </rPr>
      <t xml:space="preserve">: Air-Condition in common areas, Bar, Parking, Safe Deposit Boxes, Shops, Snack Bar, Swimming Pool, TV Room
</t>
    </r>
    <r>
      <rPr>
        <i/>
        <sz val="10"/>
        <rFont val="Arial"/>
        <family val="2"/>
        <charset val="161"/>
      </rPr>
      <t>Room Facilities</t>
    </r>
    <r>
      <rPr>
        <sz val="10"/>
        <rFont val="Arial"/>
        <family val="2"/>
        <charset val="161"/>
      </rPr>
      <t>: Air-condition, Mini Fridge, Music, Telephone</t>
    </r>
  </si>
  <si>
    <r>
      <t>Hotel Facilities: Room Services, Main Bar, Main Restaurant, Central heating, WiFi internet access, Pool bar, Snack bar, Laundry service, , Baby sitting, Children's Pool, Parking
Room Facilities:</t>
    </r>
    <r>
      <rPr>
        <sz val="10"/>
        <rFont val="Arial"/>
        <family val="2"/>
        <charset val="161"/>
      </rPr>
      <t xml:space="preserve"> Mini bar, interactive TV, Direct dial phone, Hairdryer, garden view</t>
    </r>
  </si>
  <si>
    <r>
      <t xml:space="preserve">Hotel Facilities: </t>
    </r>
    <r>
      <rPr>
        <sz val="10"/>
        <rFont val="Arial"/>
        <family val="2"/>
        <charset val="161"/>
      </rPr>
      <t>Laundry Service, Pool Bar, Safe Box, Swimming Pool, TV Room</t>
    </r>
    <r>
      <rPr>
        <i/>
        <sz val="10"/>
        <rFont val="Arial"/>
        <family val="2"/>
        <charset val="161"/>
      </rPr>
      <t xml:space="preserve">
Room Facilities: </t>
    </r>
    <r>
      <rPr>
        <sz val="10"/>
        <rFont val="Arial"/>
        <family val="2"/>
        <charset val="161"/>
      </rPr>
      <t>Air-condition, Balcony or Terrace w/ Sea View, Music, Telephone</t>
    </r>
  </si>
  <si>
    <r>
      <t>Hotel Facilities: Room Services, Bar, Restaurant, Internet access, Outdoor Swimming pool, Children's pool &amp; playground, Garden
Room Facilities:</t>
    </r>
    <r>
      <rPr>
        <sz val="10"/>
        <rFont val="Arial"/>
        <family val="2"/>
        <charset val="161"/>
      </rPr>
      <t xml:space="preserve"> A/C, Satellite TV, Direct dial phone, Bath or Shower </t>
    </r>
  </si>
  <si>
    <r>
      <t xml:space="preserve">Hotel Facilities: </t>
    </r>
    <r>
      <rPr>
        <sz val="10"/>
        <rFont val="Arial"/>
        <family val="2"/>
        <charset val="161"/>
      </rPr>
      <t>Baby Sitting, Hairdresser, Laundry Service, Main Bar, Room Service, Safe Box, Swimming Pool, TV Room, Twice daily Maid service</t>
    </r>
    <r>
      <rPr>
        <i/>
        <sz val="10"/>
        <rFont val="Arial"/>
        <family val="2"/>
        <charset val="161"/>
      </rPr>
      <t xml:space="preserve">
Room Facilities: </t>
    </r>
    <r>
      <rPr>
        <sz val="10"/>
        <rFont val="Arial"/>
        <family val="2"/>
        <charset val="161"/>
      </rPr>
      <t>Air-condition, Balcony or Terrace, Direct-dial phone, Mini Bar, Music, Satellite TV</t>
    </r>
  </si>
  <si>
    <r>
      <t xml:space="preserve">Hotel Facilities: </t>
    </r>
    <r>
      <rPr>
        <sz val="10"/>
        <rFont val="Arial"/>
        <family val="2"/>
        <charset val="161"/>
      </rPr>
      <t>Air-Condition, Parking, Pool Bar, Safe Deposit Boxes, Snack Bar, Swimming Pool, TV Room</t>
    </r>
    <r>
      <rPr>
        <i/>
        <sz val="10"/>
        <rFont val="Arial"/>
        <family val="2"/>
        <charset val="161"/>
      </rPr>
      <t xml:space="preserve">
Room Facilities: </t>
    </r>
    <r>
      <rPr>
        <sz val="10"/>
        <rFont val="Arial"/>
        <family val="2"/>
        <charset val="161"/>
      </rPr>
      <t>Air-condition, Hairdryer, Kitchenette, Music, Satellite Color TV, Telephone</t>
    </r>
  </si>
  <si>
    <r>
      <t>Hotel Facilities:</t>
    </r>
    <r>
      <rPr>
        <sz val="10"/>
        <rFont val="Arial"/>
        <family val="2"/>
        <charset val="161"/>
      </rPr>
      <t xml:space="preserve"> 24 hour front desk, air conditioning, lounge bar, a la carte &amp; gourmet restaurants,  Three swimming pools all with jacuzzi, pool bar, sauna, fitness centre, games room, massage, Jacuzzi, Hammam, Spa, children’s playground, wireless internet, conference room, non-smoking rooms, meeting facilities, terrace, garden, parking</t>
    </r>
    <r>
      <rPr>
        <i/>
        <sz val="10"/>
        <rFont val="Arial"/>
        <family val="2"/>
        <charset val="161"/>
      </rPr>
      <t xml:space="preserve">
Room Facilities: air conditioning, Jacuzzi bathtub, mini bar, satellite plasma TV, safe box, wireless internet connection, Hi-Fi with CD collection, DVD home cinema, hair dryer, sound proof windows and doors</t>
    </r>
  </si>
  <si>
    <r>
      <t xml:space="preserve">Hotel Facilities: </t>
    </r>
    <r>
      <rPr>
        <sz val="10"/>
        <rFont val="Arial"/>
        <family val="2"/>
        <charset val="161"/>
      </rPr>
      <t>A/C throughout, Children’s Playground, Children’s Pool, Conference Room, Fitness Club, Jacuzzi, Main Bar, Main Restaurant, Parking, Pool Snack Bar, Restaurant a La Carte, Sauna, Swim. Pool w/Underwater Music, Table Tennis, Tavern, Tennis Court, TV Room, Volley</t>
    </r>
    <r>
      <rPr>
        <i/>
        <sz val="10"/>
        <rFont val="Arial"/>
        <family val="2"/>
        <charset val="161"/>
      </rPr>
      <t xml:space="preserve">
Room Facilities: </t>
    </r>
    <r>
      <rPr>
        <sz val="10"/>
        <rFont val="Arial"/>
        <family val="2"/>
        <charset val="161"/>
      </rPr>
      <t>Balcony/Terrace w.Garden/Sea V, Direct-dial phone, Fridge, Hairdryer, Mini Bar, Radio, Safe Box, Satellite TV</t>
    </r>
  </si>
  <si>
    <r>
      <t xml:space="preserve">Hotel Facilities: </t>
    </r>
    <r>
      <rPr>
        <sz val="10"/>
        <rFont val="Arial"/>
        <family val="2"/>
        <charset val="161"/>
      </rPr>
      <t>Bar, Laundry Service, Parking, Pool Bar, Snack Bar, Swimming Pool, TV Lounge</t>
    </r>
    <r>
      <rPr>
        <i/>
        <sz val="10"/>
        <rFont val="Arial"/>
        <family val="2"/>
        <charset val="161"/>
      </rPr>
      <t xml:space="preserve">
Room Facilities: </t>
    </r>
    <r>
      <rPr>
        <sz val="10"/>
        <rFont val="Arial"/>
        <family val="2"/>
        <charset val="161"/>
      </rPr>
      <t>Direct-dial phone, Hairdryer, Kitchenette, Safe Box, Terrace</t>
    </r>
  </si>
  <si>
    <t>Kos, Psalidi</t>
  </si>
  <si>
    <t xml:space="preserve">Standard Room </t>
  </si>
  <si>
    <t>Hotel Facilities: A/C, Central Heating, Lounge, Fireplace
Room Facilities: TV, Bath, Hairdryer, Balcony</t>
  </si>
  <si>
    <r>
      <t xml:space="preserve">Hotel Facilities: </t>
    </r>
    <r>
      <rPr>
        <sz val="10"/>
        <rFont val="Arial"/>
        <family val="2"/>
        <charset val="161"/>
      </rPr>
      <t>Bar, Central Heating, Children’s Pool, Parking, Restaurant, Room Service, Safe Box, Swimming Pool</t>
    </r>
    <r>
      <rPr>
        <i/>
        <sz val="10"/>
        <rFont val="Arial"/>
        <family val="2"/>
        <charset val="161"/>
      </rPr>
      <t xml:space="preserve">
Room Facilities: </t>
    </r>
    <r>
      <rPr>
        <sz val="10"/>
        <rFont val="Arial"/>
        <family val="2"/>
        <charset val="161"/>
      </rPr>
      <t>Air-condition, Balcony or Terrace, Direct-dial phone, Music, Radio, Satellite Color TV, Telephone</t>
    </r>
  </si>
  <si>
    <t>Aquis Corfu Holidays Palace</t>
  </si>
  <si>
    <t>Nissaki Beach</t>
  </si>
  <si>
    <r>
      <t xml:space="preserve">Hotel Facilities: </t>
    </r>
    <r>
      <rPr>
        <sz val="10"/>
        <rFont val="Arial"/>
        <family val="2"/>
        <charset val="161"/>
      </rPr>
      <t>2 Conference Centers, 2 Shopping Arcades, 3 Tennis courts, 4 Outdoor Swimming Pools, Animation Team, Beach Bar, Billiards, Bridge Room, Children’s Playground, Children’s Pool, Fish Restaurant, Fitness Club, Hairdresser, Indoor Heated Pool, Main Bar, Main Restaurant, Mini Golf, Night Club, Open Air Amphitheatrer, Ouzeri, Physiotherapy, Sauna, Scuba Diving, Self-service Restaurant, Squash Court, Tavern, Tennis School, Video Room, Water Sports, Wine Bar</t>
    </r>
    <r>
      <rPr>
        <i/>
        <sz val="10"/>
        <rFont val="Arial"/>
        <family val="2"/>
        <charset val="161"/>
      </rPr>
      <t xml:space="preserve">
Room Facilities: </t>
    </r>
    <r>
      <rPr>
        <sz val="10"/>
        <rFont val="Arial"/>
        <family val="2"/>
        <charset val="161"/>
      </rPr>
      <t>Air-condition, Direct-dial phone, Fridge, Hairdryer, Safe Box, Satellite TV</t>
    </r>
  </si>
  <si>
    <r>
      <t xml:space="preserve">Hotel Facilities: </t>
    </r>
    <r>
      <rPr>
        <sz val="10"/>
        <rFont val="Arial"/>
        <family val="2"/>
        <charset val="161"/>
      </rPr>
      <t>2 Children’s Pool, 2 Poolside Bars, 4 Swimming Pools, 4 Tennis Courts, Aerobics, Archery, Beach Snack Bar, Billiards, Children’s Fantasy
Land, Coffee &amp; Pastry Shop, Diet Restaurant, Gourmet Restaurant, Hairdresser, Hammam, Indoor Heated Pool, Kiosk, Mini Golf, Mini Market, Night Club,
Outdoor Exercise Ground, Restaurant, Room Service, Sauna, Self-service Restaurant, Shopping Arcade, Squash Court, Table Tennis, Tavern A La Carte,
Tennis Club &amp; Bar, Tennis School, Terrace Bar, Volley, Water Polo, Water Sports Centre, Wine Bar</t>
    </r>
    <r>
      <rPr>
        <i/>
        <sz val="10"/>
        <rFont val="Arial"/>
        <family val="2"/>
        <charset val="161"/>
      </rPr>
      <t xml:space="preserve">
Room Facilities: </t>
    </r>
    <r>
      <rPr>
        <sz val="10"/>
        <rFont val="Arial"/>
        <family val="2"/>
        <charset val="161"/>
      </rPr>
      <t>Air-condition, Fridge, Furnished Balcony Or Radio, Hairdryer, Marble Bath, Safe Box, Satellite TV, Telephone</t>
    </r>
  </si>
  <si>
    <r>
      <t xml:space="preserve">Hotel Facilities: </t>
    </r>
    <r>
      <rPr>
        <sz val="10"/>
        <rFont val="Arial"/>
        <family val="2"/>
        <charset val="161"/>
      </rPr>
      <t>Air-Condition, 3 Bars, Jewelry, Main Restaurant, 24h Room Service, Sauna, Indoor heated Swimming Pool, Childrens pool &amp; kids club, Baby sitting</t>
    </r>
    <r>
      <rPr>
        <i/>
        <sz val="10"/>
        <rFont val="Arial"/>
        <family val="2"/>
        <charset val="161"/>
      </rPr>
      <t xml:space="preserve">
Room Facilities:</t>
    </r>
    <r>
      <rPr>
        <sz val="10"/>
        <rFont val="Arial"/>
        <family val="2"/>
        <charset val="161"/>
      </rPr>
      <t xml:space="preserve"> Direct-dial phone, Mini Bar, Safe, Satellite TV, A/C</t>
    </r>
  </si>
  <si>
    <t>Novus</t>
  </si>
  <si>
    <t>23 Karolou str., Karaiskaki Square, Athens</t>
  </si>
  <si>
    <t>56 Premium Rooms, 5 Deluxe, 22 22 Executive king size Rooms, 1 Junior Suite, 1 Executive Suite</t>
  </si>
  <si>
    <t>Hotel Facilities: 24-hour reception &amp; concierge service, Free WiFi in all areas, Porter service &amp; luggage storage, Safe private parking, Rooftop swimming pool and terrace, Babysitting service
Room Facilities: Smoking &amp; non-smoking floors available, Satellite 22’’ LCD TV, Free WiFi, Direct phone line, 18hour room service, A/C, Mini fridge, Safe deposit box.</t>
  </si>
  <si>
    <t xml:space="preserve"> Standard Rooms</t>
  </si>
  <si>
    <t>Afrodite</t>
  </si>
  <si>
    <t>Hotel Facilities: Pool, Pool Bar, Garden, Sitting room, A/C, Satellite TV, internet, Breakfast,  Bar, Parking, Reception, Credit cards, Wake-up call, Pets Allowed
Room Facilities:  Balcony, A/C,  Telephone, Satellite TV,  Music, Wi-Fi Internet, Safe, WC, Shower, Hairdryer, Fridge, Baby Cot</t>
  </si>
  <si>
    <t xml:space="preserve"> 30 Standard Rooms, 8 suites </t>
  </si>
  <si>
    <t>10km away from Skopelos Town</t>
  </si>
  <si>
    <t>Panormos beach - Skopelos</t>
  </si>
  <si>
    <t>Prince Stafilos</t>
  </si>
  <si>
    <t>90 meters from the sea and 300 meters from the port</t>
  </si>
  <si>
    <t>Hotel Facilities: 
Room Facilities: A/C, Bathroom, Mini Bar, Music Channels, Telephone, TV-Standard Network, 24 Hour Housekeeping</t>
  </si>
  <si>
    <t>Apollonion Palace</t>
  </si>
  <si>
    <t>Syrou Melathron</t>
  </si>
  <si>
    <t>Hermes</t>
  </si>
  <si>
    <t>Kanari square, Hermoupolis, Syros Island</t>
  </si>
  <si>
    <t xml:space="preserve">Hotel Facilities: WiFi , Room service, Bar &amp; restaurant, Elevator, Breakfast buffet, Parking, Safe deposit boxes in the reception area
Room Facilities: A/C, WiFi Internet, Telephone, Veranda or Balcony, Led Tv, Bathtub or shower, 
Hair dryer 
</t>
  </si>
  <si>
    <t>12 Apollonos street, Hermoupolis, Syros</t>
  </si>
  <si>
    <t>Babagiotou 5, Vaporia, Hermoupolis</t>
  </si>
  <si>
    <t>Hotel Facilities: 24-hour Room Service, Breakfast, Café-Bar, Roof Garden, Laundry, Dry-cleaning service
Room Facilities:  Private bathroom with bathtub or shower, Mini bar, LCD TV, A/C, Safe, Direct telephone line, Internet</t>
  </si>
  <si>
    <t>LAGANAS, ZAKYNTHOS</t>
  </si>
  <si>
    <t>Standard Rooms</t>
  </si>
  <si>
    <t>Elea Beach</t>
  </si>
  <si>
    <t>Dassia Corfu Greece</t>
  </si>
  <si>
    <t>Hotel Facilities: Sea-water pool, Children's pool, Lobby &amp; Pool bar, Gym, Spa, Playground, Parking
Room Facilities: Free Wi-Fi, A/C, Room safe, flat -screen TV, Pet friendly, Hairdryer</t>
  </si>
  <si>
    <t>Splendour</t>
  </si>
  <si>
    <t>Firostefani just 10 minutes walk from the centre of Santorini, the village of Fira</t>
  </si>
  <si>
    <t>Firostefani, Santorini</t>
  </si>
  <si>
    <t xml:space="preserve">Hotel Facilities: Outdoor Swimming. Pool, Bar, 24Hour Front Desk, Garden
Room Facilities: Room Service, Laundry, A/C, Wi-Fi Internet </t>
  </si>
  <si>
    <t>Arty Grand</t>
  </si>
  <si>
    <t xml:space="preserve">Drouva, Ancient Olympia </t>
  </si>
  <si>
    <t>55 Standard Rooms, 6 Suites</t>
  </si>
  <si>
    <t>Hotel Facilities: Spa, bar, restaurant, exterior swimming-pool with bar
Room Facilities: A/C, Direct dial telephone with Voice Mail, Electronic Locks, 32'' Flat Screen TV, DVD player, jacuzzi Bathtubs, Make-up Mirror &amp; Hairdyer, Mini-Bar, Treasure box, Balcony or Terrace, Wi-Fi</t>
  </si>
  <si>
    <t>Aktaion Resort</t>
  </si>
  <si>
    <t xml:space="preserve">Selinitsa Beach, Gythio, Lakonia, Greece </t>
  </si>
  <si>
    <t>Hotel Facilities: Internet, Television room, Pool Bar, Restaurant, Children's Pool, Garden, Parking, Outdoor pool, Room service
Room Facilities: A/C, Safe, Hairdryer, Toilet, Bathroom with shower, Satellite TV, Balcony, Free Wifi</t>
  </si>
  <si>
    <t>Akti Taygetos</t>
  </si>
  <si>
    <t>Mikri Mantinia, Kalamata</t>
  </si>
  <si>
    <t>Mikri Mantinia</t>
  </si>
  <si>
    <t>Hotel Facilities: Large pool, Jacuzzi, Cocktail bar, Snack bar, Music, Board games, Pool area service, Parking
Room Facilities: A/C, Colour satellite TV, Wireless Internet access, Mini-bar, Safe, Hair dryer,  Direct telephone lines, Room service, Dry cleaning service (on request), Baby-sitting service (on request)</t>
  </si>
  <si>
    <t>Rocabella</t>
  </si>
  <si>
    <t>300 meters from the beautiful beach of Agios Stefanos</t>
  </si>
  <si>
    <t>4 Superior, 5 Deluxe, The 5 honeymoon suites</t>
  </si>
  <si>
    <t xml:space="preserve">Hotel Facilities: A/C, Wake up call service, Welcome Drink, Room Service, Free WI-Fi access, Free roundtrip transfers 
Room Facilities: A/C, Bathroom with Shower, Satellite TV, CD/DVD Player, Direct dial telephone, Hairdryer, Internet Access
</t>
  </si>
  <si>
    <t xml:space="preserve">Elena </t>
  </si>
  <si>
    <t>Rohari, Mykonos</t>
  </si>
  <si>
    <t>Hotel Facilities: 24 hour front desk, Business Center, Dry cleaning service, Laundry, Lounge/Bar
Room Facilities: A/C, Internet, Hair Dryer, DVD Player, Safe, Room Service, Refrigerator</t>
  </si>
  <si>
    <t>Naxos Island</t>
  </si>
  <si>
    <t>Agios Prokopios, Naxos</t>
  </si>
  <si>
    <t xml:space="preserve">Agios Prokopios </t>
  </si>
  <si>
    <t>Hotel Facilities: Gym, two spa, beauty treatments, Massage rooms, Restaurant, Roof swimming pool, Roof  bar restaurant, Hairdresser salon, Parking, 24 hours reception service
Room Facilities: A/C, Minibar. Wireless phone, Hairdryer, Radio, Bathroom with bathtub</t>
  </si>
  <si>
    <t>Al Mare</t>
  </si>
  <si>
    <t>Hotel Facilities: Beach / water sports, Wind surfing, Loungers &amp; umbrellas,  Beach restaurants, Beach clubs, Mini markets,  Car rentals
Room Facilities: Air conditioning , TV, Kitchenette (in Studios), Hair Dryer, Free internet wireless access, Balcony / Veranda</t>
  </si>
  <si>
    <t>Saint George Beach, Naxos Town</t>
  </si>
  <si>
    <t xml:space="preserve">Emerald </t>
  </si>
  <si>
    <t>High Mill</t>
  </si>
  <si>
    <t>Oasis</t>
  </si>
  <si>
    <t>Pyrgaki</t>
  </si>
  <si>
    <t>Senia</t>
  </si>
  <si>
    <t>Amalthia</t>
  </si>
  <si>
    <t>Aquila Atlantis</t>
  </si>
  <si>
    <t>Electra Metropolis</t>
  </si>
  <si>
    <t>15, Mitropoleos street, Athens</t>
  </si>
  <si>
    <t>186 Room(s) - 18 Family Room (s) - 19 Suite (s)</t>
  </si>
  <si>
    <t>Hotel Facilities: Roodtop pool, Roof garden, Restaurant, Bar, SPA, Meeting rooms, Free WIFI
Room Facilities: Magnifying mirror, Flat-screen TV, Wi-Fi Wireless Internet, Sound proof, Minibar, Direct-dial phone, Bath or shower, Safe box</t>
  </si>
  <si>
    <t>Hotel Facilities: Conference Room, Internet Room, Breakfast (Buffet), Cafeteria, Restaurant, Bar &amp; Pool Bar, Pool &amp; Children pool, Children Playground, Gym, Spa &amp; Hydromassage
Room Facilities:Balcony, TV-Sat, Bathroom, Hydromassage, Mini-fridge/bar, Safe box, Telephone, DVD, Internet access, Hairdryer</t>
  </si>
  <si>
    <t>Karavomilos</t>
  </si>
  <si>
    <t>Naoussa, Paros Island</t>
  </si>
  <si>
    <t>Hotel Facilities: Reception, Lobby, Bar, Exchange, Room service, Laundry, Fax service, Parking, Pool 
Room Facilities: A/C, Balcony, Bathroom, Hair Dryer, Heating</t>
  </si>
  <si>
    <t>Hotel Facilities: Pool, Garden, Sitting room, TV, WiFi Free, Breakfast, Bar, Parking space, Reception, Safe, Laundry, Ironing, Retail Shop, Pets Allowed
Room Facilities: Sea &amp; Pool View, Balcony, A/C, Telephone, TV, Music, Wi-Fi Internet, Bathtub, Hairdryer, Fridge, Baby Cot</t>
  </si>
  <si>
    <t xml:space="preserve">Parikia </t>
  </si>
  <si>
    <t>Hotel Facilities:Safety deposit boxes, Free WiFi, Fax-photo-copying service/ printer, Lounge, Laundry and dry cleaning, Car rental arrangements, Ticket arrangements, Elevator, Wake up service, 24 hours front desk, 24 hours reception, Transfer from / to airport 
Room Facilities: Free wireless internet , Balcony, LCD TV, A/C, Direct phone line, Hair dryer, Mini fridge, Soundproof windows</t>
  </si>
  <si>
    <t xml:space="preserve">Parikia, Paros </t>
  </si>
  <si>
    <t>Hotel Facilities: Swimming pool, Reception area with TV, Bar/café, Children swimming pool, Sun beds and umbrellas 
Room Facilities: A/C, Mini fridge, Free WiFi, Balcony, Satellite TV, Safety deposit box, Bath / Shower, Sea view</t>
  </si>
  <si>
    <t>Hotel Facilities: Bay Pool, Beach Bar, Roof Garden Bar, Lounge Area with TV, 
Swimming-Pool, Children’s Playground, Table Tennis, Internet
Room Facilities:</t>
  </si>
  <si>
    <t xml:space="preserve">2, Ygias Street Heraklion, Crete </t>
  </si>
  <si>
    <t>158 Standard Rooms, 6 Suites</t>
  </si>
  <si>
    <t xml:space="preserve">Hotel Facilities: Spa, Restaurant, Bar, Swimming Pools 
Room Facilities: A/C, 42 flat screen HDTV,  Direct phone, Wi-Fi, Electronic safe, Mini bar, Exclusive bathroom amenities, Hairdryer, Double glazed windows, Laundry service </t>
  </si>
  <si>
    <t>Agia Marina, Chania -Crete</t>
  </si>
  <si>
    <t>Hotel Facilities: Buffet breakfast room, Internet Corner, Gym, Day SPA,  TV lounge, Main bar, Swimming pool, Restaurant/ tavern, Pool bar, Reception, Playground
Room Facilities: A/C, Telephone, T.V., Safe Box, Wi-Fi, Mini Fridge</t>
  </si>
  <si>
    <t>Costa Navarino</t>
  </si>
  <si>
    <t>Hotel Facilities: A/C, Pool Bar, Swimming Pool, Spa, Sauna, Fitness center, tennis, Library, Cinema, internet, 24h Room Service
Room Facilities: Sattelite TV, Telephone, Internet, Fridge, hairdryer</t>
  </si>
  <si>
    <t>The Westin Resort Costa Navarino</t>
  </si>
  <si>
    <t>50km from Airport, 500m from beach</t>
  </si>
  <si>
    <t>317 Standard Rooms, 51 Suites, 76 Family Suites, 1 Villa</t>
  </si>
  <si>
    <t>Hotel Facilities: Room service, Dry cleaning, Breakfast served in the room, Ironing service, Fax / Photocopier.
Internet
Room Facilities: Restaurant, 24hour Reception, Elevator, Safe-deposit box, Heating, Luggage storage area, Air-conditioning</t>
  </si>
  <si>
    <t>2km from Airport, 150m from city center</t>
  </si>
  <si>
    <t>Olympic Village</t>
  </si>
  <si>
    <t>Hotel Facilities: Outdoor Swimming Pool, Restaurant &amp; Bar, Free Parking, Balconies, Business Center
Room Facilities: A/C, Free WiFi, Satellite TV, Music System</t>
  </si>
  <si>
    <t xml:space="preserve">Miro Zante Royal Resort </t>
  </si>
  <si>
    <t>155 rooms out of which 49 twin rooms, 96 family rooms &amp; maisonettes &amp; 10 two bedroomed family rooms</t>
  </si>
  <si>
    <t>Hotel Facilities: Restaurant, swimming pool, Children's pool, tennis court, playground, Health Club with gym
Room Facilities: balcony with garden or sea view, bathroom, air-conditioning, satellite TV, mini-fridge, safe deposit box(at extra charge), hair dryer and direct dial telephone</t>
  </si>
  <si>
    <t xml:space="preserve">Vassilikos </t>
  </si>
  <si>
    <t>Filoxenia</t>
  </si>
  <si>
    <t>188 Standard Rooms, 8 Suites</t>
  </si>
  <si>
    <t>Navarinou Str. Kalamata</t>
  </si>
  <si>
    <t>Hotel Facilities: Outdoor &amp; Indoor Pool with Jacuzzi, Business and secretarial support, Kid’s Pool, Elixir Olive Spa, Fitness Centre, Floodlit Tennis Court, Lounge / Pool Bar, Beach Bar, Free Wi-Fi Internet Access,  Conference Hall, Library &amp; Play room, Rooms for people with limited mobility, Private car park
Room Facilities: Welcome drink on arrival, 16-hour room service, 24-hour Concierge Services, Doctor on call – 24 hours,  Dry cleaning / laundry / pressing, Baby Sitting Services (on request)</t>
  </si>
  <si>
    <t>01/09-22/10</t>
  </si>
  <si>
    <t>01/01-05/03</t>
  </si>
  <si>
    <t>06/03-09/04</t>
  </si>
  <si>
    <t>10/04-15/10</t>
  </si>
  <si>
    <t>01/05-14/07</t>
  </si>
  <si>
    <t>01/05-30/07</t>
  </si>
  <si>
    <r>
      <t xml:space="preserve">Hotel Facilities: </t>
    </r>
    <r>
      <rPr>
        <sz val="10"/>
        <rFont val="Arial"/>
        <family val="2"/>
        <charset val="161"/>
      </rPr>
      <t>2 Bars, A/C throughout, Cafe, Convention Facilities, Disco Club, Dry Cleaning, Parking, Piano Bar, Restaurant, Roof Garden, Roof-top Swimming Pool, Room Service, Safe Deposit Boxes, Tavern, Twice daily Maid service</t>
    </r>
    <r>
      <rPr>
        <i/>
        <sz val="10"/>
        <rFont val="Arial"/>
        <family val="2"/>
        <charset val="161"/>
      </rPr>
      <t xml:space="preserve">
Room Facilities:</t>
    </r>
    <r>
      <rPr>
        <sz val="10"/>
        <rFont val="Arial"/>
        <family val="2"/>
        <charset val="161"/>
      </rPr>
      <t xml:space="preserve"> Direct-dial phone, Wi-Fi Internet, Fax &amp; Modem outlet, Satellite TV</t>
    </r>
  </si>
  <si>
    <t>01/02-30/03</t>
  </si>
  <si>
    <t>12/05-14/06</t>
  </si>
  <si>
    <t>11/03-11/04</t>
  </si>
  <si>
    <t>12/04-11/05</t>
  </si>
  <si>
    <t>12/05-22/06</t>
  </si>
  <si>
    <t>23/06-10/09</t>
  </si>
  <si>
    <t>15/01-13/04</t>
  </si>
  <si>
    <t>17/04-30/04</t>
  </si>
  <si>
    <t>14/04-16/04</t>
  </si>
  <si>
    <t>11/10-28/10</t>
  </si>
  <si>
    <t>11/06-14/07</t>
  </si>
  <si>
    <t>31/08-25/09</t>
  </si>
  <si>
    <t>15/07-30/08</t>
  </si>
  <si>
    <t>24/09-31/10</t>
  </si>
  <si>
    <t>03/09-23/09</t>
  </si>
  <si>
    <t>08/07-27/07</t>
  </si>
  <si>
    <t>20/08-02/09</t>
  </si>
  <si>
    <t>28/07-19/08</t>
  </si>
  <si>
    <t>07/09-31/12</t>
  </si>
  <si>
    <t>01/06-03/09</t>
  </si>
  <si>
    <t>01/05-30/10</t>
  </si>
  <si>
    <t>Petasos Town</t>
  </si>
  <si>
    <t>01/05-24/05</t>
  </si>
  <si>
    <t>25/05-07/06</t>
  </si>
  <si>
    <t>28/08-20/09</t>
  </si>
  <si>
    <t>Petasos Beach</t>
  </si>
  <si>
    <t>01/05-16/05</t>
  </si>
  <si>
    <t>17/05-08/06</t>
  </si>
  <si>
    <t>18/09-05/10</t>
  </si>
  <si>
    <t>30/08-17/09</t>
  </si>
  <si>
    <t>07/07-29/08</t>
  </si>
  <si>
    <t>15/04-14/05</t>
  </si>
  <si>
    <t>08/04-19/05</t>
  </si>
  <si>
    <t>30/09-28/10</t>
  </si>
  <si>
    <t>20/05-23/06</t>
  </si>
  <si>
    <t>16/09-29/09</t>
  </si>
  <si>
    <t>24/06-07/07</t>
  </si>
  <si>
    <t>02/09-15/09</t>
  </si>
  <si>
    <t>19/08-01/09</t>
  </si>
  <si>
    <t>22/07-18/08</t>
  </si>
  <si>
    <t>30/09-31/10</t>
  </si>
  <si>
    <t>01/06-25/07</t>
  </si>
  <si>
    <t>18/04-27/04</t>
  </si>
  <si>
    <t>01/04-13/04</t>
  </si>
  <si>
    <t>14/04-17/04</t>
  </si>
  <si>
    <t>28/04-01/06</t>
  </si>
  <si>
    <t>02/06-30/06</t>
  </si>
  <si>
    <t>01/07-04/09</t>
  </si>
  <si>
    <t>01/01-08/01</t>
  </si>
  <si>
    <t>24/02-27/02</t>
  </si>
  <si>
    <t>09/01-30/04</t>
  </si>
  <si>
    <t>01/04-25/05</t>
  </si>
  <si>
    <t>10/09-23/09</t>
  </si>
  <si>
    <t>25/08-09/09</t>
  </si>
  <si>
    <t>01/04-20/05</t>
  </si>
  <si>
    <t>21/05-15/06</t>
  </si>
  <si>
    <t>21/09-05/10</t>
  </si>
  <si>
    <t>27/08-20/09</t>
  </si>
  <si>
    <t>01/01-09/03</t>
  </si>
  <si>
    <t>10/03-29/06</t>
  </si>
  <si>
    <t>11/09-28/09</t>
  </si>
  <si>
    <t>21/07-03/08</t>
  </si>
  <si>
    <t>27/08-10/09</t>
  </si>
  <si>
    <t>04/08-26/08</t>
  </si>
  <si>
    <t>75 Standard Rooms</t>
  </si>
  <si>
    <t>01/04-07/07</t>
  </si>
  <si>
    <t>08/07-27/08</t>
  </si>
  <si>
    <t>28/08-31/10</t>
  </si>
  <si>
    <t>Sea View</t>
  </si>
  <si>
    <t>01/01-20/05</t>
  </si>
  <si>
    <t>13/04-17/04</t>
  </si>
  <si>
    <t>04/01-23/02</t>
  </si>
  <si>
    <t>28/02-31/03</t>
  </si>
  <si>
    <t>24/07-20/08</t>
  </si>
  <si>
    <t>01/03-31/12</t>
  </si>
  <si>
    <t>21/09-30/10</t>
  </si>
  <si>
    <t>16/10-15/11</t>
  </si>
  <si>
    <t>11/06-30/09</t>
  </si>
  <si>
    <t>11/06-15/09</t>
  </si>
  <si>
    <t>25/05-18/06</t>
  </si>
  <si>
    <t>09/09-30/09</t>
  </si>
  <si>
    <t>19/06-02/07</t>
  </si>
  <si>
    <t>28/08-08/09</t>
  </si>
  <si>
    <t>03/07-28/07</t>
  </si>
  <si>
    <t>29/07-27/08</t>
  </si>
  <si>
    <t>01/05-18/06</t>
  </si>
  <si>
    <t>09/09-15/10</t>
  </si>
  <si>
    <t>01/11-10/11</t>
  </si>
  <si>
    <t>1/10-31/10</t>
  </si>
  <si>
    <t>01/01-07/01</t>
  </si>
  <si>
    <t>28/02-12/04</t>
  </si>
  <si>
    <t>08/01-23/02</t>
  </si>
  <si>
    <t>01/11-20/12</t>
  </si>
  <si>
    <t>02/05-25/05</t>
  </si>
  <si>
    <t>17/09-14/10</t>
  </si>
  <si>
    <t>21/12-31/12</t>
  </si>
  <si>
    <t>26/05-29/06</t>
  </si>
  <si>
    <t>28/04-01/05</t>
  </si>
  <si>
    <t>30/06-26/08</t>
  </si>
  <si>
    <t>01/02-31/03</t>
  </si>
  <si>
    <t>16/10-19/11</t>
  </si>
  <si>
    <t>196 Standard Rooms, 8 Suites</t>
  </si>
  <si>
    <t>01/05-17/05</t>
  </si>
  <si>
    <t>05/10-12/10</t>
  </si>
  <si>
    <t>18/05-07/06</t>
  </si>
  <si>
    <t xml:space="preserve">Suite Junior </t>
  </si>
  <si>
    <t>01/04-28/04</t>
  </si>
  <si>
    <t>02/05-31/05</t>
  </si>
  <si>
    <t>01/06-17/06</t>
  </si>
  <si>
    <t>21/06-30/06</t>
  </si>
  <si>
    <t>29/04-01/05</t>
  </si>
  <si>
    <t>18/06-20/06</t>
  </si>
  <si>
    <t>Suite Junior</t>
  </si>
  <si>
    <t>03/05-25/05</t>
  </si>
  <si>
    <t>05/10-06/10</t>
  </si>
  <si>
    <t>26/05-15/06</t>
  </si>
  <si>
    <t>15/09-04/10</t>
  </si>
  <si>
    <t>16/06-02/07</t>
  </si>
  <si>
    <t>03/07-31/07</t>
  </si>
  <si>
    <t>04/09-31/10</t>
  </si>
  <si>
    <t>13/05-28/05</t>
  </si>
  <si>
    <t>18/09-01/10</t>
  </si>
  <si>
    <t>19/06-09/07</t>
  </si>
  <si>
    <t>24/08-17/09</t>
  </si>
  <si>
    <t>10/07-23/08</t>
  </si>
  <si>
    <t>18/04-29/04</t>
  </si>
  <si>
    <t>02/05-01/06</t>
  </si>
  <si>
    <t>05/06-09/08</t>
  </si>
  <si>
    <t>30/08-26/10</t>
  </si>
  <si>
    <t>29/10-21/12</t>
  </si>
  <si>
    <t>24/03-25/03</t>
  </si>
  <si>
    <t>27/10-28/10</t>
  </si>
  <si>
    <t>01/01-06/01</t>
  </si>
  <si>
    <t>30/04-01/05</t>
  </si>
  <si>
    <t>02/06-04/06</t>
  </si>
  <si>
    <t>10/08-29/08</t>
  </si>
  <si>
    <t>22/12-31/12</t>
  </si>
  <si>
    <t xml:space="preserve">Dates </t>
  </si>
  <si>
    <t>07/04-16/06</t>
  </si>
  <si>
    <t>18/09-31/10</t>
  </si>
  <si>
    <t>17/06-17/09</t>
  </si>
  <si>
    <t>20/04-05/06</t>
  </si>
  <si>
    <t>06/06-09/07</t>
  </si>
  <si>
    <t>10/07-25/08</t>
  </si>
  <si>
    <t>Family Room</t>
  </si>
  <si>
    <t>01/05-21/05</t>
  </si>
  <si>
    <t>26/05-31/10</t>
  </si>
  <si>
    <t>22/05-25/05</t>
  </si>
  <si>
    <t>16/09-31/12</t>
  </si>
  <si>
    <t>01/07-15/09</t>
  </si>
  <si>
    <t>10/04-29/05</t>
  </si>
  <si>
    <t>30/05-30/06</t>
  </si>
  <si>
    <t>25/08-30/08</t>
  </si>
  <si>
    <t>20/04-15/05</t>
  </si>
  <si>
    <t>16/05-18/06</t>
  </si>
  <si>
    <t>19/06-11/07</t>
  </si>
  <si>
    <t>12/07-10/10</t>
  </si>
  <si>
    <t>01/09-08/09</t>
  </si>
  <si>
    <t>21/06-11/07</t>
  </si>
  <si>
    <t>18/04-14/06</t>
  </si>
  <si>
    <t>18/12-31/12</t>
  </si>
  <si>
    <t>01/04-20/10</t>
  </si>
  <si>
    <t>11/09-31/12</t>
  </si>
  <si>
    <t>01/06-10/09</t>
  </si>
  <si>
    <t>01/10-31/11</t>
  </si>
  <si>
    <t>01/01-15/11</t>
  </si>
  <si>
    <t>09/04-19/04</t>
  </si>
  <si>
    <t>26/07-31/08</t>
  </si>
  <si>
    <t>16/10-30/10</t>
  </si>
  <si>
    <t>16/05-05/06</t>
  </si>
  <si>
    <t>26/09-15/10</t>
  </si>
  <si>
    <t>04/07-28/08</t>
  </si>
  <si>
    <t>01/01-30/03</t>
  </si>
  <si>
    <t>01/11-31/11</t>
  </si>
  <si>
    <t>14/05-20/06</t>
  </si>
  <si>
    <t>01/06-16/07</t>
  </si>
  <si>
    <t>17/07-31/08</t>
  </si>
  <si>
    <t>10/04-31/05</t>
  </si>
  <si>
    <t>17/09-31/10</t>
  </si>
  <si>
    <t>04/07-13/07</t>
  </si>
  <si>
    <t>14/07-26/08</t>
  </si>
  <si>
    <t>01/01-30/11</t>
  </si>
  <si>
    <t>12/05-15/06</t>
  </si>
  <si>
    <t>15/09-02/10</t>
  </si>
  <si>
    <t>16/06-16/07</t>
  </si>
  <si>
    <t>17/07-27/08</t>
  </si>
  <si>
    <t>01/07-19/07</t>
  </si>
  <si>
    <t>20/07-31/08</t>
  </si>
  <si>
    <t>01/04-09/06</t>
  </si>
  <si>
    <t>24/09-31/12</t>
  </si>
  <si>
    <t>10/06-09/07</t>
  </si>
  <si>
    <t>01/09-23/09</t>
  </si>
  <si>
    <t>10/07-31/08</t>
  </si>
  <si>
    <t>01/05-18/05</t>
  </si>
  <si>
    <t>18/09-15/10</t>
  </si>
  <si>
    <t>19/05-13/07</t>
  </si>
  <si>
    <t>14/07-03/09</t>
  </si>
  <si>
    <t>01/01-12/04</t>
  </si>
  <si>
    <t>18/04-31/05</t>
  </si>
  <si>
    <t>01/06-12/07</t>
  </si>
  <si>
    <t>13/07-31/08</t>
  </si>
  <si>
    <t>01/05-10/07</t>
  </si>
  <si>
    <t>11/07-30/09</t>
  </si>
  <si>
    <t>23/04-12/06</t>
  </si>
  <si>
    <t>01/06-01/06</t>
  </si>
  <si>
    <t>05/06-17/07</t>
  </si>
  <si>
    <t>13/04-16/04</t>
  </si>
  <si>
    <t>17/04-31/05</t>
  </si>
  <si>
    <t>AL</t>
  </si>
  <si>
    <t>21/05-31/05</t>
  </si>
  <si>
    <t>05/05-31/05</t>
  </si>
  <si>
    <t>21/09-28/09</t>
  </si>
  <si>
    <t>14/09-20/09</t>
  </si>
  <si>
    <t>01/09-13/09</t>
  </si>
  <si>
    <t>24/07-11/08</t>
  </si>
  <si>
    <t>01/04-10/05</t>
  </si>
  <si>
    <t>11/05-10/06</t>
  </si>
  <si>
    <t>20/09-15/10</t>
  </si>
  <si>
    <t>11/06-19/09</t>
  </si>
  <si>
    <t>29/04-31/05</t>
  </si>
  <si>
    <t>01/07-18/09</t>
  </si>
  <si>
    <t>18/04-30/04</t>
  </si>
  <si>
    <t>01/06-15/06</t>
  </si>
  <si>
    <t>16/06-30/06</t>
  </si>
  <si>
    <t>27/03-30/04</t>
  </si>
  <si>
    <t>16/10-05/11</t>
  </si>
  <si>
    <t>01/07-25/09</t>
  </si>
  <si>
    <t>05/04-31/05</t>
  </si>
  <si>
    <t>02/05-26/05</t>
  </si>
  <si>
    <t>02/10-29/10</t>
  </si>
  <si>
    <t>27/05-16/06</t>
  </si>
  <si>
    <t>21/08-03/09</t>
  </si>
  <si>
    <t>29/07-20/08</t>
  </si>
  <si>
    <t>02/01-20/12</t>
  </si>
  <si>
    <t>17/06-31/08</t>
  </si>
  <si>
    <t>09/04-23/05</t>
  </si>
  <si>
    <t>10/12-31/12</t>
  </si>
  <si>
    <t>01/02-08/04</t>
  </si>
  <si>
    <t>24/04-16/06</t>
  </si>
  <si>
    <t>01/09-09/12</t>
  </si>
  <si>
    <t>01/03-30/06</t>
  </si>
  <si>
    <t>01/01-08/09</t>
  </si>
  <si>
    <t>18/09-31/12</t>
  </si>
  <si>
    <t>09/09-17/09</t>
  </si>
  <si>
    <t>26/04-20/05</t>
  </si>
  <si>
    <t>16/10-29/10</t>
  </si>
  <si>
    <t>30/07-19/08</t>
  </si>
  <si>
    <t>21/04-13/05</t>
  </si>
  <si>
    <t>14/05-10/06</t>
  </si>
  <si>
    <t>16/07-29/07</t>
  </si>
  <si>
    <t>08/10-31/10</t>
  </si>
  <si>
    <t>24/09-07/10</t>
  </si>
  <si>
    <t>05/05-20/07</t>
  </si>
  <si>
    <t>01/10-26/10</t>
  </si>
  <si>
    <t>01/06-21/06</t>
  </si>
  <si>
    <t>22/06-19/07</t>
  </si>
  <si>
    <t>07/10-31/10</t>
  </si>
  <si>
    <t>30/04-21/05</t>
  </si>
  <si>
    <t>22/05-04/06</t>
  </si>
  <si>
    <t>02/10-16/10</t>
  </si>
  <si>
    <t>05/06-18/06</t>
  </si>
  <si>
    <t>10/07-28/08</t>
  </si>
  <si>
    <t>01/06-23/06</t>
  </si>
  <si>
    <t>23/09-06/10</t>
  </si>
  <si>
    <t>24/06-21/07</t>
  </si>
  <si>
    <t>09/09-22/09</t>
  </si>
  <si>
    <t>22/07-08/09</t>
  </si>
  <si>
    <t>02/05-12/05</t>
  </si>
  <si>
    <t>13/05-26/05</t>
  </si>
  <si>
    <t>30/09-13/10</t>
  </si>
  <si>
    <t>27/05-23/06</t>
  </si>
  <si>
    <t>23/09-29/09</t>
  </si>
  <si>
    <t>24/06-28/07</t>
  </si>
  <si>
    <t>26/08-22/09</t>
  </si>
  <si>
    <t>29/07-25/08</t>
  </si>
  <si>
    <t>11/07-15/09</t>
  </si>
  <si>
    <t>20/06-15/09</t>
  </si>
  <si>
    <t>12/05-08/06</t>
  </si>
  <si>
    <t>22/09-15/10</t>
  </si>
  <si>
    <t>09/06-29/06</t>
  </si>
  <si>
    <t>11/09-21/09</t>
  </si>
  <si>
    <t>30/06-30/07</t>
  </si>
  <si>
    <t>21/08-10/09</t>
  </si>
  <si>
    <t>01/05-25/05</t>
  </si>
  <si>
    <t>02/10-20/10</t>
  </si>
  <si>
    <t>22/09-01/10</t>
  </si>
  <si>
    <t>04/09-21/09</t>
  </si>
  <si>
    <t>07/07-03/09</t>
  </si>
  <si>
    <t>13/04-19/05</t>
  </si>
  <si>
    <t>20/05-09/06</t>
  </si>
  <si>
    <t>10/06-05/07</t>
  </si>
  <si>
    <t>06/07-31/08</t>
  </si>
  <si>
    <t>10/05-28/05</t>
  </si>
  <si>
    <t>19/06-16/07</t>
  </si>
  <si>
    <t>01/08-27/08</t>
  </si>
  <si>
    <t>17/07-31/07</t>
  </si>
  <si>
    <t>28/08-10/09</t>
  </si>
  <si>
    <t>26/04-31/05</t>
  </si>
  <si>
    <t>01/07-10/07</t>
  </si>
  <si>
    <t>06/09-25/09</t>
  </si>
  <si>
    <t>11/07-05/09</t>
  </si>
  <si>
    <t>20/05-31/05</t>
  </si>
  <si>
    <t>15/04-20/05</t>
  </si>
  <si>
    <t>02/10-15/10</t>
  </si>
  <si>
    <t>21/05-16/06</t>
  </si>
  <si>
    <t>16/09-01/10</t>
  </si>
  <si>
    <t>117/06-14/07</t>
  </si>
  <si>
    <t>15/07-01/09</t>
  </si>
  <si>
    <t>15/09-07/10</t>
  </si>
  <si>
    <t>23/06-24/07</t>
  </si>
  <si>
    <t>27/04-10/06</t>
  </si>
  <si>
    <t>21/09-27/10</t>
  </si>
  <si>
    <t>19/07-81/08</t>
  </si>
  <si>
    <t>25/04-10/06</t>
  </si>
  <si>
    <t>26/09-20/10</t>
  </si>
  <si>
    <t>26/08-25/09</t>
  </si>
  <si>
    <t>01/06-27/06</t>
  </si>
  <si>
    <t>28/06-18/07</t>
  </si>
  <si>
    <t>20/08-30/09</t>
  </si>
  <si>
    <t>19/07-19/08</t>
  </si>
  <si>
    <t>22/09-07/10</t>
  </si>
  <si>
    <t>23/06-06/07</t>
  </si>
  <si>
    <t>18/08-31/08</t>
  </si>
  <si>
    <t>01/09-10/10</t>
  </si>
  <si>
    <t>16/06-20/07</t>
  </si>
  <si>
    <t>19/05-25/05</t>
  </si>
  <si>
    <t>15/09-21/09</t>
  </si>
  <si>
    <t>08/09-14/09</t>
  </si>
  <si>
    <t>29/04-06/05</t>
  </si>
  <si>
    <t>01/10-22/10</t>
  </si>
  <si>
    <t>07/05-02/06</t>
  </si>
  <si>
    <t>03/06-01/07</t>
  </si>
  <si>
    <t>08/09-28/09</t>
  </si>
  <si>
    <t>22/09-10/10</t>
  </si>
  <si>
    <t>01/04-06/04</t>
  </si>
  <si>
    <t>07/04-27/04</t>
  </si>
  <si>
    <t>28/04-31/07</t>
  </si>
  <si>
    <t>24/09-15/10</t>
  </si>
  <si>
    <t>11/07-26/08</t>
  </si>
  <si>
    <t>24/08-09/09</t>
  </si>
  <si>
    <t>05/06-14/07</t>
  </si>
  <si>
    <t>26/08-01/10</t>
  </si>
  <si>
    <t>28/04-12/06</t>
  </si>
  <si>
    <t>12/09-25/10</t>
  </si>
  <si>
    <t>10/06-12/07</t>
  </si>
  <si>
    <t>01/05-20/06</t>
  </si>
  <si>
    <t>12/09-04/10</t>
  </si>
  <si>
    <t>21/06-10/07</t>
  </si>
  <si>
    <t>11/07-28/08</t>
  </si>
  <si>
    <t>08/05-27/05</t>
  </si>
  <si>
    <t>28/05-10/06</t>
  </si>
  <si>
    <t>11/10-15/11</t>
  </si>
  <si>
    <t>01/04-15/06</t>
  </si>
  <si>
    <t>16/06-26/07</t>
  </si>
  <si>
    <t>27/07-31/08</t>
  </si>
  <si>
    <t>21/04-10/05</t>
  </si>
  <si>
    <t>Studio Sea View</t>
  </si>
  <si>
    <t>05/04-30/04</t>
  </si>
  <si>
    <t>08/06-10/07</t>
  </si>
  <si>
    <t>27/08-15/10</t>
  </si>
  <si>
    <t>11/05-20/06</t>
  </si>
  <si>
    <t>21/06-21/07</t>
  </si>
  <si>
    <t>27/08-10/10</t>
  </si>
  <si>
    <t>22/07-26/08</t>
  </si>
  <si>
    <t>16/04-31/05</t>
  </si>
  <si>
    <t>01/06-03/06</t>
  </si>
  <si>
    <t>04/06-22/07</t>
  </si>
  <si>
    <t>23/07-31/08</t>
  </si>
  <si>
    <t>26/05-21/06</t>
  </si>
  <si>
    <t>22/06-26/07</t>
  </si>
  <si>
    <t>12/04-26/05</t>
  </si>
  <si>
    <t>24/06-27/08</t>
  </si>
  <si>
    <t>14/04-30/04</t>
  </si>
  <si>
    <t>10/09-31/10</t>
  </si>
  <si>
    <t>01/09-09/09</t>
  </si>
  <si>
    <t>09/04-14/05</t>
  </si>
  <si>
    <t>02/10-31/10</t>
  </si>
  <si>
    <t>15/05-28/05</t>
  </si>
  <si>
    <t>29/05-09/07</t>
  </si>
  <si>
    <t>22/04-14/05</t>
  </si>
  <si>
    <t>10/04-14/05</t>
  </si>
  <si>
    <t>23/09-31/10</t>
  </si>
  <si>
    <t>22/04-18/05</t>
  </si>
  <si>
    <t>09/10-31/10</t>
  </si>
  <si>
    <t>19/05-04/06</t>
  </si>
  <si>
    <t>05/06-30/06</t>
  </si>
  <si>
    <t>01/07-17/07</t>
  </si>
  <si>
    <t>18/07-27/08</t>
  </si>
  <si>
    <t>01/04-15/07</t>
  </si>
  <si>
    <t>01/06-06/07</t>
  </si>
  <si>
    <t>14/09-24/09</t>
  </si>
  <si>
    <t>12/10-31/10</t>
  </si>
  <si>
    <t>05/10-11/10</t>
  </si>
  <si>
    <t>01/08-28/06</t>
  </si>
  <si>
    <t>29/06-26/07</t>
  </si>
  <si>
    <t>21/04-21/05</t>
  </si>
  <si>
    <t>06/10-30/10</t>
  </si>
  <si>
    <t>22/05-15/06</t>
  </si>
  <si>
    <t>23/04-14/05</t>
  </si>
  <si>
    <t>15/05-11/06</t>
  </si>
  <si>
    <t>12/06-16/07</t>
  </si>
  <si>
    <t>14/04-12/05</t>
  </si>
  <si>
    <t>07/10-30/10</t>
  </si>
  <si>
    <t>13/05-02/06</t>
  </si>
  <si>
    <t>03/06-07/07</t>
  </si>
  <si>
    <t>08/07-25/08</t>
  </si>
  <si>
    <t>29/08-19/09</t>
  </si>
  <si>
    <t>19/04-20/05</t>
  </si>
  <si>
    <t>29/04-12/05</t>
  </si>
  <si>
    <t>30/09-20/10</t>
  </si>
  <si>
    <t>27/05-30/06</t>
  </si>
  <si>
    <t>16/09-22/09</t>
  </si>
  <si>
    <t>01/07-07/07</t>
  </si>
  <si>
    <t>24/04-07/05</t>
  </si>
  <si>
    <t>09/10-29/10</t>
  </si>
  <si>
    <t>08/05-04/06</t>
  </si>
  <si>
    <t>03/07-22/07</t>
  </si>
  <si>
    <t>23/07-20/08</t>
  </si>
  <si>
    <t>18/04-02/06</t>
  </si>
  <si>
    <t>03/06-06/07</t>
  </si>
  <si>
    <t>01/09-18/09</t>
  </si>
  <si>
    <t>07/07-31/08</t>
  </si>
  <si>
    <t>12/07-31/08</t>
  </si>
  <si>
    <t>01/03-31/08</t>
  </si>
  <si>
    <t>01/01-09/04</t>
  </si>
  <si>
    <t>24/04-31/05</t>
  </si>
  <si>
    <t>10/04-23/04</t>
  </si>
  <si>
    <t>10/05-31/05</t>
  </si>
  <si>
    <t>01/07-05/08</t>
  </si>
  <si>
    <t>06/08-20/08</t>
  </si>
  <si>
    <t>27/05-15/06</t>
  </si>
  <si>
    <t>03/09-17/09</t>
  </si>
  <si>
    <t>15/07-28/07</t>
  </si>
  <si>
    <t>22/08-02/09</t>
  </si>
  <si>
    <t>29/07-21/08</t>
  </si>
  <si>
    <t>26/05-06/06</t>
  </si>
  <si>
    <t>17/09-26/09</t>
  </si>
  <si>
    <t>13/04-25/05</t>
  </si>
  <si>
    <t>27/09-28/10</t>
  </si>
  <si>
    <t>07/06-29/06</t>
  </si>
  <si>
    <t>03/09-16/09</t>
  </si>
  <si>
    <t>30/06-21/07</t>
  </si>
  <si>
    <t>22/07-27/08</t>
  </si>
  <si>
    <t>01/04-30/4</t>
  </si>
  <si>
    <t>13/04-15/05</t>
  </si>
  <si>
    <t>16/09-10/10</t>
  </si>
  <si>
    <t>25/09-15/10</t>
  </si>
  <si>
    <t>02/06-29/06</t>
  </si>
  <si>
    <t>30/06-23/07</t>
  </si>
  <si>
    <t>28/04-26/05</t>
  </si>
  <si>
    <t>17/06-21/07</t>
  </si>
  <si>
    <t>09/04-09/05</t>
  </si>
  <si>
    <t>11/05-22/06</t>
  </si>
  <si>
    <t>29/09-08/10</t>
  </si>
  <si>
    <t>23/06-22/07</t>
  </si>
  <si>
    <t>25/08-28/09</t>
  </si>
  <si>
    <t>05/10-31/10</t>
  </si>
  <si>
    <t>29/09-04/10</t>
  </si>
  <si>
    <t>01/06-01/07</t>
  </si>
  <si>
    <t>17/09-28/09</t>
  </si>
  <si>
    <t>16/07-19/08</t>
  </si>
  <si>
    <t>02/07-15/07</t>
  </si>
  <si>
    <t>20/08-16/09</t>
  </si>
  <si>
    <t>1-20</t>
  </si>
  <si>
    <t xml:space="preserve">  KALAMATA</t>
  </si>
  <si>
    <t xml:space="preserve">  GYTHEIO ………………………………..</t>
  </si>
  <si>
    <t xml:space="preserve">  SYROS …...…………………………………………. </t>
  </si>
  <si>
    <t xml:space="preserve">  PYLOS ……………………..………………………</t>
  </si>
  <si>
    <t>29-32</t>
  </si>
  <si>
    <t>34-43</t>
  </si>
  <si>
    <t>55-56</t>
  </si>
  <si>
    <t>70-71</t>
  </si>
  <si>
    <t>72-74</t>
  </si>
  <si>
    <t>79-83</t>
  </si>
  <si>
    <t>87-91</t>
  </si>
  <si>
    <t>94-106</t>
  </si>
  <si>
    <t>107-108</t>
  </si>
  <si>
    <t>109-110</t>
  </si>
  <si>
    <t>112-116</t>
  </si>
  <si>
    <t>117-118</t>
  </si>
  <si>
    <t xml:space="preserve">“Ovadias Tours" office is open from 10 a.m to 5 p.m closed on weekends and holidays. In order to be able to assist you at any time and  confront any problems that might occur. Incidents that will not be brought to our knowledge during your stay, will not have the opportunity to be given the proper attention &amp; action and definitely will be non refunded if reported after your departure.Rates are an indication and changeable according to the availability, you can link directly with hotel's website for the updates rates. </t>
  </si>
  <si>
    <t>All rates quoted in this Tariff are in EURO and are valid for the year 2026 for the periods as indicated.
HOTEL Rates are PER PERSON and APARTMENT. Rates are PER ROOM.</t>
  </si>
  <si>
    <t>AEGINA 01/01-31/12/2026</t>
  </si>
  <si>
    <t>ATHENS 01/01-31/12/2026</t>
  </si>
  <si>
    <t>ATHENS COAST 01/01-31/12/2026</t>
  </si>
  <si>
    <t>CEFALONIA 01/01-31/12/2026</t>
  </si>
  <si>
    <t>CHIOS 01/01-31/12/2026</t>
  </si>
  <si>
    <t>CORFU 01/01-31/12/2026</t>
  </si>
  <si>
    <t>CRETE 01/01-31/12/2026</t>
  </si>
  <si>
    <t>IOS 01/01-31/12/2026</t>
  </si>
  <si>
    <t>KOS 01/01-31/12/2026</t>
  </si>
  <si>
    <t>MYKONOS 01/01-31/12/2026</t>
  </si>
  <si>
    <t>NAXOS 01/01-31/12/2026</t>
  </si>
  <si>
    <t>PAROS 01/01-31/12/2026</t>
  </si>
  <si>
    <t>PATMOS 01/01-31/12/2026</t>
  </si>
  <si>
    <t>POROS 01/01-31/12/2026</t>
  </si>
  <si>
    <t>RHODES 01/01-31/12/2026</t>
  </si>
  <si>
    <t>SAMOS 01/01-31/12/2026</t>
  </si>
  <si>
    <t>SANTORINI 01/01-31/12/2026</t>
  </si>
  <si>
    <t>SKIATHOS 01/01-31/12/2026</t>
  </si>
  <si>
    <t>SKOPELOS 01/01-31/12/2026</t>
  </si>
  <si>
    <t>THESSALONIKI  01/01-31/12/2026</t>
  </si>
  <si>
    <t>ZAKYNTHOS  01/01-31/12/2026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</si>
</sst>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
    <numFmt numFmtId="165" formatCode="dd/mm"/>
    <numFmt numFmtId="166" formatCode="#,##0.0&quot;0&quot;"/>
  </numFmts>
  <fonts count="42" x14ac:knownFonts="1">
    <font>
      <sz val="10"/>
      <name val="Arial"/>
      <charset val="161"/>
    </font>
    <font>
      <b/>
      <i/>
      <sz val="12"/>
      <name val="Arial"/>
      <family val="2"/>
    </font>
    <font>
      <b/>
      <sz val="10"/>
      <name val="Arial"/>
      <family val="2"/>
    </font>
    <font>
      <b/>
      <i/>
      <sz val="10"/>
      <name val="Arial"/>
      <family val="2"/>
    </font>
    <font>
      <b/>
      <i/>
      <u/>
      <sz val="12"/>
      <name val="Arial"/>
      <family val="2"/>
    </font>
    <font>
      <b/>
      <sz val="14"/>
      <name val="Arial"/>
      <family val="2"/>
    </font>
    <font>
      <b/>
      <sz val="16"/>
      <name val="Arial"/>
      <family val="2"/>
    </font>
    <font>
      <sz val="10"/>
      <name val="Arial"/>
      <family val="2"/>
    </font>
    <font>
      <b/>
      <i/>
      <u/>
      <sz val="10"/>
      <name val="Arial"/>
      <family val="2"/>
    </font>
    <font>
      <sz val="10"/>
      <name val="Symbol"/>
      <family val="1"/>
      <charset val="2"/>
    </font>
    <font>
      <b/>
      <sz val="8"/>
      <name val="Arial"/>
      <family val="2"/>
    </font>
    <font>
      <sz val="8"/>
      <name val="Arial"/>
      <family val="2"/>
    </font>
    <font>
      <b/>
      <u/>
      <sz val="12"/>
      <name val="Arial"/>
      <family val="2"/>
    </font>
    <font>
      <u/>
      <sz val="10"/>
      <color indexed="12"/>
      <name val="Arial"/>
      <family val="2"/>
      <charset val="161"/>
    </font>
    <font>
      <sz val="9"/>
      <name val="Arial"/>
      <family val="2"/>
    </font>
    <font>
      <u/>
      <sz val="10"/>
      <name val="Arial"/>
      <family val="2"/>
    </font>
    <font>
      <sz val="10"/>
      <name val="Arial"/>
      <family val="2"/>
      <charset val="161"/>
    </font>
    <font>
      <sz val="8"/>
      <name val="Arial"/>
      <family val="2"/>
      <charset val="161"/>
    </font>
    <font>
      <sz val="12"/>
      <name val="Times New Roman"/>
      <family val="1"/>
      <charset val="161"/>
    </font>
    <font>
      <b/>
      <sz val="12"/>
      <name val="Times New Roman"/>
      <family val="1"/>
      <charset val="161"/>
    </font>
    <font>
      <u/>
      <sz val="12"/>
      <color indexed="8"/>
      <name val="Times New Roman"/>
      <family val="1"/>
      <charset val="161"/>
    </font>
    <font>
      <b/>
      <sz val="11"/>
      <name val="Arial"/>
      <family val="2"/>
    </font>
    <font>
      <b/>
      <sz val="9"/>
      <name val="Arial"/>
      <family val="2"/>
    </font>
    <font>
      <sz val="9"/>
      <name val="Arial"/>
      <family val="2"/>
      <charset val="161"/>
    </font>
    <font>
      <b/>
      <sz val="10"/>
      <name val="Arial"/>
      <family val="2"/>
      <charset val="161"/>
    </font>
    <font>
      <b/>
      <sz val="12"/>
      <name val="Arial"/>
      <family val="2"/>
      <charset val="161"/>
    </font>
    <font>
      <b/>
      <sz val="9"/>
      <name val="Arial"/>
      <family val="2"/>
      <charset val="161"/>
    </font>
    <font>
      <b/>
      <sz val="11"/>
      <name val="Arial"/>
      <family val="2"/>
      <charset val="161"/>
    </font>
    <font>
      <b/>
      <sz val="14"/>
      <name val="Arial"/>
      <family val="2"/>
      <charset val="161"/>
    </font>
    <font>
      <b/>
      <i/>
      <sz val="10"/>
      <name val="Arial"/>
      <family val="2"/>
      <charset val="161"/>
    </font>
    <font>
      <i/>
      <sz val="10"/>
      <name val="Arial"/>
      <family val="2"/>
      <charset val="161"/>
    </font>
    <font>
      <sz val="10"/>
      <color indexed="10"/>
      <name val="Arial"/>
      <family val="2"/>
      <charset val="161"/>
    </font>
    <font>
      <sz val="10"/>
      <color indexed="8"/>
      <name val="Arial"/>
      <family val="2"/>
      <charset val="161"/>
    </font>
    <font>
      <u/>
      <sz val="12"/>
      <color indexed="12"/>
      <name val="Arial"/>
      <family val="2"/>
      <charset val="161"/>
    </font>
    <font>
      <i/>
      <sz val="9"/>
      <name val="Arial"/>
      <family val="2"/>
      <charset val="161"/>
    </font>
    <font>
      <i/>
      <sz val="8"/>
      <name val="Arial"/>
      <family val="2"/>
      <charset val="161"/>
    </font>
    <font>
      <b/>
      <i/>
      <sz val="9"/>
      <name val="Arial"/>
      <family val="2"/>
      <charset val="161"/>
    </font>
    <font>
      <b/>
      <i/>
      <sz val="12"/>
      <color indexed="8"/>
      <name val="Arial"/>
      <family val="2"/>
      <charset val="161"/>
    </font>
    <font>
      <sz val="9"/>
      <color indexed="8"/>
      <name val="Arial"/>
      <family val="2"/>
      <charset val="161"/>
    </font>
    <font>
      <sz val="14"/>
      <name val="Times New Roman"/>
      <family val="1"/>
      <charset val="161"/>
    </font>
    <font>
      <sz val="10"/>
      <name val="Times New Roman"/>
      <family val="1"/>
      <charset val="161"/>
    </font>
    <font>
      <sz val="12"/>
      <name val="Arial"/>
      <family val="2"/>
      <charset val="161"/>
    </font>
  </fonts>
  <fills count="3">
    <fill>
      <patternFill patternType="none"/>
    </fill>
    <fill>
      <patternFill patternType="gray125"/>
    </fill>
    <fill>
      <patternFill patternType="solid">
        <fgColor indexed="9"/>
        <bgColor indexed="64"/>
      </patternFill>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3" fillId="0" borderId="0" applyNumberFormat="0" applyFill="0" applyBorder="0" applyAlignment="0" applyProtection="0">
      <alignment vertical="top"/>
      <protection locked="0"/>
    </xf>
    <xf numFmtId="0" fontId="16" fillId="0" borderId="0"/>
    <xf numFmtId="0" fontId="16" fillId="0" borderId="0"/>
  </cellStyleXfs>
  <cellXfs count="478">
    <xf numFmtId="0" fontId="0" fillId="0" borderId="0" xfId="0"/>
    <xf numFmtId="0" fontId="2" fillId="0" borderId="0" xfId="0" applyFont="1"/>
    <xf numFmtId="0" fontId="3" fillId="0" borderId="0" xfId="0" applyFont="1"/>
    <xf numFmtId="0" fontId="1" fillId="0" borderId="0" xfId="0" applyFont="1"/>
    <xf numFmtId="0" fontId="2" fillId="0" borderId="0" xfId="0" applyFont="1" applyAlignment="1">
      <alignment horizontal="center"/>
    </xf>
    <xf numFmtId="0" fontId="7" fillId="0" borderId="0" xfId="0" applyFont="1"/>
    <xf numFmtId="0" fontId="8" fillId="0" borderId="0" xfId="0" applyFont="1"/>
    <xf numFmtId="0" fontId="4" fillId="0" borderId="0" xfId="0" applyFont="1"/>
    <xf numFmtId="0" fontId="9" fillId="0" borderId="0" xfId="0" applyFont="1"/>
    <xf numFmtId="0" fontId="11" fillId="0" borderId="0" xfId="0" applyFont="1" applyAlignment="1">
      <alignment horizontal="right"/>
    </xf>
    <xf numFmtId="0" fontId="10" fillId="0" borderId="0" xfId="0" applyFont="1" applyAlignment="1">
      <alignment horizontal="right"/>
    </xf>
    <xf numFmtId="0" fontId="0" fillId="0" borderId="0" xfId="0" applyAlignment="1">
      <alignment horizontal="right"/>
    </xf>
    <xf numFmtId="0" fontId="9" fillId="0" borderId="0" xfId="0" applyFont="1" applyAlignment="1">
      <alignment horizontal="right"/>
    </xf>
    <xf numFmtId="0" fontId="16" fillId="0" borderId="0" xfId="3"/>
    <xf numFmtId="0" fontId="16" fillId="0" borderId="0" xfId="0" applyFont="1" applyAlignment="1" applyProtection="1">
      <alignment horizontal="left"/>
      <protection hidden="1"/>
    </xf>
    <xf numFmtId="0" fontId="16" fillId="0" borderId="0" xfId="0" applyFont="1" applyAlignment="1" applyProtection="1">
      <alignment horizontal="left" vertical="center"/>
      <protection hidden="1"/>
    </xf>
    <xf numFmtId="0" fontId="16" fillId="0" borderId="0" xfId="0" applyFont="1" applyAlignment="1" applyProtection="1">
      <alignment horizontal="center" vertical="center"/>
      <protection hidden="1"/>
    </xf>
    <xf numFmtId="0" fontId="16" fillId="0" borderId="0" xfId="0" applyFont="1" applyProtection="1">
      <protection hidden="1"/>
    </xf>
    <xf numFmtId="0" fontId="29" fillId="0" borderId="0" xfId="0" applyFont="1" applyAlignment="1" applyProtection="1">
      <alignment horizontal="left" vertical="center"/>
      <protection hidden="1"/>
    </xf>
    <xf numFmtId="0" fontId="29" fillId="0" borderId="0" xfId="0" applyFont="1" applyAlignment="1" applyProtection="1">
      <alignment horizontal="center" vertical="center"/>
      <protection hidden="1"/>
    </xf>
    <xf numFmtId="0" fontId="16" fillId="0" borderId="1" xfId="0" applyFont="1" applyBorder="1" applyAlignment="1" applyProtection="1">
      <alignment horizontal="left"/>
      <protection hidden="1"/>
    </xf>
    <xf numFmtId="0" fontId="16" fillId="0" borderId="2" xfId="0" applyFont="1" applyBorder="1" applyAlignment="1" applyProtection="1">
      <alignment horizontal="left" vertical="center"/>
      <protection hidden="1"/>
    </xf>
    <xf numFmtId="0" fontId="16" fillId="0" borderId="2" xfId="0" applyFont="1" applyBorder="1" applyAlignment="1" applyProtection="1">
      <alignment horizontal="center" vertical="center"/>
      <protection hidden="1"/>
    </xf>
    <xf numFmtId="0" fontId="16" fillId="0" borderId="3" xfId="0" applyFont="1" applyBorder="1" applyAlignment="1" applyProtection="1">
      <alignment horizontal="center" vertical="center"/>
      <protection hidden="1"/>
    </xf>
    <xf numFmtId="0" fontId="16" fillId="0" borderId="4" xfId="0" applyFont="1" applyBorder="1" applyAlignment="1" applyProtection="1">
      <alignment horizontal="left"/>
      <protection hidden="1"/>
    </xf>
    <xf numFmtId="0" fontId="24" fillId="0" borderId="5" xfId="0" applyFont="1" applyBorder="1" applyAlignment="1" applyProtection="1">
      <alignment horizontal="center" vertical="center"/>
      <protection hidden="1"/>
    </xf>
    <xf numFmtId="0" fontId="30" fillId="0" borderId="0" xfId="0" applyFont="1" applyAlignment="1" applyProtection="1">
      <alignment horizontal="left" vertical="center"/>
      <protection hidden="1"/>
    </xf>
    <xf numFmtId="0" fontId="16" fillId="0" borderId="5" xfId="0" applyFont="1" applyBorder="1" applyAlignment="1" applyProtection="1">
      <alignment horizontal="center" vertical="center"/>
      <protection hidden="1"/>
    </xf>
    <xf numFmtId="0" fontId="16" fillId="0" borderId="6" xfId="0" applyFont="1" applyBorder="1" applyAlignment="1" applyProtection="1">
      <alignment horizontal="left"/>
      <protection hidden="1"/>
    </xf>
    <xf numFmtId="0" fontId="16" fillId="0" borderId="7" xfId="0" applyFont="1" applyBorder="1" applyAlignment="1" applyProtection="1">
      <alignment horizontal="left" vertical="center"/>
      <protection hidden="1"/>
    </xf>
    <xf numFmtId="0" fontId="16" fillId="0" borderId="7" xfId="0" applyFont="1" applyBorder="1" applyAlignment="1" applyProtection="1">
      <alignment horizontal="center" vertical="center"/>
      <protection hidden="1"/>
    </xf>
    <xf numFmtId="0" fontId="16" fillId="0" borderId="8" xfId="0" applyFont="1" applyBorder="1" applyAlignment="1" applyProtection="1">
      <alignment horizontal="center" vertical="center"/>
      <protection hidden="1"/>
    </xf>
    <xf numFmtId="0" fontId="16" fillId="0" borderId="1" xfId="0" applyFont="1" applyBorder="1" applyAlignment="1" applyProtection="1">
      <alignment horizontal="center" vertical="center"/>
      <protection hidden="1"/>
    </xf>
    <xf numFmtId="0" fontId="16" fillId="0" borderId="9" xfId="0" applyFont="1" applyBorder="1" applyAlignment="1" applyProtection="1">
      <alignment horizontal="center" vertical="center"/>
      <protection hidden="1"/>
    </xf>
    <xf numFmtId="14" fontId="16" fillId="0" borderId="9" xfId="0" applyNumberFormat="1" applyFont="1" applyBorder="1" applyAlignment="1" applyProtection="1">
      <alignment horizontal="center" vertical="center"/>
      <protection hidden="1"/>
    </xf>
    <xf numFmtId="0" fontId="16" fillId="0" borderId="6" xfId="0" applyFont="1" applyBorder="1" applyAlignment="1" applyProtection="1">
      <alignment horizontal="center" vertical="center"/>
      <protection hidden="1"/>
    </xf>
    <xf numFmtId="0" fontId="16" fillId="0" borderId="10" xfId="0" applyFont="1" applyBorder="1" applyAlignment="1" applyProtection="1">
      <alignment horizontal="center" vertical="center"/>
      <protection hidden="1"/>
    </xf>
    <xf numFmtId="166" fontId="16" fillId="0" borderId="1" xfId="0" applyNumberFormat="1" applyFont="1" applyBorder="1" applyAlignment="1" applyProtection="1">
      <alignment horizontal="center" vertical="center"/>
      <protection hidden="1"/>
    </xf>
    <xf numFmtId="166" fontId="16" fillId="0" borderId="9" xfId="0" applyNumberFormat="1" applyFont="1" applyBorder="1" applyAlignment="1" applyProtection="1">
      <alignment horizontal="center" vertical="center"/>
      <protection hidden="1"/>
    </xf>
    <xf numFmtId="166" fontId="16" fillId="0" borderId="4" xfId="0" applyNumberFormat="1" applyFont="1" applyBorder="1" applyAlignment="1" applyProtection="1">
      <alignment horizontal="center" vertical="center"/>
      <protection hidden="1"/>
    </xf>
    <xf numFmtId="166" fontId="16" fillId="0" borderId="11" xfId="0" applyNumberFormat="1" applyFont="1" applyBorder="1" applyAlignment="1" applyProtection="1">
      <alignment horizontal="center" vertical="center"/>
      <protection hidden="1"/>
    </xf>
    <xf numFmtId="166" fontId="16" fillId="0" borderId="6" xfId="0" applyNumberFormat="1" applyFont="1" applyBorder="1" applyAlignment="1" applyProtection="1">
      <alignment horizontal="center" vertical="center"/>
      <protection hidden="1"/>
    </xf>
    <xf numFmtId="166" fontId="16" fillId="0" borderId="10" xfId="0" applyNumberFormat="1" applyFont="1" applyBorder="1" applyAlignment="1" applyProtection="1">
      <alignment horizontal="center" vertical="center"/>
      <protection hidden="1"/>
    </xf>
    <xf numFmtId="0" fontId="30" fillId="0" borderId="7" xfId="0" applyFont="1" applyBorder="1" applyAlignment="1" applyProtection="1">
      <alignment horizontal="left" vertical="center"/>
      <protection hidden="1"/>
    </xf>
    <xf numFmtId="14" fontId="16" fillId="0" borderId="6" xfId="0" applyNumberFormat="1" applyFont="1" applyBorder="1" applyAlignment="1" applyProtection="1">
      <alignment horizontal="center" vertical="center"/>
      <protection hidden="1"/>
    </xf>
    <xf numFmtId="0" fontId="31" fillId="0" borderId="0" xfId="0" applyFont="1" applyAlignment="1" applyProtection="1">
      <alignment horizontal="left"/>
      <protection hidden="1"/>
    </xf>
    <xf numFmtId="14" fontId="16" fillId="0" borderId="1" xfId="0" applyNumberFormat="1" applyFont="1" applyBorder="1" applyAlignment="1" applyProtection="1">
      <alignment horizontal="center" vertical="center"/>
      <protection hidden="1"/>
    </xf>
    <xf numFmtId="166" fontId="16" fillId="0" borderId="0" xfId="0" applyNumberFormat="1" applyFont="1" applyAlignment="1" applyProtection="1">
      <alignment horizontal="center" vertical="center"/>
      <protection hidden="1"/>
    </xf>
    <xf numFmtId="0" fontId="16" fillId="0" borderId="2" xfId="0" applyFont="1" applyBorder="1" applyAlignment="1" applyProtection="1">
      <alignment horizontal="left"/>
      <protection hidden="1"/>
    </xf>
    <xf numFmtId="0" fontId="16" fillId="0" borderId="12" xfId="0" applyFont="1" applyBorder="1" applyAlignment="1" applyProtection="1">
      <alignment horizontal="left" vertical="center"/>
      <protection hidden="1"/>
    </xf>
    <xf numFmtId="0" fontId="16" fillId="0" borderId="13" xfId="0" applyFont="1" applyBorder="1" applyAlignment="1" applyProtection="1">
      <alignment horizontal="center" vertical="center"/>
      <protection hidden="1"/>
    </xf>
    <xf numFmtId="0" fontId="30" fillId="0" borderId="2" xfId="0" applyFont="1" applyBorder="1" applyAlignment="1" applyProtection="1">
      <alignment horizontal="left" vertical="center"/>
      <protection hidden="1"/>
    </xf>
    <xf numFmtId="0" fontId="13" fillId="0" borderId="0" xfId="1" applyFill="1" applyBorder="1" applyAlignment="1" applyProtection="1">
      <alignment horizontal="center"/>
      <protection hidden="1"/>
    </xf>
    <xf numFmtId="0" fontId="16" fillId="0" borderId="0" xfId="0" applyFont="1" applyAlignment="1" applyProtection="1">
      <alignment vertical="center"/>
      <protection hidden="1"/>
    </xf>
    <xf numFmtId="14" fontId="16" fillId="0" borderId="4" xfId="0" applyNumberFormat="1" applyFont="1" applyBorder="1" applyAlignment="1" applyProtection="1">
      <alignment horizontal="center" vertical="center"/>
      <protection hidden="1"/>
    </xf>
    <xf numFmtId="0" fontId="16" fillId="0" borderId="11" xfId="0" applyFont="1" applyBorder="1" applyAlignment="1" applyProtection="1">
      <alignment horizontal="center" vertical="center"/>
      <protection hidden="1"/>
    </xf>
    <xf numFmtId="0" fontId="16" fillId="0" borderId="12" xfId="0" applyFont="1" applyBorder="1" applyAlignment="1" applyProtection="1">
      <alignment horizontal="center" vertical="center"/>
      <protection hidden="1"/>
    </xf>
    <xf numFmtId="0" fontId="16" fillId="0" borderId="14" xfId="0" applyFont="1" applyBorder="1" applyAlignment="1" applyProtection="1">
      <alignment horizontal="center" vertical="center"/>
      <protection hidden="1"/>
    </xf>
    <xf numFmtId="0" fontId="16" fillId="0" borderId="4" xfId="0" applyFont="1" applyBorder="1" applyAlignment="1" applyProtection="1">
      <alignment horizontal="center" vertical="center"/>
      <protection hidden="1"/>
    </xf>
    <xf numFmtId="0" fontId="16" fillId="0" borderId="0" xfId="0" applyFont="1"/>
    <xf numFmtId="0" fontId="16" fillId="0" borderId="15" xfId="0" applyFont="1" applyBorder="1" applyAlignment="1" applyProtection="1">
      <alignment horizontal="center" vertical="center"/>
      <protection hidden="1"/>
    </xf>
    <xf numFmtId="0" fontId="32" fillId="0" borderId="0" xfId="0" applyFont="1"/>
    <xf numFmtId="3" fontId="16" fillId="0" borderId="1" xfId="0" applyNumberFormat="1" applyFont="1" applyBorder="1" applyAlignment="1" applyProtection="1">
      <alignment horizontal="center" vertical="center"/>
      <protection hidden="1"/>
    </xf>
    <xf numFmtId="3" fontId="16" fillId="0" borderId="4" xfId="0" applyNumberFormat="1" applyFont="1" applyBorder="1" applyAlignment="1" applyProtection="1">
      <alignment horizontal="center" vertical="center"/>
      <protection hidden="1"/>
    </xf>
    <xf numFmtId="3" fontId="16" fillId="0" borderId="6" xfId="0" applyNumberFormat="1" applyFont="1" applyBorder="1" applyAlignment="1" applyProtection="1">
      <alignment horizontal="center" vertical="center"/>
      <protection hidden="1"/>
    </xf>
    <xf numFmtId="3" fontId="16" fillId="0" borderId="9" xfId="0" applyNumberFormat="1" applyFont="1" applyBorder="1" applyAlignment="1" applyProtection="1">
      <alignment horizontal="center" vertical="center"/>
      <protection hidden="1"/>
    </xf>
    <xf numFmtId="3" fontId="16" fillId="0" borderId="11" xfId="0" applyNumberFormat="1" applyFont="1" applyBorder="1" applyAlignment="1" applyProtection="1">
      <alignment horizontal="center" vertical="center"/>
      <protection hidden="1"/>
    </xf>
    <xf numFmtId="3" fontId="16" fillId="0" borderId="10" xfId="0" applyNumberFormat="1" applyFont="1" applyBorder="1" applyAlignment="1" applyProtection="1">
      <alignment horizontal="center" vertical="center"/>
      <protection hidden="1"/>
    </xf>
    <xf numFmtId="3" fontId="16" fillId="0" borderId="0" xfId="0" applyNumberFormat="1" applyFont="1" applyAlignment="1" applyProtection="1">
      <alignment horizontal="center" vertical="center"/>
      <protection hidden="1"/>
    </xf>
    <xf numFmtId="166" fontId="16" fillId="0" borderId="2" xfId="0" applyNumberFormat="1" applyFont="1" applyBorder="1" applyAlignment="1" applyProtection="1">
      <alignment horizontal="center" vertical="center"/>
      <protection hidden="1"/>
    </xf>
    <xf numFmtId="166" fontId="16" fillId="0" borderId="3" xfId="0" applyNumberFormat="1" applyFont="1" applyBorder="1" applyAlignment="1" applyProtection="1">
      <alignment horizontal="center" vertical="center"/>
      <protection hidden="1"/>
    </xf>
    <xf numFmtId="0" fontId="16" fillId="0" borderId="7" xfId="0" applyFont="1" applyBorder="1" applyProtection="1">
      <protection hidden="1"/>
    </xf>
    <xf numFmtId="166" fontId="16" fillId="0" borderId="12" xfId="0" applyNumberFormat="1" applyFont="1" applyBorder="1" applyAlignment="1" applyProtection="1">
      <alignment horizontal="center" vertical="center"/>
      <protection hidden="1"/>
    </xf>
    <xf numFmtId="166" fontId="16" fillId="0" borderId="14" xfId="0" applyNumberFormat="1" applyFont="1" applyBorder="1" applyAlignment="1" applyProtection="1">
      <alignment horizontal="center" vertical="center"/>
      <protection hidden="1"/>
    </xf>
    <xf numFmtId="14" fontId="16" fillId="0" borderId="0" xfId="0" applyNumberFormat="1" applyFont="1" applyAlignment="1" applyProtection="1">
      <alignment horizontal="center" vertical="center"/>
      <protection hidden="1"/>
    </xf>
    <xf numFmtId="0" fontId="16" fillId="0" borderId="15" xfId="0" applyFont="1" applyBorder="1" applyAlignment="1" applyProtection="1">
      <alignment horizontal="left"/>
      <protection hidden="1"/>
    </xf>
    <xf numFmtId="0" fontId="16" fillId="0" borderId="9" xfId="0" applyFont="1" applyBorder="1" applyProtection="1">
      <protection hidden="1"/>
    </xf>
    <xf numFmtId="0" fontId="16" fillId="0" borderId="10" xfId="0" applyFont="1" applyBorder="1" applyProtection="1">
      <protection hidden="1"/>
    </xf>
    <xf numFmtId="14" fontId="16" fillId="0" borderId="10" xfId="0" applyNumberFormat="1" applyFont="1" applyBorder="1" applyAlignment="1" applyProtection="1">
      <alignment horizontal="center" vertical="center"/>
      <protection hidden="1"/>
    </xf>
    <xf numFmtId="0" fontId="16" fillId="0" borderId="9" xfId="0" applyFont="1" applyBorder="1" applyAlignment="1" applyProtection="1">
      <alignment horizontal="left" vertical="center"/>
      <protection hidden="1"/>
    </xf>
    <xf numFmtId="0" fontId="16" fillId="0" borderId="7" xfId="0" applyFont="1" applyBorder="1"/>
    <xf numFmtId="0" fontId="16" fillId="0" borderId="0" xfId="0" applyFont="1" applyAlignment="1" applyProtection="1">
      <alignment horizontal="center"/>
      <protection hidden="1"/>
    </xf>
    <xf numFmtId="164" fontId="16" fillId="0" borderId="1" xfId="0" applyNumberFormat="1" applyFont="1" applyBorder="1" applyAlignment="1" applyProtection="1">
      <alignment horizontal="center" vertical="center"/>
      <protection hidden="1"/>
    </xf>
    <xf numFmtId="165" fontId="16" fillId="0" borderId="10" xfId="0" applyNumberFormat="1" applyFont="1" applyBorder="1" applyAlignment="1" applyProtection="1">
      <alignment horizontal="center" vertical="center"/>
      <protection hidden="1"/>
    </xf>
    <xf numFmtId="0" fontId="16" fillId="0" borderId="7" xfId="0" applyFont="1" applyBorder="1" applyAlignment="1" applyProtection="1">
      <alignment horizontal="center"/>
      <protection hidden="1"/>
    </xf>
    <xf numFmtId="166" fontId="16" fillId="0" borderId="5" xfId="0" applyNumberFormat="1" applyFont="1" applyBorder="1" applyAlignment="1" applyProtection="1">
      <alignment horizontal="center" vertical="center"/>
      <protection hidden="1"/>
    </xf>
    <xf numFmtId="166" fontId="16" fillId="0" borderId="8" xfId="0" applyNumberFormat="1" applyFont="1" applyBorder="1" applyAlignment="1" applyProtection="1">
      <alignment horizontal="center" vertical="center"/>
      <protection hidden="1"/>
    </xf>
    <xf numFmtId="0" fontId="16" fillId="0" borderId="5" xfId="0" applyFont="1" applyBorder="1" applyProtection="1">
      <protection hidden="1"/>
    </xf>
    <xf numFmtId="0" fontId="16" fillId="0" borderId="10" xfId="0" applyFont="1" applyBorder="1" applyAlignment="1" applyProtection="1">
      <alignment horizontal="center"/>
      <protection hidden="1"/>
    </xf>
    <xf numFmtId="1" fontId="16" fillId="0" borderId="11" xfId="0" applyNumberFormat="1" applyFont="1" applyBorder="1" applyAlignment="1" applyProtection="1">
      <alignment horizontal="center" vertical="center"/>
      <protection hidden="1"/>
    </xf>
    <xf numFmtId="1" fontId="16" fillId="0" borderId="5" xfId="0" applyNumberFormat="1" applyFont="1" applyBorder="1" applyAlignment="1" applyProtection="1">
      <alignment horizontal="center" vertical="center"/>
      <protection hidden="1"/>
    </xf>
    <xf numFmtId="1" fontId="16" fillId="0" borderId="11" xfId="0" applyNumberFormat="1" applyFont="1" applyBorder="1" applyAlignment="1" applyProtection="1">
      <alignment horizontal="center"/>
      <protection hidden="1"/>
    </xf>
    <xf numFmtId="1" fontId="16" fillId="0" borderId="10" xfId="0" applyNumberFormat="1" applyFont="1" applyBorder="1" applyAlignment="1" applyProtection="1">
      <alignment horizontal="center"/>
      <protection hidden="1"/>
    </xf>
    <xf numFmtId="1" fontId="16" fillId="0" borderId="8" xfId="0" applyNumberFormat="1" applyFont="1" applyBorder="1" applyAlignment="1" applyProtection="1">
      <alignment horizontal="center" vertical="center"/>
      <protection hidden="1"/>
    </xf>
    <xf numFmtId="1" fontId="16" fillId="0" borderId="10" xfId="0" applyNumberFormat="1" applyFont="1" applyBorder="1" applyAlignment="1" applyProtection="1">
      <alignment horizontal="center" vertical="center"/>
      <protection hidden="1"/>
    </xf>
    <xf numFmtId="0" fontId="16" fillId="0" borderId="8" xfId="0" applyFont="1" applyBorder="1" applyProtection="1">
      <protection hidden="1"/>
    </xf>
    <xf numFmtId="0" fontId="16" fillId="0" borderId="9" xfId="0" applyFont="1" applyBorder="1" applyAlignment="1" applyProtection="1">
      <alignment horizontal="center"/>
      <protection hidden="1"/>
    </xf>
    <xf numFmtId="1" fontId="16" fillId="0" borderId="0" xfId="0" applyNumberFormat="1" applyFont="1" applyAlignment="1" applyProtection="1">
      <alignment horizontal="left"/>
      <protection hidden="1"/>
    </xf>
    <xf numFmtId="1" fontId="16" fillId="0" borderId="0" xfId="0" applyNumberFormat="1" applyFont="1" applyAlignment="1" applyProtection="1">
      <alignment horizontal="left" vertical="center"/>
      <protection hidden="1"/>
    </xf>
    <xf numFmtId="1" fontId="16" fillId="0" borderId="0" xfId="0" applyNumberFormat="1" applyFont="1" applyAlignment="1" applyProtection="1">
      <alignment horizontal="center" vertical="center"/>
      <protection hidden="1"/>
    </xf>
    <xf numFmtId="1" fontId="16" fillId="0" borderId="0" xfId="0" applyNumberFormat="1" applyFont="1" applyProtection="1">
      <protection hidden="1"/>
    </xf>
    <xf numFmtId="1" fontId="16" fillId="0" borderId="1" xfId="0" applyNumberFormat="1" applyFont="1" applyBorder="1" applyAlignment="1" applyProtection="1">
      <alignment horizontal="left"/>
      <protection hidden="1"/>
    </xf>
    <xf numFmtId="1" fontId="16" fillId="0" borderId="2" xfId="0" applyNumberFormat="1" applyFont="1" applyBorder="1" applyAlignment="1" applyProtection="1">
      <alignment horizontal="left" vertical="center"/>
      <protection hidden="1"/>
    </xf>
    <xf numFmtId="1" fontId="16" fillId="0" borderId="2" xfId="0" applyNumberFormat="1" applyFont="1" applyBorder="1" applyAlignment="1" applyProtection="1">
      <alignment horizontal="center" vertical="center"/>
      <protection hidden="1"/>
    </xf>
    <xf numFmtId="1" fontId="16" fillId="0" borderId="3" xfId="0" applyNumberFormat="1" applyFont="1" applyBorder="1" applyAlignment="1" applyProtection="1">
      <alignment horizontal="center" vertical="center"/>
      <protection hidden="1"/>
    </xf>
    <xf numFmtId="1" fontId="16" fillId="0" borderId="4" xfId="0" applyNumberFormat="1" applyFont="1" applyBorder="1" applyAlignment="1" applyProtection="1">
      <alignment horizontal="left"/>
      <protection hidden="1"/>
    </xf>
    <xf numFmtId="1" fontId="24" fillId="0" borderId="5" xfId="0" applyNumberFormat="1" applyFont="1" applyBorder="1" applyAlignment="1" applyProtection="1">
      <alignment horizontal="center" vertical="center"/>
      <protection hidden="1"/>
    </xf>
    <xf numFmtId="1" fontId="30" fillId="0" borderId="0" xfId="0" applyNumberFormat="1" applyFont="1" applyAlignment="1" applyProtection="1">
      <alignment horizontal="left" vertical="center"/>
      <protection hidden="1"/>
    </xf>
    <xf numFmtId="1" fontId="16" fillId="0" borderId="6" xfId="0" applyNumberFormat="1" applyFont="1" applyBorder="1" applyAlignment="1" applyProtection="1">
      <alignment horizontal="left"/>
      <protection hidden="1"/>
    </xf>
    <xf numFmtId="1" fontId="16" fillId="0" borderId="7" xfId="0" applyNumberFormat="1" applyFont="1" applyBorder="1" applyAlignment="1" applyProtection="1">
      <alignment horizontal="left" vertical="center"/>
      <protection hidden="1"/>
    </xf>
    <xf numFmtId="1" fontId="16" fillId="0" borderId="7" xfId="0" applyNumberFormat="1" applyFont="1" applyBorder="1" applyAlignment="1" applyProtection="1">
      <alignment horizontal="center" vertical="center"/>
      <protection hidden="1"/>
    </xf>
    <xf numFmtId="1" fontId="16" fillId="0" borderId="4" xfId="0" applyNumberFormat="1" applyFont="1" applyBorder="1" applyAlignment="1" applyProtection="1">
      <alignment horizontal="center" vertical="center"/>
      <protection hidden="1"/>
    </xf>
    <xf numFmtId="1" fontId="16" fillId="0" borderId="6" xfId="0" applyNumberFormat="1" applyFont="1" applyBorder="1" applyAlignment="1" applyProtection="1">
      <alignment horizontal="center" vertical="center"/>
      <protection hidden="1"/>
    </xf>
    <xf numFmtId="1" fontId="16" fillId="0" borderId="9" xfId="0" applyNumberFormat="1" applyFont="1" applyBorder="1" applyAlignment="1" applyProtection="1">
      <alignment horizontal="center" vertical="center"/>
      <protection hidden="1"/>
    </xf>
    <xf numFmtId="1" fontId="16" fillId="0" borderId="1" xfId="0" applyNumberFormat="1" applyFont="1" applyBorder="1" applyAlignment="1" applyProtection="1">
      <alignment horizontal="center" vertical="center"/>
      <protection hidden="1"/>
    </xf>
    <xf numFmtId="1" fontId="16" fillId="0" borderId="9" xfId="0" applyNumberFormat="1" applyFont="1" applyBorder="1" applyProtection="1">
      <protection hidden="1"/>
    </xf>
    <xf numFmtId="1" fontId="13" fillId="0" borderId="0" xfId="1" applyNumberFormat="1" applyFill="1" applyBorder="1" applyAlignment="1" applyProtection="1">
      <alignment horizontal="center"/>
      <protection hidden="1"/>
    </xf>
    <xf numFmtId="1" fontId="16" fillId="0" borderId="10" xfId="0" applyNumberFormat="1" applyFont="1" applyBorder="1" applyProtection="1">
      <protection hidden="1"/>
    </xf>
    <xf numFmtId="1" fontId="30" fillId="0" borderId="7" xfId="0" applyNumberFormat="1" applyFont="1" applyBorder="1" applyAlignment="1" applyProtection="1">
      <alignment horizontal="left" vertical="center"/>
      <protection hidden="1"/>
    </xf>
    <xf numFmtId="1" fontId="16" fillId="0" borderId="15" xfId="0" applyNumberFormat="1" applyFont="1" applyBorder="1" applyAlignment="1" applyProtection="1">
      <alignment horizontal="left"/>
      <protection hidden="1"/>
    </xf>
    <xf numFmtId="1" fontId="16" fillId="0" borderId="12" xfId="0" applyNumberFormat="1" applyFont="1" applyBorder="1" applyAlignment="1" applyProtection="1">
      <alignment horizontal="left" vertical="center"/>
      <protection hidden="1"/>
    </xf>
    <xf numFmtId="1" fontId="16" fillId="0" borderId="12" xfId="0" applyNumberFormat="1" applyFont="1" applyBorder="1" applyAlignment="1" applyProtection="1">
      <alignment horizontal="center" vertical="center"/>
      <protection hidden="1"/>
    </xf>
    <xf numFmtId="1" fontId="16" fillId="0" borderId="14" xfId="0" applyNumberFormat="1" applyFont="1" applyBorder="1" applyAlignment="1" applyProtection="1">
      <alignment horizontal="center" vertical="center"/>
      <protection hidden="1"/>
    </xf>
    <xf numFmtId="1" fontId="29" fillId="0" borderId="0" xfId="0" applyNumberFormat="1" applyFont="1" applyAlignment="1" applyProtection="1">
      <alignment horizontal="left" vertical="center"/>
      <protection hidden="1"/>
    </xf>
    <xf numFmtId="1" fontId="29" fillId="0" borderId="0" xfId="0" applyNumberFormat="1" applyFont="1" applyAlignment="1" applyProtection="1">
      <alignment horizontal="center" vertical="center"/>
      <protection hidden="1"/>
    </xf>
    <xf numFmtId="1" fontId="16" fillId="0" borderId="0" xfId="0" applyNumberFormat="1" applyFont="1"/>
    <xf numFmtId="1" fontId="16" fillId="0" borderId="7" xfId="0" applyNumberFormat="1" applyFont="1" applyBorder="1"/>
    <xf numFmtId="1" fontId="16" fillId="0" borderId="9" xfId="0" applyNumberFormat="1" applyFont="1" applyBorder="1" applyAlignment="1" applyProtection="1">
      <alignment horizontal="center"/>
      <protection hidden="1"/>
    </xf>
    <xf numFmtId="1" fontId="16" fillId="0" borderId="7" xfId="0" applyNumberFormat="1" applyFont="1" applyBorder="1" applyAlignment="1">
      <alignment horizontal="center"/>
    </xf>
    <xf numFmtId="1" fontId="13" fillId="0" borderId="0" xfId="1" applyNumberFormat="1" applyFill="1" applyBorder="1" applyAlignment="1" applyProtection="1">
      <protection hidden="1"/>
    </xf>
    <xf numFmtId="1" fontId="23" fillId="0" borderId="0" xfId="0" applyNumberFormat="1" applyFont="1" applyAlignment="1" applyProtection="1">
      <alignment horizontal="left" vertical="center"/>
      <protection hidden="1"/>
    </xf>
    <xf numFmtId="1" fontId="16" fillId="0" borderId="15" xfId="0" applyNumberFormat="1" applyFont="1" applyBorder="1" applyProtection="1">
      <protection hidden="1"/>
    </xf>
    <xf numFmtId="1" fontId="16" fillId="0" borderId="12" xfId="0" applyNumberFormat="1" applyFont="1" applyBorder="1" applyProtection="1">
      <protection hidden="1"/>
    </xf>
    <xf numFmtId="1" fontId="16" fillId="0" borderId="14" xfId="0" applyNumberFormat="1" applyFont="1" applyBorder="1" applyProtection="1">
      <protection hidden="1"/>
    </xf>
    <xf numFmtId="1" fontId="17" fillId="0" borderId="0" xfId="0" applyNumberFormat="1" applyFont="1" applyAlignment="1" applyProtection="1">
      <alignment horizontal="left" vertical="center"/>
      <protection hidden="1"/>
    </xf>
    <xf numFmtId="0" fontId="13" fillId="0" borderId="0" xfId="1" applyNumberFormat="1" applyFill="1" applyAlignment="1" applyProtection="1">
      <alignment horizontal="right" indent="1"/>
    </xf>
    <xf numFmtId="0" fontId="13" fillId="0" borderId="0" xfId="1" applyNumberFormat="1" applyAlignment="1" applyProtection="1">
      <alignment horizontal="right" indent="1"/>
    </xf>
    <xf numFmtId="0" fontId="15" fillId="0" borderId="0" xfId="0" applyFont="1" applyAlignment="1">
      <alignment horizontal="right" indent="1"/>
    </xf>
    <xf numFmtId="1" fontId="16" fillId="0" borderId="15" xfId="0" applyNumberFormat="1" applyFont="1" applyBorder="1" applyAlignment="1" applyProtection="1">
      <alignment horizontal="center" vertical="center"/>
      <protection hidden="1"/>
    </xf>
    <xf numFmtId="1" fontId="16" fillId="0" borderId="13" xfId="0" applyNumberFormat="1" applyFont="1" applyBorder="1" applyAlignment="1" applyProtection="1">
      <alignment horizontal="center" vertical="center"/>
      <protection hidden="1"/>
    </xf>
    <xf numFmtId="1" fontId="16" fillId="0" borderId="0" xfId="3" applyNumberFormat="1"/>
    <xf numFmtId="1" fontId="20" fillId="0" borderId="0" xfId="1" applyNumberFormat="1" applyFont="1" applyFill="1" applyAlignment="1" applyProtection="1">
      <alignment horizontal="center" vertical="center"/>
      <protection hidden="1"/>
    </xf>
    <xf numFmtId="1" fontId="10" fillId="2" borderId="16" xfId="3" applyNumberFormat="1" applyFont="1" applyFill="1" applyBorder="1" applyAlignment="1">
      <alignment horizontal="center" vertical="center"/>
    </xf>
    <xf numFmtId="1" fontId="10" fillId="2" borderId="17" xfId="3" applyNumberFormat="1" applyFont="1" applyFill="1" applyBorder="1" applyAlignment="1">
      <alignment horizontal="center" vertical="center"/>
    </xf>
    <xf numFmtId="1" fontId="14" fillId="0" borderId="18" xfId="3" applyNumberFormat="1" applyFont="1" applyBorder="1"/>
    <xf numFmtId="1" fontId="22" fillId="0" borderId="19" xfId="3" applyNumberFormat="1" applyFont="1" applyBorder="1" applyAlignment="1">
      <alignment horizontal="right"/>
    </xf>
    <xf numFmtId="1" fontId="14" fillId="0" borderId="20" xfId="3" applyNumberFormat="1" applyFont="1" applyBorder="1"/>
    <xf numFmtId="1" fontId="22" fillId="0" borderId="21" xfId="3" applyNumberFormat="1" applyFont="1" applyBorder="1" applyAlignment="1">
      <alignment horizontal="right"/>
    </xf>
    <xf numFmtId="1" fontId="22" fillId="2" borderId="22" xfId="3" applyNumberFormat="1" applyFont="1" applyFill="1" applyBorder="1" applyAlignment="1">
      <alignment horizontal="center" vertical="center"/>
    </xf>
    <xf numFmtId="1" fontId="22" fillId="2" borderId="23" xfId="3" applyNumberFormat="1" applyFont="1" applyFill="1" applyBorder="1" applyAlignment="1">
      <alignment horizontal="center" vertical="center"/>
    </xf>
    <xf numFmtId="1" fontId="22" fillId="2" borderId="24" xfId="3" applyNumberFormat="1" applyFont="1" applyFill="1" applyBorder="1" applyAlignment="1">
      <alignment horizontal="center" vertical="center"/>
    </xf>
    <xf numFmtId="1" fontId="14" fillId="2" borderId="23" xfId="3" applyNumberFormat="1" applyFont="1" applyFill="1" applyBorder="1" applyAlignment="1">
      <alignment horizontal="left" vertical="center"/>
    </xf>
    <xf numFmtId="1" fontId="22" fillId="2" borderId="24" xfId="3" applyNumberFormat="1" applyFont="1" applyFill="1" applyBorder="1" applyAlignment="1">
      <alignment horizontal="right" vertical="center"/>
    </xf>
    <xf numFmtId="1" fontId="14" fillId="2" borderId="25" xfId="3" applyNumberFormat="1" applyFont="1" applyFill="1" applyBorder="1" applyAlignment="1">
      <alignment horizontal="left" vertical="center"/>
    </xf>
    <xf numFmtId="1" fontId="22" fillId="2" borderId="26" xfId="3" applyNumberFormat="1" applyFont="1" applyFill="1" applyBorder="1" applyAlignment="1">
      <alignment horizontal="right" vertical="center"/>
    </xf>
    <xf numFmtId="1" fontId="14" fillId="2" borderId="20" xfId="3" applyNumberFormat="1" applyFont="1" applyFill="1" applyBorder="1" applyAlignment="1">
      <alignment horizontal="left" vertical="center"/>
    </xf>
    <xf numFmtId="1" fontId="22" fillId="2" borderId="21" xfId="3" applyNumberFormat="1" applyFont="1" applyFill="1" applyBorder="1" applyAlignment="1">
      <alignment horizontal="right" vertical="center"/>
    </xf>
    <xf numFmtId="1" fontId="14" fillId="2" borderId="25" xfId="3" applyNumberFormat="1" applyFont="1" applyFill="1" applyBorder="1" applyAlignment="1">
      <alignment horizontal="left" vertical="center" wrapText="1"/>
    </xf>
    <xf numFmtId="1" fontId="14" fillId="2" borderId="27" xfId="3" applyNumberFormat="1" applyFont="1" applyFill="1" applyBorder="1"/>
    <xf numFmtId="1" fontId="14" fillId="2" borderId="7" xfId="3" applyNumberFormat="1" applyFont="1" applyFill="1" applyBorder="1"/>
    <xf numFmtId="1" fontId="16" fillId="0" borderId="0" xfId="3" applyNumberFormat="1" applyAlignment="1">
      <alignment horizontal="right"/>
    </xf>
    <xf numFmtId="1" fontId="22" fillId="2" borderId="16" xfId="3" applyNumberFormat="1" applyFont="1" applyFill="1" applyBorder="1" applyAlignment="1">
      <alignment horizontal="center" vertical="center"/>
    </xf>
    <xf numFmtId="1" fontId="22" fillId="2" borderId="17" xfId="3" applyNumberFormat="1" applyFont="1" applyFill="1" applyBorder="1" applyAlignment="1">
      <alignment horizontal="center" vertical="center"/>
    </xf>
    <xf numFmtId="1" fontId="22" fillId="2" borderId="28" xfId="3" applyNumberFormat="1" applyFont="1" applyFill="1" applyBorder="1" applyAlignment="1">
      <alignment horizontal="center" vertical="center"/>
    </xf>
    <xf numFmtId="1" fontId="14" fillId="2" borderId="29" xfId="3" applyNumberFormat="1" applyFont="1" applyFill="1" applyBorder="1" applyAlignment="1">
      <alignment horizontal="left" vertical="center"/>
    </xf>
    <xf numFmtId="1" fontId="22" fillId="2" borderId="30" xfId="3" applyNumberFormat="1" applyFont="1" applyFill="1" applyBorder="1" applyAlignment="1">
      <alignment horizontal="right" vertical="center"/>
    </xf>
    <xf numFmtId="1" fontId="14" fillId="2" borderId="18" xfId="3" applyNumberFormat="1" applyFont="1" applyFill="1" applyBorder="1" applyAlignment="1">
      <alignment horizontal="left" vertical="center"/>
    </xf>
    <xf numFmtId="1" fontId="22" fillId="2" borderId="19" xfId="3" applyNumberFormat="1" applyFont="1" applyFill="1" applyBorder="1" applyAlignment="1">
      <alignment horizontal="right" vertical="center"/>
    </xf>
    <xf numFmtId="1" fontId="14" fillId="2" borderId="27" xfId="3" applyNumberFormat="1" applyFont="1" applyFill="1" applyBorder="1" applyAlignment="1">
      <alignment horizontal="left" vertical="center"/>
    </xf>
    <xf numFmtId="1" fontId="22" fillId="2" borderId="31" xfId="3" applyNumberFormat="1" applyFont="1" applyFill="1" applyBorder="1" applyAlignment="1">
      <alignment horizontal="right" vertical="center"/>
    </xf>
    <xf numFmtId="1" fontId="14" fillId="2" borderId="32" xfId="3" applyNumberFormat="1" applyFont="1" applyFill="1" applyBorder="1" applyAlignment="1">
      <alignment horizontal="left" vertical="center"/>
    </xf>
    <xf numFmtId="1" fontId="22" fillId="2" borderId="33" xfId="3" applyNumberFormat="1" applyFont="1" applyFill="1" applyBorder="1" applyAlignment="1">
      <alignment horizontal="right" vertical="center"/>
    </xf>
    <xf numFmtId="1" fontId="14" fillId="2" borderId="16" xfId="3" applyNumberFormat="1" applyFont="1" applyFill="1" applyBorder="1" applyAlignment="1">
      <alignment horizontal="center" vertical="center"/>
    </xf>
    <xf numFmtId="1" fontId="26" fillId="0" borderId="34" xfId="3" applyNumberFormat="1" applyFont="1" applyBorder="1" applyAlignment="1">
      <alignment horizontal="center"/>
    </xf>
    <xf numFmtId="1" fontId="26" fillId="0" borderId="27" xfId="3" applyNumberFormat="1" applyFont="1" applyBorder="1" applyAlignment="1">
      <alignment horizontal="center"/>
    </xf>
    <xf numFmtId="1" fontId="26" fillId="0" borderId="31" xfId="3" applyNumberFormat="1" applyFont="1" applyBorder="1" applyAlignment="1">
      <alignment horizontal="center"/>
    </xf>
    <xf numFmtId="1" fontId="23" fillId="0" borderId="32" xfId="3" applyNumberFormat="1" applyFont="1" applyBorder="1"/>
    <xf numFmtId="1" fontId="26" fillId="0" borderId="33" xfId="3" applyNumberFormat="1" applyFont="1" applyBorder="1" applyAlignment="1">
      <alignment horizontal="right"/>
    </xf>
    <xf numFmtId="1" fontId="23" fillId="0" borderId="20" xfId="3" applyNumberFormat="1" applyFont="1" applyBorder="1"/>
    <xf numFmtId="1" fontId="26" fillId="0" borderId="21" xfId="3" applyNumberFormat="1" applyFont="1" applyBorder="1" applyAlignment="1">
      <alignment horizontal="right"/>
    </xf>
    <xf numFmtId="1" fontId="22" fillId="2" borderId="32" xfId="3" applyNumberFormat="1" applyFont="1" applyFill="1" applyBorder="1" applyAlignment="1">
      <alignment horizontal="center" vertical="center"/>
    </xf>
    <xf numFmtId="1" fontId="22" fillId="2" borderId="25" xfId="3" applyNumberFormat="1" applyFont="1" applyFill="1" applyBorder="1" applyAlignment="1">
      <alignment horizontal="right" vertical="center"/>
    </xf>
    <xf numFmtId="1" fontId="22" fillId="2" borderId="20" xfId="3" applyNumberFormat="1" applyFont="1" applyFill="1" applyBorder="1" applyAlignment="1">
      <alignment horizontal="right" vertical="center"/>
    </xf>
    <xf numFmtId="1" fontId="26" fillId="0" borderId="16" xfId="3" applyNumberFormat="1" applyFont="1" applyBorder="1" applyAlignment="1">
      <alignment horizontal="center"/>
    </xf>
    <xf numFmtId="1" fontId="26" fillId="0" borderId="17" xfId="3" applyNumberFormat="1" applyFont="1" applyBorder="1" applyAlignment="1">
      <alignment horizontal="center"/>
    </xf>
    <xf numFmtId="1" fontId="26" fillId="0" borderId="28" xfId="3" applyNumberFormat="1" applyFont="1" applyBorder="1" applyAlignment="1">
      <alignment horizontal="center"/>
    </xf>
    <xf numFmtId="1" fontId="23" fillId="0" borderId="27" xfId="3" applyNumberFormat="1" applyFont="1" applyBorder="1"/>
    <xf numFmtId="1" fontId="26" fillId="2" borderId="31" xfId="3" applyNumberFormat="1" applyFont="1" applyFill="1" applyBorder="1" applyAlignment="1">
      <alignment horizontal="right" vertical="center"/>
    </xf>
    <xf numFmtId="1" fontId="26" fillId="2" borderId="21" xfId="3" applyNumberFormat="1" applyFont="1" applyFill="1" applyBorder="1" applyAlignment="1">
      <alignment horizontal="right" vertical="center"/>
    </xf>
    <xf numFmtId="1" fontId="26" fillId="2" borderId="16" xfId="3" applyNumberFormat="1" applyFont="1" applyFill="1" applyBorder="1" applyAlignment="1">
      <alignment horizontal="center" vertical="center"/>
    </xf>
    <xf numFmtId="1" fontId="26" fillId="2" borderId="17" xfId="3" applyNumberFormat="1" applyFont="1" applyFill="1" applyBorder="1" applyAlignment="1">
      <alignment horizontal="center" vertical="center"/>
    </xf>
    <xf numFmtId="1" fontId="26" fillId="2" borderId="28" xfId="3" applyNumberFormat="1" applyFont="1" applyFill="1" applyBorder="1" applyAlignment="1">
      <alignment horizontal="center" vertical="center"/>
    </xf>
    <xf numFmtId="1" fontId="22" fillId="2" borderId="34" xfId="3" applyNumberFormat="1" applyFont="1" applyFill="1" applyBorder="1" applyAlignment="1">
      <alignment horizontal="center" vertical="center"/>
    </xf>
    <xf numFmtId="1" fontId="22" fillId="2" borderId="27" xfId="3" applyNumberFormat="1" applyFont="1" applyFill="1" applyBorder="1" applyAlignment="1">
      <alignment horizontal="center" vertical="center"/>
    </xf>
    <xf numFmtId="1" fontId="22" fillId="2" borderId="31" xfId="3" applyNumberFormat="1" applyFont="1" applyFill="1" applyBorder="1" applyAlignment="1">
      <alignment horizontal="center" vertical="center"/>
    </xf>
    <xf numFmtId="1" fontId="14" fillId="2" borderId="35" xfId="3" applyNumberFormat="1" applyFont="1" applyFill="1" applyBorder="1" applyAlignment="1">
      <alignment horizontal="center" vertical="center"/>
    </xf>
    <xf numFmtId="0" fontId="0" fillId="0" borderId="0" xfId="0" applyAlignment="1">
      <alignment vertical="top" wrapText="1"/>
    </xf>
    <xf numFmtId="0" fontId="37" fillId="0" borderId="0" xfId="0" applyFont="1"/>
    <xf numFmtId="0" fontId="2" fillId="0" borderId="0" xfId="0" applyFont="1" applyAlignment="1">
      <alignment vertical="top" wrapText="1"/>
    </xf>
    <xf numFmtId="0" fontId="0" fillId="0" borderId="0" xfId="0" applyAlignment="1">
      <alignment wrapText="1"/>
    </xf>
    <xf numFmtId="0" fontId="16" fillId="0" borderId="0" xfId="0" applyFont="1" applyAlignment="1">
      <alignment vertical="top" wrapText="1"/>
    </xf>
    <xf numFmtId="0" fontId="38" fillId="0" borderId="0" xfId="0" applyFont="1"/>
    <xf numFmtId="0" fontId="23" fillId="0" borderId="0" xfId="0" applyFont="1" applyAlignment="1">
      <alignment vertical="top"/>
    </xf>
    <xf numFmtId="9" fontId="16" fillId="0" borderId="0" xfId="3" applyNumberFormat="1"/>
    <xf numFmtId="164" fontId="16" fillId="0" borderId="4" xfId="0" applyNumberFormat="1" applyFont="1" applyBorder="1" applyAlignment="1" applyProtection="1">
      <alignment horizontal="center" vertical="center"/>
      <protection hidden="1"/>
    </xf>
    <xf numFmtId="1" fontId="30" fillId="0" borderId="0" xfId="0" applyNumberFormat="1" applyFont="1" applyAlignment="1" applyProtection="1">
      <alignment horizontal="left" vertical="center" wrapText="1"/>
      <protection hidden="1"/>
    </xf>
    <xf numFmtId="1" fontId="30" fillId="0" borderId="5" xfId="0" applyNumberFormat="1" applyFont="1" applyBorder="1" applyAlignment="1" applyProtection="1">
      <alignment horizontal="left" vertical="center" wrapText="1"/>
      <protection hidden="1"/>
    </xf>
    <xf numFmtId="16" fontId="16" fillId="0" borderId="9" xfId="0" applyNumberFormat="1" applyFont="1" applyBorder="1" applyAlignment="1" applyProtection="1">
      <alignment horizontal="center" vertical="center"/>
      <protection hidden="1"/>
    </xf>
    <xf numFmtId="0" fontId="16" fillId="0" borderId="4" xfId="0" applyFont="1" applyBorder="1" applyAlignment="1" applyProtection="1">
      <alignment horizontal="left" vertical="center"/>
      <protection hidden="1"/>
    </xf>
    <xf numFmtId="0" fontId="16" fillId="0" borderId="32" xfId="0" applyFont="1" applyBorder="1" applyAlignment="1" applyProtection="1">
      <alignment horizontal="center" vertical="center"/>
      <protection hidden="1"/>
    </xf>
    <xf numFmtId="0" fontId="16" fillId="0" borderId="34" xfId="0" applyFont="1" applyBorder="1" applyAlignment="1" applyProtection="1">
      <alignment horizontal="center" vertical="center"/>
      <protection hidden="1"/>
    </xf>
    <xf numFmtId="0" fontId="16" fillId="0" borderId="27" xfId="0" applyFont="1" applyBorder="1" applyAlignment="1" applyProtection="1">
      <alignment horizontal="center" vertical="center"/>
      <protection hidden="1"/>
    </xf>
    <xf numFmtId="0" fontId="16" fillId="0" borderId="31" xfId="0" applyFont="1" applyBorder="1" applyAlignment="1" applyProtection="1">
      <alignment horizontal="center" vertical="center"/>
      <protection hidden="1"/>
    </xf>
    <xf numFmtId="0" fontId="16" fillId="0" borderId="36" xfId="0" applyFont="1" applyBorder="1" applyAlignment="1" applyProtection="1">
      <alignment horizontal="center" vertical="center"/>
      <protection hidden="1"/>
    </xf>
    <xf numFmtId="0" fontId="16" fillId="0" borderId="33" xfId="0" applyFont="1" applyBorder="1" applyAlignment="1" applyProtection="1">
      <alignment horizontal="center" vertical="center"/>
      <protection hidden="1"/>
    </xf>
    <xf numFmtId="14" fontId="16" fillId="0" borderId="35" xfId="0" applyNumberFormat="1" applyFont="1" applyBorder="1" applyAlignment="1" applyProtection="1">
      <alignment horizontal="center" vertical="center"/>
      <protection hidden="1"/>
    </xf>
    <xf numFmtId="0" fontId="16" fillId="0" borderId="20" xfId="0" applyFont="1" applyBorder="1" applyAlignment="1" applyProtection="1">
      <alignment horizontal="center" vertical="center"/>
      <protection hidden="1"/>
    </xf>
    <xf numFmtId="0" fontId="16" fillId="0" borderId="21" xfId="0" applyFont="1" applyBorder="1" applyAlignment="1" applyProtection="1">
      <alignment horizontal="center" vertical="center"/>
      <protection hidden="1"/>
    </xf>
    <xf numFmtId="1" fontId="16" fillId="0" borderId="11" xfId="0" applyNumberFormat="1" applyFont="1" applyBorder="1" applyAlignment="1" applyProtection="1">
      <alignment horizontal="left" vertical="center" wrapText="1"/>
      <protection hidden="1"/>
    </xf>
    <xf numFmtId="1" fontId="30" fillId="0" borderId="2" xfId="0" applyNumberFormat="1" applyFont="1" applyBorder="1" applyAlignment="1" applyProtection="1">
      <alignment horizontal="left" vertical="center" wrapText="1"/>
      <protection hidden="1"/>
    </xf>
    <xf numFmtId="1" fontId="30" fillId="0" borderId="3" xfId="0" applyNumberFormat="1" applyFont="1" applyBorder="1" applyAlignment="1" applyProtection="1">
      <alignment horizontal="left" vertical="center" wrapText="1"/>
      <protection hidden="1"/>
    </xf>
    <xf numFmtId="1" fontId="16" fillId="0" borderId="9" xfId="0" applyNumberFormat="1" applyFont="1" applyBorder="1" applyAlignment="1" applyProtection="1">
      <alignment horizontal="left" vertical="center" wrapText="1"/>
      <protection hidden="1"/>
    </xf>
    <xf numFmtId="1" fontId="30" fillId="0" borderId="9" xfId="0" applyNumberFormat="1" applyFont="1" applyBorder="1" applyAlignment="1" applyProtection="1">
      <alignment horizontal="left" vertical="center" wrapText="1"/>
      <protection hidden="1"/>
    </xf>
    <xf numFmtId="1" fontId="30" fillId="0" borderId="11" xfId="0" applyNumberFormat="1" applyFont="1" applyBorder="1" applyAlignment="1" applyProtection="1">
      <alignment horizontal="left" vertical="center" wrapText="1"/>
      <protection hidden="1"/>
    </xf>
    <xf numFmtId="1" fontId="30" fillId="0" borderId="12" xfId="0" applyNumberFormat="1" applyFont="1" applyBorder="1" applyAlignment="1" applyProtection="1">
      <alignment horizontal="left" vertical="center" wrapText="1"/>
      <protection hidden="1"/>
    </xf>
    <xf numFmtId="1" fontId="16" fillId="0" borderId="14" xfId="0" applyNumberFormat="1" applyFont="1" applyBorder="1" applyAlignment="1" applyProtection="1">
      <alignment horizontal="left" vertical="center" wrapText="1"/>
      <protection hidden="1"/>
    </xf>
    <xf numFmtId="1" fontId="30" fillId="0" borderId="14" xfId="0" applyNumberFormat="1" applyFont="1" applyBorder="1" applyAlignment="1" applyProtection="1">
      <alignment horizontal="left" vertical="center" wrapText="1"/>
      <protection hidden="1"/>
    </xf>
    <xf numFmtId="1" fontId="16" fillId="0" borderId="13" xfId="0" applyNumberFormat="1" applyFont="1" applyBorder="1" applyAlignment="1" applyProtection="1">
      <alignment horizontal="left" vertical="center" wrapText="1"/>
      <protection hidden="1"/>
    </xf>
    <xf numFmtId="49" fontId="13" fillId="0" borderId="0" xfId="1" applyNumberFormat="1" applyAlignment="1" applyProtection="1">
      <alignment horizontal="right" indent="1"/>
      <protection locked="0"/>
    </xf>
    <xf numFmtId="1" fontId="16" fillId="0" borderId="0" xfId="3" applyNumberFormat="1" applyAlignment="1" applyProtection="1">
      <alignment vertical="top"/>
      <protection locked="0"/>
    </xf>
    <xf numFmtId="1" fontId="16" fillId="0" borderId="2" xfId="3" applyNumberFormat="1" applyBorder="1" applyAlignment="1" applyProtection="1">
      <alignment vertical="top" wrapText="1"/>
      <protection locked="0"/>
    </xf>
    <xf numFmtId="1" fontId="16" fillId="0" borderId="2" xfId="3" applyNumberFormat="1" applyBorder="1" applyAlignment="1" applyProtection="1">
      <alignment vertical="top"/>
      <protection locked="0"/>
    </xf>
    <xf numFmtId="1" fontId="16" fillId="0" borderId="0" xfId="3" applyNumberFormat="1" applyAlignment="1" applyProtection="1">
      <alignment horizontal="right" vertical="top" wrapText="1"/>
      <protection locked="0"/>
    </xf>
    <xf numFmtId="1" fontId="16" fillId="0" borderId="0" xfId="3" applyNumberFormat="1" applyAlignment="1" applyProtection="1">
      <alignment vertical="center"/>
      <protection locked="0"/>
    </xf>
    <xf numFmtId="1" fontId="16" fillId="0" borderId="0" xfId="3" applyNumberFormat="1" applyAlignment="1" applyProtection="1">
      <alignment vertical="center" wrapText="1"/>
      <protection locked="0"/>
    </xf>
    <xf numFmtId="1" fontId="16" fillId="0" borderId="0" xfId="3" applyNumberFormat="1" applyAlignment="1" applyProtection="1">
      <alignment horizontal="right" vertical="center" wrapText="1"/>
      <protection locked="0"/>
    </xf>
    <xf numFmtId="1" fontId="22" fillId="2" borderId="14" xfId="3" applyNumberFormat="1" applyFont="1" applyFill="1" applyBorder="1" applyAlignment="1">
      <alignment horizontal="center" vertical="center"/>
    </xf>
    <xf numFmtId="1" fontId="14" fillId="2" borderId="28" xfId="3" applyNumberFormat="1" applyFont="1" applyFill="1" applyBorder="1" applyAlignment="1">
      <alignment horizontal="left" vertical="center"/>
    </xf>
    <xf numFmtId="1" fontId="22" fillId="2" borderId="13" xfId="3" applyNumberFormat="1" applyFont="1" applyFill="1" applyBorder="1" applyAlignment="1">
      <alignment horizontal="right" vertical="center"/>
    </xf>
    <xf numFmtId="14" fontId="16" fillId="0" borderId="15" xfId="0" applyNumberFormat="1" applyFont="1" applyBorder="1" applyAlignment="1" applyProtection="1">
      <alignment horizontal="center" vertical="center"/>
      <protection hidden="1"/>
    </xf>
    <xf numFmtId="1" fontId="16" fillId="0" borderId="7" xfId="3" applyNumberFormat="1" applyBorder="1" applyAlignment="1" applyProtection="1">
      <alignment vertical="top"/>
      <protection locked="0"/>
    </xf>
    <xf numFmtId="1" fontId="16" fillId="0" borderId="7" xfId="3" applyNumberFormat="1" applyBorder="1" applyAlignment="1" applyProtection="1">
      <alignment vertical="top" wrapText="1"/>
      <protection locked="0"/>
    </xf>
    <xf numFmtId="1" fontId="16" fillId="0" borderId="7" xfId="3" applyNumberFormat="1" applyBorder="1" applyAlignment="1" applyProtection="1">
      <alignment horizontal="right" vertical="top" wrapText="1"/>
      <protection locked="0"/>
    </xf>
    <xf numFmtId="1" fontId="16" fillId="0" borderId="0" xfId="3" applyNumberFormat="1" applyAlignment="1" applyProtection="1">
      <alignment vertical="top" wrapText="1"/>
      <protection locked="0"/>
    </xf>
    <xf numFmtId="1" fontId="14" fillId="2" borderId="22" xfId="3" applyNumberFormat="1" applyFont="1" applyFill="1" applyBorder="1" applyAlignment="1">
      <alignment horizontal="center" vertical="center"/>
    </xf>
    <xf numFmtId="1" fontId="18" fillId="0" borderId="0" xfId="2" applyNumberFormat="1" applyFont="1" applyProtection="1">
      <protection hidden="1"/>
    </xf>
    <xf numFmtId="1" fontId="22" fillId="0" borderId="21" xfId="2" applyNumberFormat="1" applyFont="1" applyBorder="1" applyAlignment="1">
      <alignment horizontal="right"/>
    </xf>
    <xf numFmtId="1" fontId="14" fillId="0" borderId="20" xfId="2" applyNumberFormat="1" applyFont="1" applyBorder="1"/>
    <xf numFmtId="1" fontId="22" fillId="2" borderId="33" xfId="2" applyNumberFormat="1" applyFont="1" applyFill="1" applyBorder="1" applyAlignment="1">
      <alignment horizontal="right" vertical="center"/>
    </xf>
    <xf numFmtId="1" fontId="14" fillId="2" borderId="32" xfId="2" applyNumberFormat="1" applyFont="1" applyFill="1" applyBorder="1" applyAlignment="1">
      <alignment horizontal="left" vertical="center"/>
    </xf>
    <xf numFmtId="1" fontId="22" fillId="2" borderId="31" xfId="2" applyNumberFormat="1" applyFont="1" applyFill="1" applyBorder="1" applyAlignment="1">
      <alignment horizontal="right" vertical="center"/>
    </xf>
    <xf numFmtId="1" fontId="14" fillId="2" borderId="27" xfId="2" applyNumberFormat="1" applyFont="1" applyFill="1" applyBorder="1" applyAlignment="1">
      <alignment horizontal="left" vertical="center"/>
    </xf>
    <xf numFmtId="1" fontId="22" fillId="2" borderId="28" xfId="2" applyNumberFormat="1" applyFont="1" applyFill="1" applyBorder="1" applyAlignment="1">
      <alignment horizontal="center" vertical="center"/>
    </xf>
    <xf numFmtId="1" fontId="22" fillId="2" borderId="17" xfId="2" applyNumberFormat="1" applyFont="1" applyFill="1" applyBorder="1" applyAlignment="1">
      <alignment horizontal="center" vertical="center"/>
    </xf>
    <xf numFmtId="1" fontId="22" fillId="2" borderId="16" xfId="2" applyNumberFormat="1" applyFont="1" applyFill="1" applyBorder="1" applyAlignment="1">
      <alignment horizontal="center" vertical="center"/>
    </xf>
    <xf numFmtId="1" fontId="22" fillId="2" borderId="21" xfId="2" applyNumberFormat="1" applyFont="1" applyFill="1" applyBorder="1" applyAlignment="1">
      <alignment horizontal="right" vertical="center"/>
    </xf>
    <xf numFmtId="1" fontId="14" fillId="2" borderId="20" xfId="2" applyNumberFormat="1" applyFont="1" applyFill="1" applyBorder="1" applyAlignment="1">
      <alignment horizontal="left" vertical="center"/>
    </xf>
    <xf numFmtId="1" fontId="16" fillId="0" borderId="0" xfId="2" applyNumberFormat="1" applyAlignment="1">
      <alignment horizontal="right"/>
    </xf>
    <xf numFmtId="1" fontId="16" fillId="0" borderId="0" xfId="2" applyNumberFormat="1"/>
    <xf numFmtId="1" fontId="26" fillId="0" borderId="21" xfId="2" applyNumberFormat="1" applyFont="1" applyBorder="1" applyAlignment="1">
      <alignment horizontal="right"/>
    </xf>
    <xf numFmtId="1" fontId="23" fillId="0" borderId="7" xfId="2" applyNumberFormat="1" applyFont="1" applyBorder="1"/>
    <xf numFmtId="1" fontId="26" fillId="0" borderId="26" xfId="2" applyNumberFormat="1" applyFont="1" applyBorder="1" applyAlignment="1">
      <alignment horizontal="right"/>
    </xf>
    <xf numFmtId="1" fontId="23" fillId="0" borderId="32" xfId="2" applyNumberFormat="1" applyFont="1" applyBorder="1"/>
    <xf numFmtId="1" fontId="26" fillId="0" borderId="30" xfId="2" applyNumberFormat="1" applyFont="1" applyBorder="1" applyAlignment="1">
      <alignment horizontal="right"/>
    </xf>
    <xf numFmtId="1" fontId="23" fillId="0" borderId="0" xfId="2" applyNumberFormat="1" applyFont="1"/>
    <xf numFmtId="1" fontId="26" fillId="0" borderId="33" xfId="2" applyNumberFormat="1" applyFont="1" applyBorder="1" applyAlignment="1">
      <alignment horizontal="right"/>
    </xf>
    <xf numFmtId="1" fontId="23" fillId="0" borderId="18" xfId="2" applyNumberFormat="1" applyFont="1" applyBorder="1"/>
    <xf numFmtId="1" fontId="23" fillId="0" borderId="37" xfId="2" applyNumberFormat="1" applyFont="1" applyBorder="1"/>
    <xf numFmtId="1" fontId="26" fillId="0" borderId="31" xfId="2" applyNumberFormat="1" applyFont="1" applyBorder="1" applyAlignment="1">
      <alignment horizontal="right"/>
    </xf>
    <xf numFmtId="1" fontId="23" fillId="0" borderId="27" xfId="2" applyNumberFormat="1" applyFont="1" applyBorder="1"/>
    <xf numFmtId="1" fontId="23" fillId="0" borderId="20" xfId="2" applyNumberFormat="1" applyFont="1" applyBorder="1"/>
    <xf numFmtId="1" fontId="18" fillId="0" borderId="0" xfId="2" applyNumberFormat="1" applyFont="1" applyAlignment="1" applyProtection="1">
      <alignment horizontal="center"/>
      <protection hidden="1"/>
    </xf>
    <xf numFmtId="1" fontId="26" fillId="0" borderId="24" xfId="2" applyNumberFormat="1" applyFont="1" applyBorder="1" applyAlignment="1">
      <alignment horizontal="right"/>
    </xf>
    <xf numFmtId="1" fontId="23" fillId="0" borderId="2" xfId="2" applyNumberFormat="1" applyFont="1" applyBorder="1"/>
    <xf numFmtId="1" fontId="26" fillId="0" borderId="28" xfId="2" applyNumberFormat="1" applyFont="1" applyBorder="1" applyAlignment="1">
      <alignment horizontal="center"/>
    </xf>
    <xf numFmtId="1" fontId="26" fillId="0" borderId="12" xfId="2" applyNumberFormat="1" applyFont="1" applyBorder="1" applyAlignment="1">
      <alignment horizontal="center"/>
    </xf>
    <xf numFmtId="1" fontId="26" fillId="0" borderId="16" xfId="2" applyNumberFormat="1" applyFont="1" applyBorder="1" applyAlignment="1">
      <alignment horizontal="center"/>
    </xf>
    <xf numFmtId="1" fontId="18" fillId="0" borderId="7" xfId="2" applyNumberFormat="1" applyFont="1" applyBorder="1" applyProtection="1">
      <protection hidden="1"/>
    </xf>
    <xf numFmtId="1" fontId="22" fillId="2" borderId="26" xfId="2" applyNumberFormat="1" applyFont="1" applyFill="1" applyBorder="1" applyAlignment="1">
      <alignment horizontal="right" vertical="center"/>
    </xf>
    <xf numFmtId="1" fontId="14" fillId="2" borderId="25" xfId="2" applyNumberFormat="1" applyFont="1" applyFill="1" applyBorder="1" applyAlignment="1">
      <alignment horizontal="left" vertical="center"/>
    </xf>
    <xf numFmtId="1" fontId="22" fillId="2" borderId="19" xfId="2" applyNumberFormat="1" applyFont="1" applyFill="1" applyBorder="1" applyAlignment="1">
      <alignment horizontal="right" vertical="center"/>
    </xf>
    <xf numFmtId="1" fontId="14" fillId="2" borderId="18" xfId="2" applyNumberFormat="1" applyFont="1" applyFill="1" applyBorder="1" applyAlignment="1">
      <alignment horizontal="left" vertical="center"/>
    </xf>
    <xf numFmtId="1" fontId="22" fillId="2" borderId="28" xfId="2" applyNumberFormat="1" applyFont="1" applyFill="1" applyBorder="1" applyAlignment="1">
      <alignment horizontal="center" vertical="center" wrapText="1"/>
    </xf>
    <xf numFmtId="1" fontId="22" fillId="2" borderId="17" xfId="2" applyNumberFormat="1" applyFont="1" applyFill="1" applyBorder="1" applyAlignment="1">
      <alignment horizontal="left" vertical="center"/>
    </xf>
    <xf numFmtId="1" fontId="22" fillId="2" borderId="16" xfId="2" applyNumberFormat="1" applyFont="1" applyFill="1" applyBorder="1" applyAlignment="1">
      <alignment horizontal="left" vertical="center"/>
    </xf>
    <xf numFmtId="1" fontId="18" fillId="0" borderId="0" xfId="2" applyNumberFormat="1" applyFont="1" applyProtection="1">
      <protection locked="0" hidden="1"/>
    </xf>
    <xf numFmtId="1" fontId="14" fillId="2" borderId="38" xfId="2" applyNumberFormat="1" applyFont="1" applyFill="1" applyBorder="1" applyAlignment="1">
      <alignment horizontal="center" vertical="center"/>
    </xf>
    <xf numFmtId="1" fontId="14" fillId="2" borderId="36" xfId="2" applyNumberFormat="1" applyFont="1" applyFill="1" applyBorder="1" applyAlignment="1">
      <alignment horizontal="center" vertical="center"/>
    </xf>
    <xf numFmtId="1" fontId="10" fillId="2" borderId="17" xfId="2" applyNumberFormat="1" applyFont="1" applyFill="1" applyBorder="1" applyAlignment="1">
      <alignment horizontal="center" vertical="center"/>
    </xf>
    <xf numFmtId="1" fontId="10" fillId="2" borderId="16" xfId="2" applyNumberFormat="1" applyFont="1" applyFill="1" applyBorder="1" applyAlignment="1">
      <alignment horizontal="center" vertical="center"/>
    </xf>
    <xf numFmtId="1" fontId="19" fillId="0" borderId="0" xfId="2" applyNumberFormat="1" applyFont="1" applyAlignment="1" applyProtection="1">
      <alignment horizontal="center"/>
      <protection hidden="1"/>
    </xf>
    <xf numFmtId="0" fontId="13" fillId="0" borderId="0" xfId="1" applyAlignment="1" applyProtection="1"/>
    <xf numFmtId="0" fontId="39" fillId="0" borderId="0" xfId="0" applyFont="1"/>
    <xf numFmtId="0" fontId="40" fillId="0" borderId="0" xfId="0" applyFont="1"/>
    <xf numFmtId="14" fontId="16" fillId="0" borderId="6" xfId="0" applyNumberFormat="1" applyFont="1" applyBorder="1" applyAlignment="1" applyProtection="1">
      <alignment horizontal="left" vertical="center"/>
      <protection hidden="1"/>
    </xf>
    <xf numFmtId="1" fontId="16" fillId="0" borderId="32" xfId="0" applyNumberFormat="1" applyFont="1" applyBorder="1" applyAlignment="1" applyProtection="1">
      <alignment horizontal="center" vertical="center"/>
      <protection hidden="1"/>
    </xf>
    <xf numFmtId="0" fontId="16" fillId="0" borderId="7" xfId="0" applyFont="1" applyBorder="1" applyAlignment="1">
      <alignment horizontal="center"/>
    </xf>
    <xf numFmtId="0" fontId="16" fillId="0" borderId="39" xfId="0" applyFont="1" applyBorder="1" applyAlignment="1" applyProtection="1">
      <alignment horizontal="center" vertical="center"/>
      <protection hidden="1"/>
    </xf>
    <xf numFmtId="14" fontId="16" fillId="0" borderId="18" xfId="0" applyNumberFormat="1" applyFont="1" applyBorder="1" applyAlignment="1" applyProtection="1">
      <alignment horizontal="center" vertical="center"/>
      <protection hidden="1"/>
    </xf>
    <xf numFmtId="1" fontId="41" fillId="0" borderId="0" xfId="0" applyNumberFormat="1"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6" fillId="0" borderId="37" xfId="0" applyFont="1" applyBorder="1" applyAlignment="1" applyProtection="1">
      <alignment horizontal="left" vertical="center"/>
      <protection hidden="1"/>
    </xf>
    <xf numFmtId="0" fontId="16" fillId="0" borderId="37" xfId="0" applyFont="1" applyBorder="1" applyAlignment="1" applyProtection="1">
      <alignment horizontal="center" vertical="center"/>
      <protection hidden="1"/>
    </xf>
    <xf numFmtId="3" fontId="16" fillId="0" borderId="40" xfId="0" applyNumberFormat="1" applyFont="1" applyBorder="1" applyAlignment="1" applyProtection="1">
      <alignment horizontal="center" vertical="center"/>
      <protection hidden="1"/>
    </xf>
    <xf numFmtId="166" fontId="16" fillId="0" borderId="40" xfId="0" applyNumberFormat="1" applyFont="1" applyBorder="1" applyAlignment="1" applyProtection="1">
      <alignment horizontal="center" vertical="center"/>
      <protection hidden="1"/>
    </xf>
    <xf numFmtId="166" fontId="16" fillId="0" borderId="38" xfId="0" applyNumberFormat="1" applyFont="1" applyBorder="1" applyAlignment="1" applyProtection="1">
      <alignment horizontal="center" vertical="center"/>
      <protection hidden="1"/>
    </xf>
    <xf numFmtId="166" fontId="16" fillId="0" borderId="41" xfId="0" applyNumberFormat="1" applyFont="1" applyBorder="1" applyAlignment="1" applyProtection="1">
      <alignment horizontal="center" vertical="center"/>
      <protection hidden="1"/>
    </xf>
    <xf numFmtId="0" fontId="16" fillId="0" borderId="42" xfId="0" applyFont="1" applyBorder="1" applyAlignment="1" applyProtection="1">
      <alignment horizontal="left" vertical="center"/>
      <protection hidden="1"/>
    </xf>
    <xf numFmtId="0" fontId="16" fillId="0" borderId="43" xfId="0" applyFont="1" applyBorder="1" applyAlignment="1" applyProtection="1">
      <alignment horizontal="left" vertical="center"/>
      <protection hidden="1"/>
    </xf>
    <xf numFmtId="0" fontId="16" fillId="0" borderId="43" xfId="0" applyFont="1" applyBorder="1" applyAlignment="1" applyProtection="1">
      <alignment horizontal="center" vertical="center"/>
      <protection hidden="1"/>
    </xf>
    <xf numFmtId="3" fontId="16" fillId="0" borderId="44" xfId="0" applyNumberFormat="1" applyFont="1" applyBorder="1" applyAlignment="1" applyProtection="1">
      <alignment horizontal="center" vertical="center"/>
      <protection hidden="1"/>
    </xf>
    <xf numFmtId="166" fontId="16" fillId="0" borderId="44" xfId="0" applyNumberFormat="1" applyFont="1" applyBorder="1" applyAlignment="1" applyProtection="1">
      <alignment horizontal="center" vertical="center"/>
      <protection hidden="1"/>
    </xf>
    <xf numFmtId="166" fontId="16" fillId="0" borderId="45" xfId="0" applyNumberFormat="1" applyFont="1" applyBorder="1" applyAlignment="1" applyProtection="1">
      <alignment horizontal="center" vertical="center"/>
      <protection hidden="1"/>
    </xf>
    <xf numFmtId="0" fontId="16" fillId="0" borderId="46" xfId="0" applyFont="1" applyBorder="1" applyAlignment="1" applyProtection="1">
      <alignment horizontal="left"/>
      <protection hidden="1"/>
    </xf>
    <xf numFmtId="0" fontId="16" fillId="0" borderId="47" xfId="0" applyFont="1" applyBorder="1" applyAlignment="1" applyProtection="1">
      <alignment horizontal="left"/>
      <protection hidden="1"/>
    </xf>
    <xf numFmtId="0" fontId="16" fillId="0" borderId="42" xfId="0" applyFont="1" applyBorder="1" applyAlignment="1" applyProtection="1">
      <alignment horizontal="left"/>
      <protection hidden="1"/>
    </xf>
    <xf numFmtId="1" fontId="16" fillId="0" borderId="0" xfId="0" applyNumberFormat="1" applyFont="1" applyAlignment="1" applyProtection="1">
      <alignment horizontal="center"/>
      <protection hidden="1"/>
    </xf>
    <xf numFmtId="14" fontId="16" fillId="0" borderId="48" xfId="0" applyNumberFormat="1" applyFont="1" applyBorder="1" applyAlignment="1" applyProtection="1">
      <alignment horizontal="center" vertical="center"/>
      <protection hidden="1"/>
    </xf>
    <xf numFmtId="0" fontId="16" fillId="0" borderId="40" xfId="0" applyFont="1" applyBorder="1" applyAlignment="1" applyProtection="1">
      <alignment horizontal="center" vertical="center"/>
      <protection hidden="1"/>
    </xf>
    <xf numFmtId="0" fontId="16" fillId="0" borderId="38" xfId="0" applyFont="1" applyBorder="1" applyAlignment="1" applyProtection="1">
      <alignment horizontal="center" vertical="center"/>
      <protection hidden="1"/>
    </xf>
    <xf numFmtId="0" fontId="16" fillId="0" borderId="41" xfId="0" applyFont="1" applyBorder="1" applyAlignment="1" applyProtection="1">
      <alignment horizontal="center" vertical="center"/>
      <protection hidden="1"/>
    </xf>
    <xf numFmtId="0" fontId="16" fillId="0" borderId="49" xfId="0" applyFont="1" applyBorder="1" applyAlignment="1" applyProtection="1">
      <alignment horizontal="center" vertical="center"/>
      <protection hidden="1"/>
    </xf>
    <xf numFmtId="0" fontId="16" fillId="0" borderId="50" xfId="0" applyFont="1" applyBorder="1" applyAlignment="1" applyProtection="1">
      <alignment horizontal="center" vertical="center"/>
      <protection hidden="1"/>
    </xf>
    <xf numFmtId="0" fontId="16" fillId="0" borderId="51" xfId="0" applyFont="1" applyBorder="1" applyAlignment="1" applyProtection="1">
      <alignment horizontal="center" vertical="center"/>
      <protection hidden="1"/>
    </xf>
    <xf numFmtId="0" fontId="16" fillId="0" borderId="52" xfId="0" applyFont="1" applyBorder="1" applyAlignment="1" applyProtection="1">
      <alignment horizontal="center" vertical="center"/>
      <protection hidden="1"/>
    </xf>
    <xf numFmtId="0" fontId="30" fillId="0" borderId="46" xfId="0" applyFont="1" applyBorder="1" applyAlignment="1" applyProtection="1">
      <alignment horizontal="left" vertical="center"/>
      <protection hidden="1"/>
    </xf>
    <xf numFmtId="0" fontId="16" fillId="0" borderId="53" xfId="0" applyFont="1" applyBorder="1" applyAlignment="1" applyProtection="1">
      <alignment horizontal="center" vertical="center"/>
      <protection hidden="1"/>
    </xf>
    <xf numFmtId="0" fontId="30" fillId="0" borderId="47" xfId="0" applyFont="1" applyBorder="1" applyAlignment="1" applyProtection="1">
      <alignment horizontal="left" vertical="center"/>
      <protection hidden="1"/>
    </xf>
    <xf numFmtId="0" fontId="16" fillId="0" borderId="54" xfId="0" applyFont="1" applyBorder="1" applyAlignment="1" applyProtection="1">
      <alignment horizontal="center" vertical="center"/>
      <protection hidden="1"/>
    </xf>
    <xf numFmtId="0" fontId="16" fillId="0" borderId="55" xfId="0" applyFont="1" applyBorder="1" applyAlignment="1" applyProtection="1">
      <alignment horizontal="center" vertical="center"/>
      <protection hidden="1"/>
    </xf>
    <xf numFmtId="1" fontId="16" fillId="0" borderId="37" xfId="0" applyNumberFormat="1" applyFont="1" applyBorder="1" applyAlignment="1" applyProtection="1">
      <alignment horizontal="center" vertical="center"/>
      <protection hidden="1"/>
    </xf>
    <xf numFmtId="1" fontId="16" fillId="0" borderId="40" xfId="0" applyNumberFormat="1" applyFont="1" applyBorder="1" applyAlignment="1" applyProtection="1">
      <alignment horizontal="center" vertical="center"/>
      <protection hidden="1"/>
    </xf>
    <xf numFmtId="1" fontId="16" fillId="0" borderId="38" xfId="0" applyNumberFormat="1" applyFont="1" applyBorder="1" applyAlignment="1" applyProtection="1">
      <alignment horizontal="center" vertical="center"/>
      <protection hidden="1"/>
    </xf>
    <xf numFmtId="1" fontId="16" fillId="0" borderId="41" xfId="0" applyNumberFormat="1" applyFont="1" applyBorder="1" applyAlignment="1" applyProtection="1">
      <alignment horizontal="center" vertical="center"/>
      <protection hidden="1"/>
    </xf>
    <xf numFmtId="1" fontId="16" fillId="0" borderId="42" xfId="0" applyNumberFormat="1" applyFont="1" applyBorder="1"/>
    <xf numFmtId="1" fontId="16" fillId="0" borderId="43" xfId="0" applyNumberFormat="1" applyFont="1" applyBorder="1"/>
    <xf numFmtId="1" fontId="16" fillId="0" borderId="43" xfId="0" applyNumberFormat="1" applyFont="1" applyBorder="1" applyAlignment="1" applyProtection="1">
      <alignment horizontal="center" vertical="center"/>
      <protection hidden="1"/>
    </xf>
    <xf numFmtId="1" fontId="16" fillId="0" borderId="44" xfId="0" applyNumberFormat="1" applyFont="1" applyBorder="1" applyAlignment="1" applyProtection="1">
      <alignment horizontal="center" vertical="center"/>
      <protection hidden="1"/>
    </xf>
    <xf numFmtId="1" fontId="16" fillId="0" borderId="45" xfId="0" applyNumberFormat="1" applyFont="1" applyBorder="1" applyAlignment="1" applyProtection="1">
      <alignment horizontal="center" vertical="center"/>
      <protection hidden="1"/>
    </xf>
    <xf numFmtId="1" fontId="16" fillId="0" borderId="0" xfId="0" applyNumberFormat="1" applyFont="1" applyAlignment="1">
      <alignment horizontal="center"/>
    </xf>
    <xf numFmtId="1" fontId="16" fillId="0" borderId="46" xfId="0" applyNumberFormat="1" applyFont="1" applyBorder="1" applyAlignment="1" applyProtection="1">
      <alignment horizontal="left"/>
      <protection hidden="1"/>
    </xf>
    <xf numFmtId="1" fontId="16" fillId="0" borderId="47" xfId="0" applyNumberFormat="1" applyFont="1" applyBorder="1" applyAlignment="1" applyProtection="1">
      <alignment horizontal="left"/>
      <protection hidden="1"/>
    </xf>
    <xf numFmtId="1" fontId="16" fillId="0" borderId="42" xfId="0" applyNumberFormat="1" applyFont="1" applyBorder="1" applyAlignment="1" applyProtection="1">
      <alignment horizontal="left"/>
      <protection hidden="1"/>
    </xf>
    <xf numFmtId="0" fontId="0" fillId="0" borderId="46" xfId="0" applyBorder="1"/>
    <xf numFmtId="0" fontId="0" fillId="0" borderId="37" xfId="0" applyBorder="1"/>
    <xf numFmtId="0" fontId="0" fillId="0" borderId="53" xfId="0" applyBorder="1"/>
    <xf numFmtId="0" fontId="24" fillId="0" borderId="54" xfId="0" applyFont="1" applyBorder="1" applyAlignment="1" applyProtection="1">
      <alignment horizontal="center" vertical="center"/>
      <protection hidden="1"/>
    </xf>
    <xf numFmtId="0" fontId="16" fillId="0" borderId="56" xfId="0" applyFont="1" applyBorder="1" applyAlignment="1" applyProtection="1">
      <alignment horizontal="left"/>
      <protection hidden="1"/>
    </xf>
    <xf numFmtId="0" fontId="16" fillId="0" borderId="57" xfId="0" applyFont="1" applyBorder="1" applyAlignment="1" applyProtection="1">
      <alignment horizontal="center" vertical="center"/>
      <protection hidden="1"/>
    </xf>
    <xf numFmtId="0" fontId="16" fillId="0" borderId="58" xfId="0" applyFont="1" applyBorder="1" applyAlignment="1" applyProtection="1">
      <alignment horizontal="left"/>
      <protection hidden="1"/>
    </xf>
    <xf numFmtId="166" fontId="16" fillId="0" borderId="22" xfId="0" applyNumberFormat="1" applyFont="1" applyBorder="1" applyAlignment="1" applyProtection="1">
      <alignment horizontal="center" vertical="center"/>
      <protection hidden="1"/>
    </xf>
    <xf numFmtId="0" fontId="16" fillId="0" borderId="43" xfId="0" applyFont="1" applyBorder="1"/>
    <xf numFmtId="0" fontId="12" fillId="0" borderId="0" xfId="0" applyFont="1" applyAlignment="1">
      <alignment horizontal="center"/>
    </xf>
    <xf numFmtId="0" fontId="6" fillId="0" borderId="0" xfId="0" applyFont="1" applyAlignment="1">
      <alignment horizontal="center" vertical="center"/>
    </xf>
    <xf numFmtId="0" fontId="5" fillId="0" borderId="0" xfId="0" applyFont="1" applyAlignment="1">
      <alignment horizontal="center" vertical="center"/>
    </xf>
    <xf numFmtId="0" fontId="22" fillId="0" borderId="0" xfId="0" applyFont="1" applyAlignment="1">
      <alignment vertical="top" wrapText="1"/>
    </xf>
    <xf numFmtId="0" fontId="14" fillId="0" borderId="0" xfId="0" applyFont="1" applyAlignment="1">
      <alignment vertical="top" wrapText="1"/>
    </xf>
    <xf numFmtId="0" fontId="14" fillId="0" borderId="0" xfId="0" applyFont="1" applyAlignment="1">
      <alignment wrapText="1"/>
    </xf>
    <xf numFmtId="0" fontId="23" fillId="0" borderId="0" xfId="0" applyFont="1" applyAlignment="1">
      <alignment vertical="top" wrapText="1"/>
    </xf>
    <xf numFmtId="0" fontId="23" fillId="0" borderId="0" xfId="0" applyFont="1" applyAlignment="1">
      <alignment wrapText="1"/>
    </xf>
    <xf numFmtId="0" fontId="38" fillId="0" borderId="0" xfId="0" applyFont="1" applyAlignment="1">
      <alignment vertical="top" wrapText="1"/>
    </xf>
    <xf numFmtId="0" fontId="2" fillId="0" borderId="0" xfId="0" applyFont="1" applyAlignment="1">
      <alignment horizontal="center"/>
    </xf>
    <xf numFmtId="0" fontId="28" fillId="0" borderId="0" xfId="0" applyFont="1" applyAlignment="1">
      <alignment horizontal="center" vertical="center"/>
    </xf>
    <xf numFmtId="1" fontId="21" fillId="0" borderId="15" xfId="3" applyNumberFormat="1" applyFont="1" applyBorder="1" applyAlignment="1">
      <alignment horizontal="center"/>
    </xf>
    <xf numFmtId="1" fontId="21" fillId="0" borderId="12" xfId="3" applyNumberFormat="1" applyFont="1" applyBorder="1" applyAlignment="1">
      <alignment horizontal="center"/>
    </xf>
    <xf numFmtId="1" fontId="21" fillId="0" borderId="14" xfId="3" applyNumberFormat="1" applyFont="1" applyBorder="1" applyAlignment="1">
      <alignment horizontal="center"/>
    </xf>
    <xf numFmtId="1" fontId="21" fillId="0" borderId="15" xfId="2" applyNumberFormat="1" applyFont="1" applyBorder="1" applyAlignment="1">
      <alignment horizontal="center"/>
    </xf>
    <xf numFmtId="1" fontId="21" fillId="0" borderId="12" xfId="2" applyNumberFormat="1" applyFont="1" applyBorder="1" applyAlignment="1">
      <alignment horizontal="center"/>
    </xf>
    <xf numFmtId="1" fontId="21" fillId="0" borderId="14" xfId="2" applyNumberFormat="1" applyFont="1" applyBorder="1" applyAlignment="1">
      <alignment horizontal="center"/>
    </xf>
    <xf numFmtId="1" fontId="16" fillId="0" borderId="0" xfId="3" applyNumberFormat="1" applyAlignment="1" applyProtection="1">
      <alignment vertical="top" wrapText="1"/>
      <protection locked="0"/>
    </xf>
    <xf numFmtId="1" fontId="27" fillId="0" borderId="15" xfId="3" applyNumberFormat="1" applyFont="1" applyBorder="1" applyAlignment="1">
      <alignment horizontal="center"/>
    </xf>
    <xf numFmtId="1" fontId="27" fillId="0" borderId="12" xfId="3" applyNumberFormat="1" applyFont="1" applyBorder="1" applyAlignment="1">
      <alignment horizontal="center"/>
    </xf>
    <xf numFmtId="1" fontId="27" fillId="0" borderId="14" xfId="3" applyNumberFormat="1" applyFont="1" applyBorder="1" applyAlignment="1">
      <alignment horizontal="center"/>
    </xf>
    <xf numFmtId="1" fontId="14" fillId="2" borderId="25" xfId="3" applyNumberFormat="1" applyFont="1" applyFill="1" applyBorder="1" applyAlignment="1">
      <alignment horizontal="center" vertical="center"/>
    </xf>
    <xf numFmtId="1" fontId="14" fillId="2" borderId="39" xfId="3" applyNumberFormat="1" applyFont="1" applyFill="1" applyBorder="1" applyAlignment="1">
      <alignment horizontal="center" vertical="center"/>
    </xf>
    <xf numFmtId="1" fontId="14" fillId="2" borderId="22" xfId="3" applyNumberFormat="1" applyFont="1" applyFill="1" applyBorder="1" applyAlignment="1">
      <alignment horizontal="center" vertical="center"/>
    </xf>
    <xf numFmtId="1" fontId="14" fillId="2" borderId="41" xfId="3" applyNumberFormat="1" applyFont="1" applyFill="1" applyBorder="1" applyAlignment="1">
      <alignment horizontal="center" vertical="center"/>
    </xf>
    <xf numFmtId="1" fontId="14" fillId="2" borderId="57" xfId="3" applyNumberFormat="1" applyFont="1" applyFill="1" applyBorder="1" applyAlignment="1">
      <alignment horizontal="center" vertical="center"/>
    </xf>
    <xf numFmtId="1" fontId="14" fillId="2" borderId="22" xfId="2" applyNumberFormat="1" applyFont="1" applyFill="1" applyBorder="1" applyAlignment="1">
      <alignment horizontal="center" vertical="center"/>
    </xf>
    <xf numFmtId="1" fontId="14" fillId="2" borderId="41" xfId="2" applyNumberFormat="1" applyFont="1" applyFill="1" applyBorder="1" applyAlignment="1">
      <alignment horizontal="center" vertical="center"/>
    </xf>
    <xf numFmtId="1" fontId="14" fillId="2" borderId="57" xfId="2" applyNumberFormat="1" applyFont="1" applyFill="1" applyBorder="1" applyAlignment="1">
      <alignment horizontal="center" vertical="center"/>
    </xf>
    <xf numFmtId="1" fontId="23" fillId="0" borderId="22" xfId="3" applyNumberFormat="1" applyFont="1" applyBorder="1" applyAlignment="1">
      <alignment horizontal="center" vertical="center"/>
    </xf>
    <xf numFmtId="1" fontId="23" fillId="0" borderId="57" xfId="3" applyNumberFormat="1" applyFont="1" applyBorder="1" applyAlignment="1">
      <alignment horizontal="center" vertical="center"/>
    </xf>
    <xf numFmtId="1" fontId="14" fillId="2" borderId="29" xfId="3" applyNumberFormat="1" applyFont="1" applyFill="1" applyBorder="1" applyAlignment="1">
      <alignment horizontal="center" vertical="center"/>
    </xf>
    <xf numFmtId="1" fontId="14" fillId="2" borderId="18" xfId="3" applyNumberFormat="1" applyFont="1" applyFill="1" applyBorder="1" applyAlignment="1">
      <alignment horizontal="center" vertical="center"/>
    </xf>
    <xf numFmtId="1" fontId="16" fillId="0" borderId="15" xfId="3" applyNumberFormat="1" applyBorder="1" applyAlignment="1" applyProtection="1">
      <alignment vertical="center" wrapText="1"/>
      <protection locked="0"/>
    </xf>
    <xf numFmtId="1" fontId="16" fillId="0" borderId="12" xfId="3" applyNumberFormat="1" applyBorder="1" applyAlignment="1" applyProtection="1">
      <alignment vertical="center" wrapText="1"/>
      <protection locked="0"/>
    </xf>
    <xf numFmtId="1" fontId="16" fillId="0" borderId="14" xfId="3" applyNumberFormat="1" applyBorder="1" applyAlignment="1" applyProtection="1">
      <alignment vertical="center" wrapText="1"/>
      <protection locked="0"/>
    </xf>
    <xf numFmtId="1" fontId="14" fillId="2" borderId="38" xfId="3" applyNumberFormat="1" applyFont="1" applyFill="1" applyBorder="1" applyAlignment="1">
      <alignment horizontal="center" vertical="center"/>
    </xf>
    <xf numFmtId="1" fontId="14" fillId="2" borderId="45" xfId="2" applyNumberFormat="1" applyFont="1" applyFill="1" applyBorder="1" applyAlignment="1">
      <alignment horizontal="center" vertical="center"/>
    </xf>
    <xf numFmtId="1" fontId="21" fillId="0" borderId="59" xfId="3" applyNumberFormat="1" applyFont="1" applyBorder="1" applyAlignment="1">
      <alignment horizontal="center"/>
    </xf>
    <xf numFmtId="1" fontId="16" fillId="0" borderId="0" xfId="2" applyNumberFormat="1" applyAlignment="1" applyProtection="1">
      <alignment horizontal="center" wrapText="1"/>
      <protection hidden="1"/>
    </xf>
    <xf numFmtId="0" fontId="16" fillId="0" borderId="0" xfId="2" applyAlignment="1">
      <alignment wrapText="1"/>
    </xf>
    <xf numFmtId="1" fontId="23" fillId="0" borderId="22" xfId="2" applyNumberFormat="1" applyFont="1" applyBorder="1" applyAlignment="1">
      <alignment horizontal="center" vertical="center" wrapText="1"/>
    </xf>
    <xf numFmtId="1" fontId="23" fillId="0" borderId="41" xfId="2" applyNumberFormat="1" applyFont="1" applyBorder="1" applyAlignment="1">
      <alignment horizontal="center" vertical="center" wrapText="1"/>
    </xf>
    <xf numFmtId="1" fontId="23" fillId="0" borderId="57" xfId="2" applyNumberFormat="1" applyFont="1" applyBorder="1" applyAlignment="1">
      <alignment horizontal="center" vertical="center" wrapText="1"/>
    </xf>
    <xf numFmtId="1" fontId="21" fillId="0" borderId="6" xfId="3" applyNumberFormat="1" applyFont="1" applyBorder="1" applyAlignment="1">
      <alignment horizontal="center"/>
    </xf>
    <xf numFmtId="1" fontId="21" fillId="0" borderId="7" xfId="3" applyNumberFormat="1" applyFont="1" applyBorder="1" applyAlignment="1">
      <alignment horizontal="center"/>
    </xf>
    <xf numFmtId="1" fontId="21" fillId="0" borderId="8" xfId="3" applyNumberFormat="1" applyFont="1" applyBorder="1" applyAlignment="1">
      <alignment horizontal="center"/>
    </xf>
    <xf numFmtId="1" fontId="14" fillId="0" borderId="22" xfId="3" applyNumberFormat="1" applyFont="1" applyBorder="1" applyAlignment="1">
      <alignment horizontal="center" vertical="center"/>
    </xf>
    <xf numFmtId="1" fontId="14" fillId="0" borderId="57" xfId="3" applyNumberFormat="1" applyFont="1" applyBorder="1" applyAlignment="1">
      <alignment horizontal="center" vertical="center"/>
    </xf>
    <xf numFmtId="1" fontId="16" fillId="0" borderId="15" xfId="3" applyNumberFormat="1" applyBorder="1"/>
    <xf numFmtId="1" fontId="16" fillId="0" borderId="12" xfId="3" applyNumberFormat="1" applyBorder="1"/>
    <xf numFmtId="1" fontId="16" fillId="0" borderId="14" xfId="3" applyNumberFormat="1" applyBorder="1"/>
    <xf numFmtId="1" fontId="16" fillId="0" borderId="41" xfId="2" applyNumberFormat="1" applyBorder="1" applyAlignment="1">
      <alignment horizontal="center" vertical="center"/>
    </xf>
    <xf numFmtId="1" fontId="16" fillId="0" borderId="57" xfId="2" applyNumberFormat="1" applyBorder="1" applyAlignment="1">
      <alignment horizontal="center" vertical="center"/>
    </xf>
    <xf numFmtId="1" fontId="23" fillId="0" borderId="38" xfId="3" applyNumberFormat="1" applyFont="1" applyBorder="1" applyAlignment="1">
      <alignment horizontal="center" vertical="center"/>
    </xf>
    <xf numFmtId="1" fontId="23" fillId="0" borderId="41" xfId="3" applyNumberFormat="1" applyFont="1" applyBorder="1" applyAlignment="1">
      <alignment horizontal="center" vertical="center"/>
    </xf>
    <xf numFmtId="1" fontId="14" fillId="2" borderId="38" xfId="2" applyNumberFormat="1" applyFont="1" applyFill="1" applyBorder="1" applyAlignment="1">
      <alignment horizontal="center" vertical="center"/>
    </xf>
    <xf numFmtId="0" fontId="30" fillId="0" borderId="0" xfId="0" applyFont="1" applyAlignment="1" applyProtection="1">
      <alignment vertical="center" wrapText="1"/>
      <protection hidden="1"/>
    </xf>
    <xf numFmtId="0" fontId="30" fillId="0" borderId="5" xfId="0" applyFont="1" applyBorder="1" applyAlignment="1" applyProtection="1">
      <alignment vertical="center" wrapText="1"/>
      <protection hidden="1"/>
    </xf>
    <xf numFmtId="0" fontId="16" fillId="0" borderId="0" xfId="0" applyFont="1" applyAlignment="1" applyProtection="1">
      <alignment horizontal="left" vertical="center"/>
      <protection hidden="1"/>
    </xf>
    <xf numFmtId="0" fontId="16" fillId="0" borderId="2" xfId="0" applyFont="1" applyBorder="1" applyAlignment="1" applyProtection="1">
      <alignment horizontal="left" vertical="center"/>
      <protection hidden="1"/>
    </xf>
    <xf numFmtId="0" fontId="33" fillId="0" borderId="60" xfId="1" applyFont="1" applyFill="1" applyBorder="1" applyAlignment="1" applyProtection="1">
      <alignment horizontal="center" vertical="center"/>
      <protection hidden="1"/>
    </xf>
    <xf numFmtId="0" fontId="33" fillId="0" borderId="61" xfId="1" applyFont="1" applyFill="1" applyBorder="1" applyAlignment="1" applyProtection="1">
      <alignment horizontal="center" vertical="center"/>
      <protection hidden="1"/>
    </xf>
    <xf numFmtId="0" fontId="33" fillId="0" borderId="62" xfId="1" applyFont="1" applyFill="1" applyBorder="1" applyAlignment="1" applyProtection="1">
      <alignment horizontal="center" vertical="center"/>
      <protection hidden="1"/>
    </xf>
    <xf numFmtId="0" fontId="30" fillId="0" borderId="0" xfId="0" applyFont="1" applyAlignment="1" applyProtection="1">
      <alignment horizontal="left" vertical="center" wrapText="1"/>
      <protection hidden="1"/>
    </xf>
    <xf numFmtId="0" fontId="30" fillId="0" borderId="5" xfId="0" applyFont="1" applyBorder="1" applyAlignment="1" applyProtection="1">
      <alignment horizontal="left" vertical="center" wrapText="1"/>
      <protection hidden="1"/>
    </xf>
    <xf numFmtId="0" fontId="16" fillId="0" borderId="7" xfId="0" applyFont="1" applyBorder="1" applyAlignment="1" applyProtection="1">
      <alignment horizontal="left" vertical="center"/>
      <protection hidden="1"/>
    </xf>
    <xf numFmtId="0" fontId="0" fillId="0" borderId="0" xfId="0" applyAlignment="1">
      <alignment horizontal="left" vertical="center" wrapText="1"/>
    </xf>
    <xf numFmtId="0" fontId="0" fillId="0" borderId="5" xfId="0" applyBorder="1" applyAlignment="1">
      <alignment horizontal="left" vertical="center" wrapText="1"/>
    </xf>
    <xf numFmtId="0" fontId="0" fillId="0" borderId="0" xfId="0" applyAlignment="1">
      <alignment vertical="center" wrapText="1"/>
    </xf>
    <xf numFmtId="0" fontId="0" fillId="0" borderId="5" xfId="0" applyBorder="1" applyAlignment="1">
      <alignment vertical="center" wrapText="1"/>
    </xf>
    <xf numFmtId="0" fontId="16" fillId="0" borderId="42" xfId="0" applyFont="1" applyBorder="1" applyAlignment="1" applyProtection="1">
      <alignment horizontal="left" vertical="center"/>
      <protection hidden="1"/>
    </xf>
    <xf numFmtId="0" fontId="16" fillId="0" borderId="43" xfId="0" applyFont="1" applyBorder="1" applyAlignment="1" applyProtection="1">
      <alignment horizontal="left" vertical="center"/>
      <protection hidden="1"/>
    </xf>
    <xf numFmtId="0" fontId="16" fillId="0" borderId="47" xfId="0" applyFont="1" applyBorder="1" applyAlignment="1" applyProtection="1">
      <alignment horizontal="left" vertical="center"/>
      <protection hidden="1"/>
    </xf>
    <xf numFmtId="0" fontId="16" fillId="0" borderId="46" xfId="0" applyFont="1" applyBorder="1" applyAlignment="1" applyProtection="1">
      <alignment horizontal="left" vertical="center"/>
      <protection hidden="1"/>
    </xf>
    <xf numFmtId="0" fontId="16" fillId="0" borderId="37" xfId="0" applyFont="1" applyBorder="1" applyAlignment="1" applyProtection="1">
      <alignment horizontal="left" vertical="center"/>
      <protection hidden="1"/>
    </xf>
    <xf numFmtId="0" fontId="33" fillId="0" borderId="0" xfId="1" applyFont="1" applyFill="1" applyBorder="1" applyAlignment="1" applyProtection="1">
      <alignment horizontal="center" vertical="center"/>
      <protection hidden="1"/>
    </xf>
    <xf numFmtId="0" fontId="16" fillId="0" borderId="0" xfId="0" applyFont="1" applyAlignment="1" applyProtection="1">
      <alignment horizontal="left" vertical="center" wrapText="1"/>
      <protection hidden="1"/>
    </xf>
    <xf numFmtId="0" fontId="13" fillId="0" borderId="60" xfId="1" applyFill="1" applyBorder="1" applyAlignment="1" applyProtection="1">
      <alignment horizontal="center" vertical="center"/>
      <protection hidden="1"/>
    </xf>
    <xf numFmtId="0" fontId="13" fillId="0" borderId="61" xfId="1" applyFill="1" applyBorder="1" applyAlignment="1" applyProtection="1">
      <alignment horizontal="center" vertical="center"/>
      <protection hidden="1"/>
    </xf>
    <xf numFmtId="0" fontId="13" fillId="0" borderId="62" xfId="1" applyFill="1" applyBorder="1" applyAlignment="1" applyProtection="1">
      <alignment horizontal="center" vertical="center"/>
      <protection hidden="1"/>
    </xf>
    <xf numFmtId="0" fontId="34" fillId="0" borderId="0" xfId="0" applyFont="1" applyAlignment="1" applyProtection="1">
      <alignment horizontal="left" vertical="center" wrapText="1"/>
      <protection hidden="1"/>
    </xf>
    <xf numFmtId="0" fontId="34" fillId="0" borderId="5" xfId="0" applyFont="1" applyBorder="1" applyAlignment="1" applyProtection="1">
      <alignment horizontal="left" vertical="center" wrapText="1"/>
      <protection hidden="1"/>
    </xf>
    <xf numFmtId="1" fontId="16" fillId="0" borderId="56" xfId="0" applyNumberFormat="1" applyFont="1" applyBorder="1" applyAlignment="1" applyProtection="1">
      <alignment horizontal="left" vertical="center"/>
      <protection hidden="1"/>
    </xf>
    <xf numFmtId="1" fontId="16" fillId="0" borderId="7" xfId="0" applyNumberFormat="1" applyFont="1" applyBorder="1" applyAlignment="1" applyProtection="1">
      <alignment horizontal="left" vertical="center"/>
      <protection hidden="1"/>
    </xf>
    <xf numFmtId="1" fontId="33" fillId="0" borderId="60" xfId="1" applyNumberFormat="1" applyFont="1" applyFill="1" applyBorder="1" applyAlignment="1" applyProtection="1">
      <alignment horizontal="center" vertical="center"/>
      <protection hidden="1"/>
    </xf>
    <xf numFmtId="1" fontId="33" fillId="0" borderId="61" xfId="1" applyNumberFormat="1" applyFont="1" applyFill="1" applyBorder="1" applyAlignment="1" applyProtection="1">
      <alignment horizontal="center" vertical="center"/>
      <protection hidden="1"/>
    </xf>
    <xf numFmtId="1" fontId="33" fillId="0" borderId="62" xfId="1" applyNumberFormat="1" applyFont="1" applyFill="1" applyBorder="1" applyAlignment="1" applyProtection="1">
      <alignment horizontal="center" vertical="center"/>
      <protection hidden="1"/>
    </xf>
    <xf numFmtId="1" fontId="16" fillId="0" borderId="46" xfId="0" applyNumberFormat="1" applyFont="1" applyBorder="1" applyAlignment="1" applyProtection="1">
      <alignment horizontal="left" vertical="center"/>
      <protection hidden="1"/>
    </xf>
    <xf numFmtId="1" fontId="16" fillId="0" borderId="37" xfId="0" applyNumberFormat="1" applyFont="1" applyBorder="1" applyAlignment="1" applyProtection="1">
      <alignment horizontal="left" vertical="center"/>
      <protection hidden="1"/>
    </xf>
    <xf numFmtId="1" fontId="16" fillId="0" borderId="47" xfId="0" applyNumberFormat="1" applyFont="1" applyBorder="1" applyAlignment="1" applyProtection="1">
      <alignment horizontal="left" vertical="center"/>
      <protection hidden="1"/>
    </xf>
    <xf numFmtId="1" fontId="16" fillId="0" borderId="0" xfId="0" applyNumberFormat="1" applyFont="1" applyAlignment="1" applyProtection="1">
      <alignment horizontal="left" vertical="center"/>
      <protection hidden="1"/>
    </xf>
    <xf numFmtId="1" fontId="30" fillId="0" borderId="0" xfId="0" applyNumberFormat="1" applyFont="1" applyAlignment="1" applyProtection="1">
      <alignment horizontal="left" vertical="center" wrapText="1"/>
      <protection hidden="1"/>
    </xf>
    <xf numFmtId="1" fontId="30" fillId="0" borderId="5" xfId="0" applyNumberFormat="1" applyFont="1" applyBorder="1" applyAlignment="1" applyProtection="1">
      <alignment horizontal="left" vertical="center" wrapText="1"/>
      <protection hidden="1"/>
    </xf>
    <xf numFmtId="1" fontId="0" fillId="0" borderId="0" xfId="0" applyNumberFormat="1" applyAlignment="1">
      <alignment horizontal="left" vertical="center" wrapText="1"/>
    </xf>
    <xf numFmtId="1" fontId="0" fillId="0" borderId="5" xfId="0" applyNumberFormat="1" applyBorder="1" applyAlignment="1">
      <alignment horizontal="left" vertical="center" wrapText="1"/>
    </xf>
    <xf numFmtId="1" fontId="16" fillId="0" borderId="2" xfId="0" applyNumberFormat="1" applyFont="1" applyBorder="1" applyAlignment="1" applyProtection="1">
      <alignment horizontal="left" vertical="center"/>
      <protection hidden="1"/>
    </xf>
    <xf numFmtId="1" fontId="16" fillId="0" borderId="0" xfId="0" applyNumberFormat="1" applyFont="1" applyAlignment="1" applyProtection="1">
      <alignment horizontal="left" vertical="center" wrapText="1"/>
      <protection hidden="1"/>
    </xf>
    <xf numFmtId="1" fontId="0" fillId="0" borderId="0" xfId="0" applyNumberFormat="1" applyAlignment="1">
      <alignment vertical="center" wrapText="1"/>
    </xf>
    <xf numFmtId="1" fontId="0" fillId="0" borderId="5" xfId="0" applyNumberFormat="1" applyBorder="1" applyAlignment="1">
      <alignment vertical="center" wrapText="1"/>
    </xf>
    <xf numFmtId="1" fontId="0" fillId="0" borderId="7" xfId="0" applyNumberFormat="1" applyBorder="1" applyAlignment="1">
      <alignment vertical="center" wrapText="1"/>
    </xf>
    <xf numFmtId="1" fontId="0" fillId="0" borderId="8" xfId="0" applyNumberFormat="1" applyBorder="1" applyAlignment="1">
      <alignment vertical="center" wrapText="1"/>
    </xf>
    <xf numFmtId="1" fontId="16" fillId="0" borderId="43" xfId="0" applyNumberFormat="1" applyFont="1" applyBorder="1" applyAlignment="1" applyProtection="1">
      <alignment horizontal="left" vertical="center"/>
      <protection hidden="1"/>
    </xf>
    <xf numFmtId="1" fontId="30" fillId="0" borderId="0" xfId="0" applyNumberFormat="1" applyFont="1" applyAlignment="1" applyProtection="1">
      <alignment vertical="center" wrapText="1"/>
      <protection hidden="1"/>
    </xf>
    <xf numFmtId="1" fontId="30" fillId="0" borderId="5" xfId="0" applyNumberFormat="1" applyFont="1" applyBorder="1" applyAlignment="1" applyProtection="1">
      <alignment vertical="center" wrapText="1"/>
      <protection hidden="1"/>
    </xf>
    <xf numFmtId="1" fontId="35" fillId="0" borderId="0" xfId="0" applyNumberFormat="1" applyFont="1" applyAlignment="1" applyProtection="1">
      <alignment horizontal="left" vertical="center" wrapText="1"/>
      <protection hidden="1"/>
    </xf>
    <xf numFmtId="1" fontId="35" fillId="0" borderId="5" xfId="0" applyNumberFormat="1" applyFont="1" applyBorder="1" applyAlignment="1" applyProtection="1">
      <alignment horizontal="left" vertical="center" wrapText="1"/>
      <protection hidden="1"/>
    </xf>
    <xf numFmtId="1" fontId="33" fillId="0" borderId="15" xfId="1" applyNumberFormat="1" applyFont="1" applyFill="1" applyBorder="1" applyAlignment="1" applyProtection="1">
      <alignment horizontal="center" vertical="center"/>
      <protection hidden="1"/>
    </xf>
    <xf numFmtId="1" fontId="33" fillId="0" borderId="12" xfId="1" applyNumberFormat="1" applyFont="1" applyFill="1" applyBorder="1" applyAlignment="1" applyProtection="1">
      <alignment horizontal="center" vertical="center"/>
      <protection hidden="1"/>
    </xf>
    <xf numFmtId="1" fontId="33" fillId="0" borderId="14" xfId="1" applyNumberFormat="1" applyFont="1" applyFill="1" applyBorder="1" applyAlignment="1" applyProtection="1">
      <alignment horizontal="center" vertical="center"/>
      <protection hidden="1"/>
    </xf>
    <xf numFmtId="1" fontId="34" fillId="0" borderId="0" xfId="0" applyNumberFormat="1" applyFont="1" applyAlignment="1" applyProtection="1">
      <alignment horizontal="left" vertical="center" wrapText="1"/>
      <protection hidden="1"/>
    </xf>
    <xf numFmtId="1" fontId="34" fillId="0" borderId="5" xfId="0" applyNumberFormat="1" applyFont="1" applyBorder="1" applyAlignment="1" applyProtection="1">
      <alignment horizontal="left" vertical="center" wrapText="1"/>
      <protection hidden="1"/>
    </xf>
    <xf numFmtId="0" fontId="30" fillId="0" borderId="54" xfId="0" applyFont="1" applyBorder="1" applyAlignment="1" applyProtection="1">
      <alignment horizontal="left" vertical="center" wrapText="1"/>
      <protection hidden="1"/>
    </xf>
    <xf numFmtId="1" fontId="34" fillId="0" borderId="0" xfId="0" applyNumberFormat="1" applyFont="1" applyAlignment="1" applyProtection="1">
      <alignment vertical="center" wrapText="1"/>
      <protection hidden="1"/>
    </xf>
    <xf numFmtId="1" fontId="34" fillId="0" borderId="5" xfId="0" applyNumberFormat="1" applyFont="1" applyBorder="1" applyAlignment="1" applyProtection="1">
      <alignment vertical="center" wrapText="1"/>
      <protection hidden="1"/>
    </xf>
    <xf numFmtId="0" fontId="33" fillId="0" borderId="15" xfId="1" applyFont="1" applyBorder="1" applyAlignment="1" applyProtection="1">
      <alignment horizontal="center"/>
    </xf>
    <xf numFmtId="0" fontId="33" fillId="0" borderId="12" xfId="1" applyFont="1" applyBorder="1" applyAlignment="1" applyProtection="1">
      <alignment horizontal="center"/>
    </xf>
    <xf numFmtId="0" fontId="33" fillId="0" borderId="14" xfId="1" applyFont="1" applyBorder="1" applyAlignment="1" applyProtection="1">
      <alignment horizontal="center"/>
    </xf>
    <xf numFmtId="1" fontId="25" fillId="0" borderId="15" xfId="0" applyNumberFormat="1" applyFont="1" applyBorder="1" applyAlignment="1" applyProtection="1">
      <alignment horizontal="center" vertical="center"/>
      <protection hidden="1"/>
    </xf>
    <xf numFmtId="1" fontId="25" fillId="0" borderId="12" xfId="0" applyNumberFormat="1" applyFont="1" applyBorder="1" applyAlignment="1" applyProtection="1">
      <alignment horizontal="center" vertical="center"/>
      <protection hidden="1"/>
    </xf>
    <xf numFmtId="1" fontId="25" fillId="0" borderId="14" xfId="0" applyNumberFormat="1" applyFont="1" applyBorder="1" applyAlignment="1" applyProtection="1">
      <alignment horizontal="center" vertical="center"/>
      <protection hidden="1"/>
    </xf>
    <xf numFmtId="1" fontId="16" fillId="0" borderId="0" xfId="0" applyNumberFormat="1" applyFont="1" applyAlignment="1" applyProtection="1">
      <alignment vertical="center" wrapText="1"/>
      <protection hidden="1"/>
    </xf>
    <xf numFmtId="1" fontId="35" fillId="0" borderId="0" xfId="0" applyNumberFormat="1" applyFont="1" applyAlignment="1" applyProtection="1">
      <alignment vertical="center" wrapText="1"/>
      <protection hidden="1"/>
    </xf>
    <xf numFmtId="1" fontId="35" fillId="0" borderId="5" xfId="0" applyNumberFormat="1" applyFont="1" applyBorder="1" applyAlignment="1" applyProtection="1">
      <alignment vertical="center" wrapText="1"/>
      <protection hidden="1"/>
    </xf>
    <xf numFmtId="1" fontId="30" fillId="0" borderId="7" xfId="0" applyNumberFormat="1" applyFont="1" applyBorder="1" applyAlignment="1" applyProtection="1">
      <alignment horizontal="left" vertical="center" wrapText="1"/>
      <protection hidden="1"/>
    </xf>
    <xf numFmtId="1" fontId="30" fillId="0" borderId="8" xfId="0" applyNumberFormat="1" applyFont="1" applyBorder="1" applyAlignment="1" applyProtection="1">
      <alignment horizontal="left" vertical="center" wrapText="1"/>
      <protection hidden="1"/>
    </xf>
  </cellXfs>
  <cellStyles count="4">
    <cellStyle name="Hyperlink" xfId="1" builtinId="8"/>
    <cellStyle name="Normal" xfId="0" builtinId="0"/>
    <cellStyle name="Normal 2" xfId="2" xr:uid="{00000000-0005-0000-0000-000002000000}"/>
    <cellStyle name="Normal_TRANSFER 2011 preparation"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38100</xdr:rowOff>
    </xdr:from>
    <xdr:to>
      <xdr:col>9</xdr:col>
      <xdr:colOff>933450</xdr:colOff>
      <xdr:row>57</xdr:row>
      <xdr:rowOff>9525</xdr:rowOff>
    </xdr:to>
    <xdr:pic>
      <xdr:nvPicPr>
        <xdr:cNvPr id="36139" name="Picture 8" descr="TARIFF2008PHOTO">
          <a:extLst>
            <a:ext uri="{FF2B5EF4-FFF2-40B4-BE49-F238E27FC236}">
              <a16:creationId xmlns:a16="http://schemas.microsoft.com/office/drawing/2014/main" id="{00000000-0008-0000-0000-00002B8D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25" y="38100"/>
          <a:ext cx="6734175" cy="9201150"/>
        </a:xfrm>
        <a:prstGeom prst="rect">
          <a:avLst/>
        </a:prstGeom>
        <a:noFill/>
        <a:ln w="9525">
          <a:noFill/>
          <a:miter lim="800000"/>
          <a:headEnd/>
          <a:tailEnd/>
        </a:ln>
      </xdr:spPr>
    </xdr:pic>
    <xdr:clientData/>
  </xdr:twoCellAnchor>
  <xdr:twoCellAnchor>
    <xdr:from>
      <xdr:col>0</xdr:col>
      <xdr:colOff>57150</xdr:colOff>
      <xdr:row>23</xdr:row>
      <xdr:rowOff>76200</xdr:rowOff>
    </xdr:from>
    <xdr:to>
      <xdr:col>9</xdr:col>
      <xdr:colOff>933450</xdr:colOff>
      <xdr:row>30</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7150" y="3800475"/>
          <a:ext cx="6686550" cy="1057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rtl="0">
            <a:defRPr sz="1000"/>
          </a:pPr>
          <a:r>
            <a:rPr lang="en-US" sz="4400" b="0" i="0" u="none" strike="noStrike" baseline="0">
              <a:solidFill>
                <a:srgbClr val="FFFFFF"/>
              </a:solidFill>
              <a:latin typeface="Times New Roman"/>
              <a:cs typeface="Times New Roman"/>
            </a:rPr>
            <a:t>TARIFF 2026</a:t>
          </a:r>
        </a:p>
        <a:p>
          <a:pPr algn="ctr" rtl="0">
            <a:defRPr sz="1000"/>
          </a:pPr>
          <a:endParaRPr lang="en-US" sz="4400" b="0" i="0" u="none" strike="noStrike" baseline="0">
            <a:solidFill>
              <a:srgbClr val="FFFFFF"/>
            </a:solidFill>
            <a:latin typeface="Times New Roman"/>
            <a:cs typeface="Times New Roman"/>
          </a:endParaRPr>
        </a:p>
        <a:p>
          <a:pPr algn="ctr" rtl="0">
            <a:defRPr sz="1000"/>
          </a:pPr>
          <a:endParaRPr lang="en-US" sz="4400" b="0" i="0" u="none" strike="noStrike" baseline="0">
            <a:solidFill>
              <a:srgbClr val="FFFFFF"/>
            </a:solidFill>
            <a:latin typeface="Times New Roman"/>
            <a:cs typeface="Times New Roman"/>
          </a:endParaRPr>
        </a:p>
        <a:p>
          <a:pPr algn="ctr" rtl="0">
            <a:defRPr sz="1000"/>
          </a:pPr>
          <a:r>
            <a:rPr lang="en-US" sz="1600" b="0" i="0" u="none" strike="noStrike" baseline="0">
              <a:solidFill>
                <a:srgbClr val="FFFFFF"/>
              </a:solidFill>
              <a:latin typeface="Times New Roman"/>
              <a:cs typeface="Times New Roman"/>
            </a:rPr>
            <a:t> EURO €</a:t>
          </a:r>
          <a:r>
            <a:rPr lang="en-US" sz="1100" b="0" i="0" u="none" strike="noStrike" baseline="0">
              <a:solidFill>
                <a:srgbClr val="000000"/>
              </a:solidFill>
              <a:latin typeface="Calibri"/>
            </a:rPr>
            <a:t>  </a:t>
          </a:r>
          <a:r>
            <a:rPr lang="en-US" sz="1600" b="0" i="0" u="none" strike="noStrike" baseline="0">
              <a:solidFill>
                <a:srgbClr val="FFFFFF"/>
              </a:solidFill>
              <a:latin typeface="Times New Roman"/>
              <a:cs typeface="Times New Roman"/>
            </a:rPr>
            <a:t>Currency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266700</xdr:colOff>
      <xdr:row>1</xdr:row>
      <xdr:rowOff>57150</xdr:rowOff>
    </xdr:from>
    <xdr:to>
      <xdr:col>6</xdr:col>
      <xdr:colOff>123825</xdr:colOff>
      <xdr:row>2</xdr:row>
      <xdr:rowOff>152400</xdr:rowOff>
    </xdr:to>
    <xdr:sp macro="" textlink="">
      <xdr:nvSpPr>
        <xdr:cNvPr id="3073" name="WordArt 1">
          <a:extLst>
            <a:ext uri="{FF2B5EF4-FFF2-40B4-BE49-F238E27FC236}">
              <a16:creationId xmlns:a16="http://schemas.microsoft.com/office/drawing/2014/main" id="{00000000-0008-0000-0100-0000010C0000}"/>
            </a:ext>
          </a:extLst>
        </xdr:cNvPr>
        <xdr:cNvSpPr>
          <a:spLocks noChangeArrowheads="1" noChangeShapeType="1" noTextEdit="1"/>
        </xdr:cNvSpPr>
      </xdr:nvSpPr>
      <xdr:spPr bwMode="auto">
        <a:xfrm>
          <a:off x="1857375" y="219075"/>
          <a:ext cx="2409825" cy="257175"/>
        </a:xfrm>
        <a:prstGeom prst="rect">
          <a:avLst/>
        </a:prstGeom>
      </xdr:spPr>
      <xdr:txBody>
        <a:bodyPr wrap="none" fromWordArt="1">
          <a:prstTxWarp prst="textPlain">
            <a:avLst>
              <a:gd name="adj" fmla="val 50000"/>
            </a:avLst>
          </a:prstTxWarp>
        </a:bodyPr>
        <a:lstStyle/>
        <a:p>
          <a:pPr algn="ctr" rtl="0"/>
          <a:r>
            <a:rPr lang="en-US" sz="3600" b="1" kern="1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Impact"/>
            </a:rPr>
            <a:t>INDEX</a:t>
          </a:r>
          <a:endParaRPr lang="el-GR" sz="3600" b="1" kern="10"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latin typeface="Impac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ata%20(G)\central\TARIFF\2015\FINAL%202015%20TARIFFS\TARIFF%20EURO%202015%201%20xl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INDEX"/>
      <sheetName val="INFO"/>
      <sheetName val="PAY"/>
      <sheetName val="GLOSSARY"/>
      <sheetName val="TRANSFERS (2)"/>
      <sheetName val="ATHENS"/>
      <sheetName val="AEGINA"/>
      <sheetName val="ARACHOVA"/>
      <sheetName val="CEPHALONIA"/>
      <sheetName val="CHALKIDIKI"/>
      <sheetName val="CHIOS"/>
      <sheetName val="CORFU"/>
      <sheetName val="CRETE"/>
      <sheetName val="CYPRUS"/>
      <sheetName val="DELPHI"/>
      <sheetName val="EVIA"/>
      <sheetName val="HYDRA"/>
      <sheetName val="IOANNINA"/>
      <sheetName val="IOS"/>
      <sheetName val="KALAMBAKA"/>
      <sheetName val="KAVALA"/>
      <sheetName val="KOS"/>
      <sheetName val="LOUTRAKI"/>
      <sheetName val="MYCONOS"/>
      <sheetName val="NAFPLIO"/>
      <sheetName val="NAXOS"/>
      <sheetName val="OLYMPIA"/>
      <sheetName val="PATRA"/>
      <sheetName val="PAROS"/>
      <sheetName val="PATMOS"/>
      <sheetName val="POROS"/>
      <sheetName val="RHODES"/>
      <sheetName val="SAMOS"/>
      <sheetName val="SANTORINI"/>
      <sheetName val="SKIATHOS"/>
      <sheetName val="SKOPELOS"/>
      <sheetName val="SPARTI"/>
      <sheetName val="THESSALONIKI"/>
      <sheetName val="ZAKYNTHOS"/>
    </sheetNames>
    <sheetDataSet>
      <sheetData sheetId="0"/>
      <sheetData sheetId="1"/>
      <sheetData sheetId="2"/>
      <sheetData sheetId="3"/>
      <sheetData sheetId="4"/>
      <sheetData sheetId="5"/>
      <sheetData sheetId="6">
        <row r="2">
          <cell r="O2">
            <v>1.39</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hyperlink" Target="http://www.ionianemerald.gr/" TargetMode="External"/><Relationship Id="rId2" Type="http://schemas.openxmlformats.org/officeDocument/2006/relationships/hyperlink" Target="http://www.mediterraneehotel.gr/" TargetMode="External"/><Relationship Id="rId1" Type="http://schemas.openxmlformats.org/officeDocument/2006/relationships/printerSettings" Target="../printerSettings/printerSettings30.bin"/><Relationship Id="rId4" Type="http://schemas.openxmlformats.org/officeDocument/2006/relationships/printerSettings" Target="../printerSettings/printerSettings31.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portocarras.com/" TargetMode="External"/><Relationship Id="rId2" Type="http://schemas.openxmlformats.org/officeDocument/2006/relationships/hyperlink" Target="http://www.sani-resort.com/" TargetMode="External"/><Relationship Id="rId1" Type="http://schemas.openxmlformats.org/officeDocument/2006/relationships/printerSettings" Target="../printerSettings/printerSettings32.bin"/><Relationship Id="rId5" Type="http://schemas.openxmlformats.org/officeDocument/2006/relationships/printerSettings" Target="../printerSettings/printerSettings33.bin"/><Relationship Id="rId4" Type="http://schemas.openxmlformats.org/officeDocument/2006/relationships/hyperlink" Target="http://www.aristotelesbeach.gr/" TargetMode="External"/></Relationships>
</file>

<file path=xl/worksheets/_rels/sheet12.xml.rels><?xml version="1.0" encoding="UTF-8" standalone="yes"?>
<Relationships xmlns="http://schemas.openxmlformats.org/package/2006/relationships"><Relationship Id="rId8" Type="http://schemas.openxmlformats.org/officeDocument/2006/relationships/hyperlink" Target="http://www.eleabeach.com/" TargetMode="External"/><Relationship Id="rId3" Type="http://schemas.openxmlformats.org/officeDocument/2006/relationships/hyperlink" Target="http://www.aquisresorts.com/" TargetMode="External"/><Relationship Id="rId7" Type="http://schemas.openxmlformats.org/officeDocument/2006/relationships/hyperlink" Target="http://www.nissakibeach.gr/" TargetMode="External"/><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marbella.gr/" TargetMode="External"/><Relationship Id="rId5" Type="http://schemas.openxmlformats.org/officeDocument/2006/relationships/hyperlink" Target="http://www.kontokalibay.com/" TargetMode="External"/><Relationship Id="rId10" Type="http://schemas.openxmlformats.org/officeDocument/2006/relationships/printerSettings" Target="../printerSettings/printerSettings36.bin"/><Relationship Id="rId4" Type="http://schemas.openxmlformats.org/officeDocument/2006/relationships/hyperlink" Target="http://www.corfupalace.com/" TargetMode="External"/><Relationship Id="rId9" Type="http://schemas.openxmlformats.org/officeDocument/2006/relationships/hyperlink" Target="http://www.eleabeach.com/" TargetMode="External"/></Relationships>
</file>

<file path=xl/worksheets/_rels/sheet13.xml.rels><?xml version="1.0" encoding="UTF-8" standalone="yes"?>
<Relationships xmlns="http://schemas.openxmlformats.org/package/2006/relationships"><Relationship Id="rId8" Type="http://schemas.openxmlformats.org/officeDocument/2006/relationships/hyperlink" Target="http://www.santamarina-plaza.gr/" TargetMode="External"/><Relationship Id="rId13" Type="http://schemas.openxmlformats.org/officeDocument/2006/relationships/hyperlink" Target="http://www.cretandreamroyal.gr/" TargetMode="External"/><Relationship Id="rId18" Type="http://schemas.openxmlformats.org/officeDocument/2006/relationships/hyperlink" Target="http://www.aldemarhotels.com/" TargetMode="External"/><Relationship Id="rId26" Type="http://schemas.openxmlformats.org/officeDocument/2006/relationships/hyperlink" Target="http://www.amalthia-hotel.gr/" TargetMode="External"/><Relationship Id="rId3" Type="http://schemas.openxmlformats.org/officeDocument/2006/relationships/hyperlink" Target="http://www.maris.gr/" TargetMode="External"/><Relationship Id="rId21" Type="http://schemas.openxmlformats.org/officeDocument/2006/relationships/hyperlink" Target="http://www.casadelfino.com/" TargetMode="External"/><Relationship Id="rId7" Type="http://schemas.openxmlformats.org/officeDocument/2006/relationships/hyperlink" Target="http://www.bluegr.com/" TargetMode="External"/><Relationship Id="rId12" Type="http://schemas.openxmlformats.org/officeDocument/2006/relationships/hyperlink" Target="http://www.bluepalace.gr/" TargetMode="External"/><Relationship Id="rId17" Type="http://schemas.openxmlformats.org/officeDocument/2006/relationships/hyperlink" Target="http://www.aquilahotels.com/" TargetMode="External"/><Relationship Id="rId25" Type="http://schemas.openxmlformats.org/officeDocument/2006/relationships/hyperlink" Target="http://www.theatlantishotel.gr/" TargetMode="External"/><Relationship Id="rId2" Type="http://schemas.openxmlformats.org/officeDocument/2006/relationships/printerSettings" Target="../printerSettings/printerSettings38.bin"/><Relationship Id="rId16" Type="http://schemas.openxmlformats.org/officeDocument/2006/relationships/hyperlink" Target="http://www.portoplatanias.gr/" TargetMode="External"/><Relationship Id="rId20" Type="http://schemas.openxmlformats.org/officeDocument/2006/relationships/hyperlink" Target="http://www.knossosbeach.com/" TargetMode="External"/><Relationship Id="rId1" Type="http://schemas.openxmlformats.org/officeDocument/2006/relationships/printerSettings" Target="../printerSettings/printerSettings37.bin"/><Relationship Id="rId6" Type="http://schemas.openxmlformats.org/officeDocument/2006/relationships/hyperlink" Target="http://www.capsishotel.gr/" TargetMode="External"/><Relationship Id="rId11" Type="http://schemas.openxmlformats.org/officeDocument/2006/relationships/hyperlink" Target="http://www.aldemarhotels.com/" TargetMode="External"/><Relationship Id="rId24" Type="http://schemas.openxmlformats.org/officeDocument/2006/relationships/hyperlink" Target="http://www.hersotels.gr/" TargetMode="External"/><Relationship Id="rId5" Type="http://schemas.openxmlformats.org/officeDocument/2006/relationships/hyperlink" Target="http://www.aquisresorts.com/" TargetMode="External"/><Relationship Id="rId15" Type="http://schemas.openxmlformats.org/officeDocument/2006/relationships/hyperlink" Target="http://www.galaxy-hotel.com/" TargetMode="External"/><Relationship Id="rId23" Type="http://schemas.openxmlformats.org/officeDocument/2006/relationships/hyperlink" Target="http://www.marinhotel.gr/" TargetMode="External"/><Relationship Id="rId10" Type="http://schemas.openxmlformats.org/officeDocument/2006/relationships/hyperlink" Target="http://www.aldemarhotels.com/" TargetMode="External"/><Relationship Id="rId19" Type="http://schemas.openxmlformats.org/officeDocument/2006/relationships/hyperlink" Target="http://www.hersotels.gr/" TargetMode="External"/><Relationship Id="rId4" Type="http://schemas.openxmlformats.org/officeDocument/2006/relationships/hyperlink" Target="http://www.eloundabeach.gr/" TargetMode="External"/><Relationship Id="rId9" Type="http://schemas.openxmlformats.org/officeDocument/2006/relationships/hyperlink" Target="http://www.agapibeach.gr/" TargetMode="External"/><Relationship Id="rId14" Type="http://schemas.openxmlformats.org/officeDocument/2006/relationships/hyperlink" Target="http://www.eloundabay.gr/" TargetMode="External"/><Relationship Id="rId22" Type="http://schemas.openxmlformats.org/officeDocument/2006/relationships/hyperlink" Target="http://www.lato.gr/" TargetMode="External"/><Relationship Id="rId27" Type="http://schemas.openxmlformats.org/officeDocument/2006/relationships/printerSettings" Target="../printerSettings/printerSettings39.bin"/></Relationships>
</file>

<file path=xl/worksheets/_rels/sheet14.xml.rels><?xml version="1.0" encoding="UTF-8" standalone="yes"?>
<Relationships xmlns="http://schemas.openxmlformats.org/package/2006/relationships"><Relationship Id="rId3" Type="http://schemas.openxmlformats.org/officeDocument/2006/relationships/hyperlink" Target="http://www.delphi.com.gr/" TargetMode="External"/><Relationship Id="rId2" Type="http://schemas.openxmlformats.org/officeDocument/2006/relationships/hyperlink" Target="http://www.amaliahotels.com/" TargetMode="External"/><Relationship Id="rId1" Type="http://schemas.openxmlformats.org/officeDocument/2006/relationships/printerSettings" Target="../printerSettings/printerSettings40.bin"/><Relationship Id="rId6" Type="http://schemas.openxmlformats.org/officeDocument/2006/relationships/printerSettings" Target="../printerSettings/printerSettings41.bin"/><Relationship Id="rId5" Type="http://schemas.openxmlformats.org/officeDocument/2006/relationships/hyperlink" Target="http://www.fedriades.com/" TargetMode="External"/><Relationship Id="rId4" Type="http://schemas.openxmlformats.org/officeDocument/2006/relationships/hyperlink" Target="http://www.ariondelphihotel.com/" TargetMode="Externa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hyperlink" Target="http://www.thermaesyllaspa-hotel.com/" TargetMode="External"/><Relationship Id="rId1" Type="http://schemas.openxmlformats.org/officeDocument/2006/relationships/printerSettings" Target="../printerSettings/printerSettings42.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hyperlink" Target="http://www.aktaion-resort.com/" TargetMode="External"/><Relationship Id="rId1" Type="http://schemas.openxmlformats.org/officeDocument/2006/relationships/printerSettings" Target="../printerSettings/printerSettings44.bin"/></Relationships>
</file>

<file path=xl/worksheets/_rels/sheet17.xml.rels><?xml version="1.0" encoding="UTF-8" standalone="yes"?>
<Relationships xmlns="http://schemas.openxmlformats.org/package/2006/relationships"><Relationship Id="rId3" Type="http://schemas.openxmlformats.org/officeDocument/2006/relationships/hyperlink" Target="http://www.bratserahotel.com/" TargetMode="External"/><Relationship Id="rId2" Type="http://schemas.openxmlformats.org/officeDocument/2006/relationships/hyperlink" Target="http://www.angelica.gr/" TargetMode="External"/><Relationship Id="rId1" Type="http://schemas.openxmlformats.org/officeDocument/2006/relationships/printerSettings" Target="../printerSettings/printerSettings46.bin"/><Relationship Id="rId4" Type="http://schemas.openxmlformats.org/officeDocument/2006/relationships/printerSettings" Target="../printerSettings/printerSettings47.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9.bin"/><Relationship Id="rId2" Type="http://schemas.openxmlformats.org/officeDocument/2006/relationships/hyperlink" Target="http://www.epiruspalace.gr/" TargetMode="External"/><Relationship Id="rId1" Type="http://schemas.openxmlformats.org/officeDocument/2006/relationships/printerSettings" Target="../printerSettings/printerSettings48.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faroutclub.com/" TargetMode="External"/><Relationship Id="rId7" Type="http://schemas.openxmlformats.org/officeDocument/2006/relationships/printerSettings" Target="../printerSettings/printerSettings52.bin"/><Relationship Id="rId2" Type="http://schemas.openxmlformats.org/officeDocument/2006/relationships/printerSettings" Target="../printerSettings/printerSettings51.bin"/><Relationship Id="rId1" Type="http://schemas.openxmlformats.org/officeDocument/2006/relationships/printerSettings" Target="../printerSettings/printerSettings50.bin"/><Relationship Id="rId6" Type="http://schemas.openxmlformats.org/officeDocument/2006/relationships/hyperlink" Target="http://www.faroutclub.com/" TargetMode="External"/><Relationship Id="rId5" Type="http://schemas.openxmlformats.org/officeDocument/2006/relationships/hyperlink" Target="http://www.iospalacehotel.com/" TargetMode="External"/><Relationship Id="rId4" Type="http://schemas.openxmlformats.org/officeDocument/2006/relationships/hyperlink" Target="http://www.dionysos-ios.gr/"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drawing" Target="../drawings/drawing2.xml"/><Relationship Id="rId4" Type="http://schemas.openxmlformats.org/officeDocument/2006/relationships/printerSettings" Target="../printerSettings/printerSettings7.bin"/></Relationships>
</file>

<file path=xl/worksheets/_rels/sheet20.xml.rels><?xml version="1.0" encoding="UTF-8" standalone="yes"?>
<Relationships xmlns="http://schemas.openxmlformats.org/package/2006/relationships"><Relationship Id="rId3" Type="http://schemas.openxmlformats.org/officeDocument/2006/relationships/hyperlink" Target="http://www.filoxeniakalamata.com/" TargetMode="External"/><Relationship Id="rId2" Type="http://schemas.openxmlformats.org/officeDocument/2006/relationships/hyperlink" Target="http://www.aktitaygetos.gr/" TargetMode="External"/><Relationship Id="rId1" Type="http://schemas.openxmlformats.org/officeDocument/2006/relationships/printerSettings" Target="../printerSettings/printerSettings53.bin"/><Relationship Id="rId4" Type="http://schemas.openxmlformats.org/officeDocument/2006/relationships/printerSettings" Target="../printerSettings/printerSettings54.bin"/></Relationships>
</file>

<file path=xl/worksheets/_rels/sheet21.xml.rels><?xml version="1.0" encoding="UTF-8" standalone="yes"?>
<Relationships xmlns="http://schemas.openxmlformats.org/package/2006/relationships"><Relationship Id="rId3" Type="http://schemas.openxmlformats.org/officeDocument/2006/relationships/hyperlink" Target="http://www.amaliahotels.com/" TargetMode="External"/><Relationship Id="rId2" Type="http://schemas.openxmlformats.org/officeDocument/2006/relationships/hyperlink" Target="http://www.meteorahotels.com/" TargetMode="External"/><Relationship Id="rId1" Type="http://schemas.openxmlformats.org/officeDocument/2006/relationships/printerSettings" Target="../printerSettings/printerSettings55.bin"/><Relationship Id="rId6" Type="http://schemas.openxmlformats.org/officeDocument/2006/relationships/printerSettings" Target="../printerSettings/printerSettings56.bin"/><Relationship Id="rId5" Type="http://schemas.openxmlformats.org/officeDocument/2006/relationships/hyperlink" Target="http://www.hotel-orfeas.gr/" TargetMode="External"/><Relationship Id="rId4" Type="http://schemas.openxmlformats.org/officeDocument/2006/relationships/hyperlink" Target="http://www.divanis.com/" TargetMode="Externa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hyperlink" Target="http://www.egnatiahotel.gr/" TargetMode="External"/><Relationship Id="rId1" Type="http://schemas.openxmlformats.org/officeDocument/2006/relationships/printerSettings" Target="../printerSettings/printerSettings57.bin"/></Relationships>
</file>

<file path=xl/worksheets/_rels/sheet23.xml.rels><?xml version="1.0" encoding="UTF-8" standalone="yes"?>
<Relationships xmlns="http://schemas.openxmlformats.org/package/2006/relationships"><Relationship Id="rId3" Type="http://schemas.openxmlformats.org/officeDocument/2006/relationships/hyperlink" Target="http://www.kipriotis.gr/" TargetMode="External"/><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 Id="rId4" Type="http://schemas.openxmlformats.org/officeDocument/2006/relationships/printerSettings" Target="../printerSettings/printerSettings61.bin"/></Relationships>
</file>

<file path=xl/worksheets/_rels/sheet24.xml.rels><?xml version="1.0" encoding="UTF-8" standalone="yes"?>
<Relationships xmlns="http://schemas.openxmlformats.org/package/2006/relationships"><Relationship Id="rId3" Type="http://schemas.openxmlformats.org/officeDocument/2006/relationships/hyperlink" Target="http://www.poseidonresort.gr/" TargetMode="External"/><Relationship Id="rId2" Type="http://schemas.openxmlformats.org/officeDocument/2006/relationships/hyperlink" Target="http://www.clubhotelloutraki.gr/" TargetMode="External"/><Relationship Id="rId1" Type="http://schemas.openxmlformats.org/officeDocument/2006/relationships/printerSettings" Target="../printerSettings/printerSettings62.bin"/><Relationship Id="rId4" Type="http://schemas.openxmlformats.org/officeDocument/2006/relationships/printerSettings" Target="../printerSettings/printerSettings63.bin"/></Relationships>
</file>

<file path=xl/worksheets/_rels/sheet25.xml.rels><?xml version="1.0" encoding="UTF-8" standalone="yes"?>
<Relationships xmlns="http://schemas.openxmlformats.org/package/2006/relationships"><Relationship Id="rId8" Type="http://schemas.openxmlformats.org/officeDocument/2006/relationships/hyperlink" Target="http://www.petinosbeach.gr/" TargetMode="External"/><Relationship Id="rId13" Type="http://schemas.openxmlformats.org/officeDocument/2006/relationships/hyperlink" Target="http://www.myconianimperial.gr/" TargetMode="External"/><Relationship Id="rId18" Type="http://schemas.openxmlformats.org/officeDocument/2006/relationships/hyperlink" Target="http://www.pelicanbay-mykonos.com/" TargetMode="External"/><Relationship Id="rId26" Type="http://schemas.openxmlformats.org/officeDocument/2006/relationships/hyperlink" Target="http://www.mykonosbay-hotel.com/" TargetMode="External"/><Relationship Id="rId3" Type="http://schemas.openxmlformats.org/officeDocument/2006/relationships/hyperlink" Target="http://www.myconiancollection.gr/" TargetMode="External"/><Relationship Id="rId21" Type="http://schemas.openxmlformats.org/officeDocument/2006/relationships/hyperlink" Target="http://www.sanantonio-summerland.com/" TargetMode="External"/><Relationship Id="rId7" Type="http://schemas.openxmlformats.org/officeDocument/2006/relationships/hyperlink" Target="http://www.newaeoloshotel.com/" TargetMode="External"/><Relationship Id="rId12" Type="http://schemas.openxmlformats.org/officeDocument/2006/relationships/hyperlink" Target="http://www.myconianambassador.gr/" TargetMode="External"/><Relationship Id="rId17" Type="http://schemas.openxmlformats.org/officeDocument/2006/relationships/hyperlink" Target="http://www.mykonospalace.com/" TargetMode="External"/><Relationship Id="rId25" Type="http://schemas.openxmlformats.org/officeDocument/2006/relationships/hyperlink" Target="http://www.vienoulas-myconos.com/" TargetMode="External"/><Relationship Id="rId2" Type="http://schemas.openxmlformats.org/officeDocument/2006/relationships/printerSettings" Target="../printerSettings/printerSettings65.bin"/><Relationship Id="rId16" Type="http://schemas.openxmlformats.org/officeDocument/2006/relationships/hyperlink" Target="http://www.hotelmanoulas.gr/" TargetMode="External"/><Relationship Id="rId20" Type="http://schemas.openxmlformats.org/officeDocument/2006/relationships/hyperlink" Target="http://www.princessofmykonos.gr/" TargetMode="External"/><Relationship Id="rId29" Type="http://schemas.openxmlformats.org/officeDocument/2006/relationships/hyperlink" Target="http://www.elenamykonos.gr/" TargetMode="External"/><Relationship Id="rId1" Type="http://schemas.openxmlformats.org/officeDocument/2006/relationships/printerSettings" Target="../printerSettings/printerSettings64.bin"/><Relationship Id="rId6" Type="http://schemas.openxmlformats.org/officeDocument/2006/relationships/hyperlink" Target="http://www.grandbeachmykonos.com/" TargetMode="External"/><Relationship Id="rId11" Type="http://schemas.openxmlformats.org/officeDocument/2006/relationships/hyperlink" Target="http://www.kivotosclubhotel.com/" TargetMode="External"/><Relationship Id="rId24" Type="http://schemas.openxmlformats.org/officeDocument/2006/relationships/hyperlink" Target="http://www.petasostown.gr/" TargetMode="External"/><Relationship Id="rId5" Type="http://schemas.openxmlformats.org/officeDocument/2006/relationships/hyperlink" Target="http://www.saintjohn.gr/" TargetMode="External"/><Relationship Id="rId15" Type="http://schemas.openxmlformats.org/officeDocument/2006/relationships/hyperlink" Target="http://www.letohotel.com/" TargetMode="External"/><Relationship Id="rId23" Type="http://schemas.openxmlformats.org/officeDocument/2006/relationships/hyperlink" Target="http://www.khotels.gr/" TargetMode="External"/><Relationship Id="rId28" Type="http://schemas.openxmlformats.org/officeDocument/2006/relationships/hyperlink" Target="http://www.rocabella-hotel-mykonos.com/" TargetMode="External"/><Relationship Id="rId10" Type="http://schemas.openxmlformats.org/officeDocument/2006/relationships/hyperlink" Target="http://www.cavotagoo.gr/" TargetMode="External"/><Relationship Id="rId19" Type="http://schemas.openxmlformats.org/officeDocument/2006/relationships/hyperlink" Target="http://www.petasos.gr/" TargetMode="External"/><Relationship Id="rId4" Type="http://schemas.openxmlformats.org/officeDocument/2006/relationships/hyperlink" Target="http://www.mykonosgrand.gr/" TargetMode="External"/><Relationship Id="rId9" Type="http://schemas.openxmlformats.org/officeDocument/2006/relationships/hyperlink" Target="http://www.alkistismykonos.gr/" TargetMode="External"/><Relationship Id="rId14" Type="http://schemas.openxmlformats.org/officeDocument/2006/relationships/hyperlink" Target="http://www.hotelkosmoplaz.gr/" TargetMode="External"/><Relationship Id="rId22" Type="http://schemas.openxmlformats.org/officeDocument/2006/relationships/hyperlink" Target="http://www.semelihotel.gr/" TargetMode="External"/><Relationship Id="rId27" Type="http://schemas.openxmlformats.org/officeDocument/2006/relationships/hyperlink" Target="http://www.petinoshotels.gr/" TargetMode="External"/><Relationship Id="rId30" Type="http://schemas.openxmlformats.org/officeDocument/2006/relationships/printerSettings" Target="../printerSettings/printerSettings66.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68.bin"/><Relationship Id="rId3" Type="http://schemas.openxmlformats.org/officeDocument/2006/relationships/hyperlink" Target="http://www.amaliahotels.com/" TargetMode="External"/><Relationship Id="rId7" Type="http://schemas.openxmlformats.org/officeDocument/2006/relationships/hyperlink" Target="http://www.rex-hotel.gr/" TargetMode="External"/><Relationship Id="rId2" Type="http://schemas.openxmlformats.org/officeDocument/2006/relationships/hyperlink" Target="http://www.amphitryon.gr/" TargetMode="External"/><Relationship Id="rId1" Type="http://schemas.openxmlformats.org/officeDocument/2006/relationships/printerSettings" Target="../printerSettings/printerSettings67.bin"/><Relationship Id="rId6" Type="http://schemas.openxmlformats.org/officeDocument/2006/relationships/hyperlink" Target="http://www.j-g.gr/" TargetMode="External"/><Relationship Id="rId5" Type="http://schemas.openxmlformats.org/officeDocument/2006/relationships/hyperlink" Target="http://www.j-g.gr/" TargetMode="External"/><Relationship Id="rId4" Type="http://schemas.openxmlformats.org/officeDocument/2006/relationships/hyperlink" Target="http://www.grandebretagne.com.gr/" TargetMode="External"/></Relationships>
</file>

<file path=xl/worksheets/_rels/sheet27.xml.rels><?xml version="1.0" encoding="UTF-8" standalone="yes"?>
<Relationships xmlns="http://schemas.openxmlformats.org/package/2006/relationships"><Relationship Id="rId8" Type="http://schemas.openxmlformats.org/officeDocument/2006/relationships/hyperlink" Target="http://www.naxosislandhotel.com/" TargetMode="External"/><Relationship Id="rId3" Type="http://schemas.openxmlformats.org/officeDocument/2006/relationships/hyperlink" Target="http://www.iriabeach-naxos.com/" TargetMode="External"/><Relationship Id="rId7" Type="http://schemas.openxmlformats.org/officeDocument/2006/relationships/hyperlink" Target="http://www.naxosholidayshotel.com/" TargetMode="External"/><Relationship Id="rId2" Type="http://schemas.openxmlformats.org/officeDocument/2006/relationships/printerSettings" Target="../printerSettings/printerSettings70.bin"/><Relationship Id="rId1" Type="http://schemas.openxmlformats.org/officeDocument/2006/relationships/printerSettings" Target="../printerSettings/printerSettings69.bin"/><Relationship Id="rId6" Type="http://schemas.openxmlformats.org/officeDocument/2006/relationships/hyperlink" Target="http://www.naxosresort.gr/" TargetMode="External"/><Relationship Id="rId5" Type="http://schemas.openxmlformats.org/officeDocument/2006/relationships/hyperlink" Target="http://www.astirofnaxos.com/" TargetMode="External"/><Relationship Id="rId10" Type="http://schemas.openxmlformats.org/officeDocument/2006/relationships/printerSettings" Target="../printerSettings/printerSettings71.bin"/><Relationship Id="rId4" Type="http://schemas.openxmlformats.org/officeDocument/2006/relationships/hyperlink" Target="http://www.naxospalacehotel.com/" TargetMode="External"/><Relationship Id="rId9" Type="http://schemas.openxmlformats.org/officeDocument/2006/relationships/hyperlink" Target="http://www.almarenaxos.com/" TargetMode="External"/></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73.bin"/><Relationship Id="rId3" Type="http://schemas.openxmlformats.org/officeDocument/2006/relationships/hyperlink" Target="http://www.hotelantonios.gr/" TargetMode="External"/><Relationship Id="rId7" Type="http://schemas.openxmlformats.org/officeDocument/2006/relationships/hyperlink" Target="http://www.olympicvillagehotel.com/" TargetMode="External"/><Relationship Id="rId2" Type="http://schemas.openxmlformats.org/officeDocument/2006/relationships/hyperlink" Target="http://www.amaliahotels.com/" TargetMode="External"/><Relationship Id="rId1" Type="http://schemas.openxmlformats.org/officeDocument/2006/relationships/printerSettings" Target="../printerSettings/printerSettings72.bin"/><Relationship Id="rId6" Type="http://schemas.openxmlformats.org/officeDocument/2006/relationships/hyperlink" Target="http://www.artygrandhotel.gr/" TargetMode="External"/><Relationship Id="rId5" Type="http://schemas.openxmlformats.org/officeDocument/2006/relationships/hyperlink" Target="http://www.olympiahotels.gr/" TargetMode="External"/><Relationship Id="rId4" Type="http://schemas.openxmlformats.org/officeDocument/2006/relationships/hyperlink" Target="http://www.hotelseuropa.gr/" TargetMode="External"/></Relationships>
</file>

<file path=xl/worksheets/_rels/sheet29.xml.rels><?xml version="1.0" encoding="UTF-8" standalone="yes"?>
<Relationships xmlns="http://schemas.openxmlformats.org/package/2006/relationships"><Relationship Id="rId3" Type="http://schemas.openxmlformats.org/officeDocument/2006/relationships/hyperlink" Target="http://www.portoriohotel.gr/" TargetMode="External"/><Relationship Id="rId2" Type="http://schemas.openxmlformats.org/officeDocument/2006/relationships/hyperlink" Target="http://www.patraspalace.gr/" TargetMode="External"/><Relationship Id="rId1" Type="http://schemas.openxmlformats.org/officeDocument/2006/relationships/printerSettings" Target="../printerSettings/printerSettings74.bin"/><Relationship Id="rId5" Type="http://schemas.openxmlformats.org/officeDocument/2006/relationships/printerSettings" Target="../printerSettings/printerSettings75.bin"/><Relationship Id="rId4" Type="http://schemas.openxmlformats.org/officeDocument/2006/relationships/hyperlink" Target="http://www.mediterranee.gr/"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printerSettings" Target="../printerSettings/printerSettings11.bin"/></Relationships>
</file>

<file path=xl/worksheets/_rels/sheet30.xml.rels><?xml version="1.0" encoding="UTF-8" standalone="yes"?>
<Relationships xmlns="http://schemas.openxmlformats.org/package/2006/relationships"><Relationship Id="rId8" Type="http://schemas.openxmlformats.org/officeDocument/2006/relationships/hyperlink" Target="http://www.contaratosbeach.gr/" TargetMode="External"/><Relationship Id="rId13" Type="http://schemas.openxmlformats.org/officeDocument/2006/relationships/hyperlink" Target="https://paroshoteloasis.gr/" TargetMode="External"/><Relationship Id="rId3" Type="http://schemas.openxmlformats.org/officeDocument/2006/relationships/hyperlink" Target="http://www.astirofparos.gr/" TargetMode="External"/><Relationship Id="rId7" Type="http://schemas.openxmlformats.org/officeDocument/2006/relationships/hyperlink" Target="http://www.aegeonhotel.com/" TargetMode="External"/><Relationship Id="rId12" Type="http://schemas.openxmlformats.org/officeDocument/2006/relationships/hyperlink" Target="http://www.highmill.gr/" TargetMode="External"/><Relationship Id="rId2" Type="http://schemas.openxmlformats.org/officeDocument/2006/relationships/printerSettings" Target="../printerSettings/printerSettings77.bin"/><Relationship Id="rId1" Type="http://schemas.openxmlformats.org/officeDocument/2006/relationships/printerSettings" Target="../printerSettings/printerSettings76.bin"/><Relationship Id="rId6" Type="http://schemas.openxmlformats.org/officeDocument/2006/relationships/hyperlink" Target="http://www.narges.gr/" TargetMode="External"/><Relationship Id="rId11" Type="http://schemas.openxmlformats.org/officeDocument/2006/relationships/hyperlink" Target="http://www.hotel-senia.com/" TargetMode="External"/><Relationship Id="rId5" Type="http://schemas.openxmlformats.org/officeDocument/2006/relationships/hyperlink" Target="http://www.holidaysunparos.com/" TargetMode="External"/><Relationship Id="rId10" Type="http://schemas.openxmlformats.org/officeDocument/2006/relationships/hyperlink" Target="http://www.paros-bay.greekhotel.gr/" TargetMode="External"/><Relationship Id="rId4" Type="http://schemas.openxmlformats.org/officeDocument/2006/relationships/hyperlink" Target="http://www.yriahotel.gr/" TargetMode="External"/><Relationship Id="rId9" Type="http://schemas.openxmlformats.org/officeDocument/2006/relationships/hyperlink" Target="http://www.erihotel.gr/" TargetMode="External"/><Relationship Id="rId14" Type="http://schemas.openxmlformats.org/officeDocument/2006/relationships/printerSettings" Target="../printerSettings/printerSettings78.bin"/></Relationships>
</file>

<file path=xl/worksheets/_rels/sheet31.xml.rels><?xml version="1.0" encoding="UTF-8" standalone="yes"?>
<Relationships xmlns="http://schemas.openxmlformats.org/package/2006/relationships"><Relationship Id="rId3" Type="http://schemas.openxmlformats.org/officeDocument/2006/relationships/hyperlink" Target="http://www.skalahotel.gr/" TargetMode="External"/><Relationship Id="rId2" Type="http://schemas.openxmlformats.org/officeDocument/2006/relationships/hyperlink" Target="http://www.patmosparadise.com/" TargetMode="External"/><Relationship Id="rId1" Type="http://schemas.openxmlformats.org/officeDocument/2006/relationships/printerSettings" Target="../printerSettings/printerSettings79.bin"/><Relationship Id="rId4" Type="http://schemas.openxmlformats.org/officeDocument/2006/relationships/printerSettings" Target="../printerSettings/printerSettings80.bin"/></Relationships>
</file>

<file path=xl/worksheets/_rels/sheet32.xml.rels><?xml version="1.0" encoding="UTF-8" standalone="yes"?>
<Relationships xmlns="http://schemas.openxmlformats.org/package/2006/relationships"><Relationship Id="rId3" Type="http://schemas.openxmlformats.org/officeDocument/2006/relationships/hyperlink" Target="http://www.newaegli.com/" TargetMode="External"/><Relationship Id="rId2" Type="http://schemas.openxmlformats.org/officeDocument/2006/relationships/hyperlink" Target="http://www.porosimage.gr/" TargetMode="External"/><Relationship Id="rId1" Type="http://schemas.openxmlformats.org/officeDocument/2006/relationships/printerSettings" Target="../printerSettings/printerSettings81.bin"/><Relationship Id="rId4" Type="http://schemas.openxmlformats.org/officeDocument/2006/relationships/printerSettings" Target="../printerSettings/printerSettings82.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84.bin"/><Relationship Id="rId2" Type="http://schemas.openxmlformats.org/officeDocument/2006/relationships/hyperlink" Target="http://www.westincostanavarino.com/" TargetMode="External"/><Relationship Id="rId1" Type="http://schemas.openxmlformats.org/officeDocument/2006/relationships/printerSettings" Target="../printerSettings/printerSettings83.bin"/></Relationships>
</file>

<file path=xl/worksheets/_rels/sheet34.xml.rels><?xml version="1.0" encoding="UTF-8" standalone="yes"?>
<Relationships xmlns="http://schemas.openxmlformats.org/package/2006/relationships"><Relationship Id="rId8" Type="http://schemas.openxmlformats.org/officeDocument/2006/relationships/hyperlink" Target="http://www.electrahotels.gr/" TargetMode="External"/><Relationship Id="rId13" Type="http://schemas.openxmlformats.org/officeDocument/2006/relationships/hyperlink" Target="http://www.rhodesplazahotel.com/" TargetMode="External"/><Relationship Id="rId18" Type="http://schemas.openxmlformats.org/officeDocument/2006/relationships/hyperlink" Target="http://www.atrium.gr/" TargetMode="External"/><Relationship Id="rId3" Type="http://schemas.openxmlformats.org/officeDocument/2006/relationships/hyperlink" Target="http://www.mitsis-grandhotel.com/" TargetMode="External"/><Relationship Id="rId21" Type="http://schemas.openxmlformats.org/officeDocument/2006/relationships/printerSettings" Target="../printerSettings/printerSettings87.bin"/><Relationship Id="rId7" Type="http://schemas.openxmlformats.org/officeDocument/2006/relationships/hyperlink" Target="http://www.dionysos-hotel.gr/" TargetMode="External"/><Relationship Id="rId12" Type="http://schemas.openxmlformats.org/officeDocument/2006/relationships/hyperlink" Target="http://www.mediterranean.gr/" TargetMode="External"/><Relationship Id="rId17" Type="http://schemas.openxmlformats.org/officeDocument/2006/relationships/hyperlink" Target="http://www.manousoshotel.gr/" TargetMode="External"/><Relationship Id="rId2" Type="http://schemas.openxmlformats.org/officeDocument/2006/relationships/printerSettings" Target="../printerSettings/printerSettings86.bin"/><Relationship Id="rId16" Type="http://schemas.openxmlformats.org/officeDocument/2006/relationships/hyperlink" Target="http://www.kipriotis.gr/" TargetMode="External"/><Relationship Id="rId20" Type="http://schemas.openxmlformats.org/officeDocument/2006/relationships/hyperlink" Target="http://www.sheratonrhodesresort.com/" TargetMode="External"/><Relationship Id="rId1" Type="http://schemas.openxmlformats.org/officeDocument/2006/relationships/printerSettings" Target="../printerSettings/printerSettings85.bin"/><Relationship Id="rId6" Type="http://schemas.openxmlformats.org/officeDocument/2006/relationships/hyperlink" Target="http://www.belairbeach.gr/" TargetMode="External"/><Relationship Id="rId11" Type="http://schemas.openxmlformats.org/officeDocument/2006/relationships/hyperlink" Target="http://www.lindosmare.gr/" TargetMode="External"/><Relationship Id="rId5" Type="http://schemas.openxmlformats.org/officeDocument/2006/relationships/hyperlink" Target="http://www.rodos-palace.gr/" TargetMode="External"/><Relationship Id="rId15" Type="http://schemas.openxmlformats.org/officeDocument/2006/relationships/hyperlink" Target="http://www.aglahotel.gr/" TargetMode="External"/><Relationship Id="rId10" Type="http://schemas.openxmlformats.org/officeDocument/2006/relationships/hyperlink" Target="http://www.krestenpalace.gr/" TargetMode="External"/><Relationship Id="rId19" Type="http://schemas.openxmlformats.org/officeDocument/2006/relationships/hyperlink" Target="http://www.theixiangrand.gr/" TargetMode="External"/><Relationship Id="rId4" Type="http://schemas.openxmlformats.org/officeDocument/2006/relationships/hyperlink" Target="http://www.rodospark.gr/" TargetMode="External"/><Relationship Id="rId9" Type="http://schemas.openxmlformats.org/officeDocument/2006/relationships/hyperlink" Target="http://www.rhotel.gr/ibiscus" TargetMode="External"/><Relationship Id="rId14" Type="http://schemas.openxmlformats.org/officeDocument/2006/relationships/hyperlink" Target="http://www.aquarium-hotel.gr/" TargetMode="External"/></Relationships>
</file>

<file path=xl/worksheets/_rels/sheet35.xml.rels><?xml version="1.0" encoding="UTF-8" standalone="yes"?>
<Relationships xmlns="http://schemas.openxmlformats.org/package/2006/relationships"><Relationship Id="rId3" Type="http://schemas.openxmlformats.org/officeDocument/2006/relationships/hyperlink" Target="http://www.doryssa.gr/" TargetMode="External"/><Relationship Id="rId2" Type="http://schemas.openxmlformats.org/officeDocument/2006/relationships/printerSettings" Target="../printerSettings/printerSettings89.bin"/><Relationship Id="rId1" Type="http://schemas.openxmlformats.org/officeDocument/2006/relationships/printerSettings" Target="../printerSettings/printerSettings88.bin"/><Relationship Id="rId4" Type="http://schemas.openxmlformats.org/officeDocument/2006/relationships/printerSettings" Target="../printerSettings/printerSettings90.bin"/></Relationships>
</file>

<file path=xl/worksheets/_rels/sheet36.xml.rels><?xml version="1.0" encoding="UTF-8" standalone="yes"?>
<Relationships xmlns="http://schemas.openxmlformats.org/package/2006/relationships"><Relationship Id="rId8" Type="http://schemas.openxmlformats.org/officeDocument/2006/relationships/hyperlink" Target="http://www.hotel-majestic.gr/" TargetMode="External"/><Relationship Id="rId13" Type="http://schemas.openxmlformats.org/officeDocument/2006/relationships/hyperlink" Target="http://www.vedema.gr/" TargetMode="External"/><Relationship Id="rId18" Type="http://schemas.openxmlformats.org/officeDocument/2006/relationships/hyperlink" Target="http://www.cliffside.gr/" TargetMode="External"/><Relationship Id="rId26" Type="http://schemas.openxmlformats.org/officeDocument/2006/relationships/hyperlink" Target="http://www.santorinipalacehotel.gr/" TargetMode="External"/><Relationship Id="rId3" Type="http://schemas.openxmlformats.org/officeDocument/2006/relationships/hyperlink" Target="http://www.lilium-v.gr/" TargetMode="External"/><Relationship Id="rId21" Type="http://schemas.openxmlformats.org/officeDocument/2006/relationships/hyperlink" Target="http://www.elgreco.com.gr/" TargetMode="External"/><Relationship Id="rId34" Type="http://schemas.openxmlformats.org/officeDocument/2006/relationships/hyperlink" Target="http://www.splendour-santorini.com/" TargetMode="External"/><Relationship Id="rId7" Type="http://schemas.openxmlformats.org/officeDocument/2006/relationships/hyperlink" Target="http://www.kirini.com/" TargetMode="External"/><Relationship Id="rId12" Type="http://schemas.openxmlformats.org/officeDocument/2006/relationships/hyperlink" Target="http://www.sunrocks.gr/" TargetMode="External"/><Relationship Id="rId17" Type="http://schemas.openxmlformats.org/officeDocument/2006/relationships/hyperlink" Target="http://www.chromata-santorini.com/" TargetMode="External"/><Relationship Id="rId25" Type="http://schemas.openxmlformats.org/officeDocument/2006/relationships/hyperlink" Target="http://www.rosebay.gr/" TargetMode="External"/><Relationship Id="rId33" Type="http://schemas.openxmlformats.org/officeDocument/2006/relationships/hyperlink" Target="http://www.perivolas.gr/" TargetMode="External"/><Relationship Id="rId2" Type="http://schemas.openxmlformats.org/officeDocument/2006/relationships/printerSettings" Target="../printerSettings/printerSettings92.bin"/><Relationship Id="rId16" Type="http://schemas.openxmlformats.org/officeDocument/2006/relationships/hyperlink" Target="http://www.canaves.com/" TargetMode="External"/><Relationship Id="rId20" Type="http://schemas.openxmlformats.org/officeDocument/2006/relationships/hyperlink" Target="http://www.danavillas.gr/" TargetMode="External"/><Relationship Id="rId29" Type="http://schemas.openxmlformats.org/officeDocument/2006/relationships/hyperlink" Target="http://www.tzekos.gr/" TargetMode="External"/><Relationship Id="rId1" Type="http://schemas.openxmlformats.org/officeDocument/2006/relationships/printerSettings" Target="../printerSettings/printerSettings91.bin"/><Relationship Id="rId6" Type="http://schemas.openxmlformats.org/officeDocument/2006/relationships/hyperlink" Target="http://www.katikies.com/" TargetMode="External"/><Relationship Id="rId11" Type="http://schemas.openxmlformats.org/officeDocument/2006/relationships/hyperlink" Target="http://www.santoriniprincess.com/" TargetMode="External"/><Relationship Id="rId24" Type="http://schemas.openxmlformats.org/officeDocument/2006/relationships/hyperlink" Target="http://www.rocabella.gr/" TargetMode="External"/><Relationship Id="rId32" Type="http://schemas.openxmlformats.org/officeDocument/2006/relationships/hyperlink" Target="http://www.kamaribeach.gr/" TargetMode="External"/><Relationship Id="rId5" Type="http://schemas.openxmlformats.org/officeDocument/2006/relationships/hyperlink" Target="http://www.aressana.gr/" TargetMode="External"/><Relationship Id="rId15" Type="http://schemas.openxmlformats.org/officeDocument/2006/relationships/hyperlink" Target="http://www.aegeanplaza.gr/" TargetMode="External"/><Relationship Id="rId23" Type="http://schemas.openxmlformats.org/officeDocument/2006/relationships/hyperlink" Target="http://www.onrocks.net/" TargetMode="External"/><Relationship Id="rId28" Type="http://schemas.openxmlformats.org/officeDocument/2006/relationships/hyperlink" Target="http://www.theoxenia.net/" TargetMode="External"/><Relationship Id="rId36" Type="http://schemas.openxmlformats.org/officeDocument/2006/relationships/printerSettings" Target="../printerSettings/printerSettings93.bin"/><Relationship Id="rId10" Type="http://schemas.openxmlformats.org/officeDocument/2006/relationships/hyperlink" Target="http://www.santorini9muses.gr/" TargetMode="External"/><Relationship Id="rId19" Type="http://schemas.openxmlformats.org/officeDocument/2006/relationships/hyperlink" Target="http://www.daedalushotel.gr/" TargetMode="External"/><Relationship Id="rId31" Type="http://schemas.openxmlformats.org/officeDocument/2006/relationships/hyperlink" Target="http://www.akishotel.gr/" TargetMode="External"/><Relationship Id="rId4" Type="http://schemas.openxmlformats.org/officeDocument/2006/relationships/hyperlink" Target="http://www.ellinonthea.gr/" TargetMode="External"/><Relationship Id="rId9" Type="http://schemas.openxmlformats.org/officeDocument/2006/relationships/hyperlink" Target="http://www.mystique.gr/" TargetMode="External"/><Relationship Id="rId14" Type="http://schemas.openxmlformats.org/officeDocument/2006/relationships/hyperlink" Target="http://www.zannos.gr/" TargetMode="External"/><Relationship Id="rId22" Type="http://schemas.openxmlformats.org/officeDocument/2006/relationships/hyperlink" Target="http://www.nomikosvillas.gr/" TargetMode="External"/><Relationship Id="rId27" Type="http://schemas.openxmlformats.org/officeDocument/2006/relationships/hyperlink" Target="http://www.suitesofthegods.com/" TargetMode="External"/><Relationship Id="rId30" Type="http://schemas.openxmlformats.org/officeDocument/2006/relationships/hyperlink" Target="http://www.volcano-view-villas.com/" TargetMode="External"/><Relationship Id="rId35" Type="http://schemas.openxmlformats.org/officeDocument/2006/relationships/hyperlink" Target="http://www.albatroshotel-santorini.com/" TargetMode="External"/></Relationships>
</file>

<file path=xl/worksheets/_rels/sheet37.xml.rels><?xml version="1.0" encoding="UTF-8" standalone="yes"?>
<Relationships xmlns="http://schemas.openxmlformats.org/package/2006/relationships"><Relationship Id="rId8" Type="http://schemas.openxmlformats.org/officeDocument/2006/relationships/hyperlink" Target="http://www.plaza.gr/" TargetMode="External"/><Relationship Id="rId3" Type="http://schemas.openxmlformats.org/officeDocument/2006/relationships/hyperlink" Target="http://www.skiathosprincess.com/" TargetMode="External"/><Relationship Id="rId7" Type="http://schemas.openxmlformats.org/officeDocument/2006/relationships/hyperlink" Target="http://www.esperidesbeach.gr/" TargetMode="External"/><Relationship Id="rId2" Type="http://schemas.openxmlformats.org/officeDocument/2006/relationships/hyperlink" Target="http://www.skiathos-palace.gr/" TargetMode="External"/><Relationship Id="rId1" Type="http://schemas.openxmlformats.org/officeDocument/2006/relationships/printerSettings" Target="../printerSettings/printerSettings94.bin"/><Relationship Id="rId6" Type="http://schemas.openxmlformats.org/officeDocument/2006/relationships/hyperlink" Target="http://www.atriumhotel.gr/" TargetMode="External"/><Relationship Id="rId5" Type="http://schemas.openxmlformats.org/officeDocument/2006/relationships/hyperlink" Target="http://www.kivohotel.com/" TargetMode="External"/><Relationship Id="rId4" Type="http://schemas.openxmlformats.org/officeDocument/2006/relationships/hyperlink" Target="http://www.dabasihotel.com/" TargetMode="External"/><Relationship Id="rId9" Type="http://schemas.openxmlformats.org/officeDocument/2006/relationships/printerSettings" Target="../printerSettings/printerSettings95.bin"/></Relationships>
</file>

<file path=xl/worksheets/_rels/sheet38.xml.rels><?xml version="1.0" encoding="UTF-8" standalone="yes"?>
<Relationships xmlns="http://schemas.openxmlformats.org/package/2006/relationships"><Relationship Id="rId8" Type="http://schemas.openxmlformats.org/officeDocument/2006/relationships/hyperlink" Target="http://www.afroditehotel.gr/" TargetMode="External"/><Relationship Id="rId3" Type="http://schemas.openxmlformats.org/officeDocument/2006/relationships/hyperlink" Target="http://www.rigashotel.gr/" TargetMode="External"/><Relationship Id="rId7" Type="http://schemas.openxmlformats.org/officeDocument/2006/relationships/hyperlink" Target="http://www.princestafilos.gr/" TargetMode="External"/><Relationship Id="rId2" Type="http://schemas.openxmlformats.org/officeDocument/2006/relationships/hyperlink" Target="http://www.skopelos-holidays.gr/" TargetMode="External"/><Relationship Id="rId1" Type="http://schemas.openxmlformats.org/officeDocument/2006/relationships/printerSettings" Target="../printerSettings/printerSettings96.bin"/><Relationship Id="rId6" Type="http://schemas.openxmlformats.org/officeDocument/2006/relationships/hyperlink" Target="http://www.afroditehotel.gr/about-skopelos.htm" TargetMode="External"/><Relationship Id="rId5" Type="http://schemas.openxmlformats.org/officeDocument/2006/relationships/hyperlink" Target="http://www.dionyssoshotel.com/" TargetMode="External"/><Relationship Id="rId4" Type="http://schemas.openxmlformats.org/officeDocument/2006/relationships/hyperlink" Target="http://www.skopelosvillagehotel.com/" TargetMode="External"/><Relationship Id="rId9" Type="http://schemas.openxmlformats.org/officeDocument/2006/relationships/printerSettings" Target="../printerSettings/printerSettings97.bin"/></Relationships>
</file>

<file path=xl/worksheets/_rels/sheet39.xml.rels><?xml version="1.0" encoding="UTF-8" standalone="yes"?>
<Relationships xmlns="http://schemas.openxmlformats.org/package/2006/relationships"><Relationship Id="rId3" Type="http://schemas.openxmlformats.org/officeDocument/2006/relationships/hyperlink" Target="http://www.apollonionpalace.gr/" TargetMode="External"/><Relationship Id="rId2" Type="http://schemas.openxmlformats.org/officeDocument/2006/relationships/hyperlink" Target="http://hermes-syros.com/" TargetMode="External"/><Relationship Id="rId1" Type="http://schemas.openxmlformats.org/officeDocument/2006/relationships/printerSettings" Target="../printerSettings/printerSettings98.bin"/><Relationship Id="rId5" Type="http://schemas.openxmlformats.org/officeDocument/2006/relationships/printerSettings" Target="../printerSettings/printerSettings99.bin"/><Relationship Id="rId4" Type="http://schemas.openxmlformats.org/officeDocument/2006/relationships/hyperlink" Target="http://www.syroumelathron.gr/"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printerSettings" Target="../printerSettings/printerSettings15.bin"/></Relationships>
</file>

<file path=xl/worksheets/_rels/sheet40.xml.rels><?xml version="1.0" encoding="UTF-8" standalone="yes"?>
<Relationships xmlns="http://schemas.openxmlformats.org/package/2006/relationships"><Relationship Id="rId8" Type="http://schemas.openxmlformats.org/officeDocument/2006/relationships/hyperlink" Target="http://www.capsishotel.gr/" TargetMode="External"/><Relationship Id="rId13" Type="http://schemas.openxmlformats.org/officeDocument/2006/relationships/hyperlink" Target="http://www.mandrino.gr/" TargetMode="External"/><Relationship Id="rId3" Type="http://schemas.openxmlformats.org/officeDocument/2006/relationships/hyperlink" Target="http://www.grandhotelpalace.gr/" TargetMode="External"/><Relationship Id="rId7" Type="http://schemas.openxmlformats.org/officeDocument/2006/relationships/hyperlink" Target="http://www.anatoliahotels.gr/" TargetMode="External"/><Relationship Id="rId12" Type="http://schemas.openxmlformats.org/officeDocument/2006/relationships/hyperlink" Target="http://www.hotelelgreco.gr/" TargetMode="External"/><Relationship Id="rId17" Type="http://schemas.openxmlformats.org/officeDocument/2006/relationships/printerSettings" Target="../printerSettings/printerSettings101.bin"/><Relationship Id="rId2" Type="http://schemas.openxmlformats.org/officeDocument/2006/relationships/hyperlink" Target="http://www.daioshotels.com/" TargetMode="External"/><Relationship Id="rId16" Type="http://schemas.openxmlformats.org/officeDocument/2006/relationships/hyperlink" Target="http://www.electrahotels.gr/" TargetMode="External"/><Relationship Id="rId1" Type="http://schemas.openxmlformats.org/officeDocument/2006/relationships/printerSettings" Target="../printerSettings/printerSettings100.bin"/><Relationship Id="rId6" Type="http://schemas.openxmlformats.org/officeDocument/2006/relationships/hyperlink" Target="http://www.mediterranean-palace.gr/" TargetMode="External"/><Relationship Id="rId11" Type="http://schemas.openxmlformats.org/officeDocument/2006/relationships/hyperlink" Target="http://www.sunbeach.gr/" TargetMode="External"/><Relationship Id="rId5" Type="http://schemas.openxmlformats.org/officeDocument/2006/relationships/hyperlink" Target="http://www.domotel.gr/" TargetMode="External"/><Relationship Id="rId15" Type="http://schemas.openxmlformats.org/officeDocument/2006/relationships/hyperlink" Target="http://www.telioni.gr/" TargetMode="External"/><Relationship Id="rId10" Type="http://schemas.openxmlformats.org/officeDocument/2006/relationships/hyperlink" Target="http://www.davitel.gr/" TargetMode="External"/><Relationship Id="rId4" Type="http://schemas.openxmlformats.org/officeDocument/2006/relationships/hyperlink" Target="http://www.hithessaloniki.gr/" TargetMode="External"/><Relationship Id="rId9" Type="http://schemas.openxmlformats.org/officeDocument/2006/relationships/hyperlink" Target="http://www.cityhotel.gr/" TargetMode="External"/><Relationship Id="rId14" Type="http://schemas.openxmlformats.org/officeDocument/2006/relationships/hyperlink" Target="http://www.metropolitan.gr/" TargetMode="External"/></Relationships>
</file>

<file path=xl/worksheets/_rels/sheet41.xml.rels><?xml version="1.0" encoding="UTF-8" standalone="yes"?>
<Relationships xmlns="http://schemas.openxmlformats.org/package/2006/relationships"><Relationship Id="rId3" Type="http://schemas.openxmlformats.org/officeDocument/2006/relationships/hyperlink" Target="http://www.dianahotels.gr/" TargetMode="External"/><Relationship Id="rId2" Type="http://schemas.openxmlformats.org/officeDocument/2006/relationships/hyperlink" Target="http://www.medbeach.gr/" TargetMode="External"/><Relationship Id="rId1" Type="http://schemas.openxmlformats.org/officeDocument/2006/relationships/printerSettings" Target="../printerSettings/printerSettings102.bin"/><Relationship Id="rId6" Type="http://schemas.openxmlformats.org/officeDocument/2006/relationships/printerSettings" Target="../printerSettings/printerSettings103.bin"/><Relationship Id="rId5" Type="http://schemas.openxmlformats.org/officeDocument/2006/relationships/hyperlink" Target="http://www.zanteroyalresort.gr/" TargetMode="External"/><Relationship Id="rId4" Type="http://schemas.openxmlformats.org/officeDocument/2006/relationships/hyperlink" Target="http://www.zhg.gr/"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4" Type="http://schemas.openxmlformats.org/officeDocument/2006/relationships/printerSettings" Target="../printerSettings/printerSettings1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7.xml.rels><?xml version="1.0" encoding="UTF-8" standalone="yes"?>
<Relationships xmlns="http://schemas.openxmlformats.org/package/2006/relationships"><Relationship Id="rId13" Type="http://schemas.openxmlformats.org/officeDocument/2006/relationships/hyperlink" Target="http://www.electrahotels.gr/" TargetMode="External"/><Relationship Id="rId18" Type="http://schemas.openxmlformats.org/officeDocument/2006/relationships/hyperlink" Target="http://www.grecotel.com/" TargetMode="External"/><Relationship Id="rId26" Type="http://schemas.openxmlformats.org/officeDocument/2006/relationships/hyperlink" Target="http://www.airotel.gr/" TargetMode="External"/><Relationship Id="rId39" Type="http://schemas.openxmlformats.org/officeDocument/2006/relationships/hyperlink" Target="http://www.airotel.gr/" TargetMode="External"/><Relationship Id="rId21" Type="http://schemas.openxmlformats.org/officeDocument/2006/relationships/hyperlink" Target="http://www.plaza-resort.com/" TargetMode="External"/><Relationship Id="rId34" Type="http://schemas.openxmlformats.org/officeDocument/2006/relationships/hyperlink" Target="http://www.herodion.gr/" TargetMode="External"/><Relationship Id="rId42" Type="http://schemas.openxmlformats.org/officeDocument/2006/relationships/hyperlink" Target="http://www.acropoliselect.gr/" TargetMode="External"/><Relationship Id="rId47" Type="http://schemas.openxmlformats.org/officeDocument/2006/relationships/hyperlink" Target="http://www.dorianinnhotel.com/" TargetMode="External"/><Relationship Id="rId50" Type="http://schemas.openxmlformats.org/officeDocument/2006/relationships/hyperlink" Target="http://oscar.gr/" TargetMode="External"/><Relationship Id="rId55" Type="http://schemas.openxmlformats.org/officeDocument/2006/relationships/hyperlink" Target="http://www.novushotel.gr/" TargetMode="External"/><Relationship Id="rId7" Type="http://schemas.openxmlformats.org/officeDocument/2006/relationships/hyperlink" Target="http://www.amalia.gr/" TargetMode="External"/><Relationship Id="rId12" Type="http://schemas.openxmlformats.org/officeDocument/2006/relationships/hyperlink" Target="http://www.hiathens.com/" TargetMode="External"/><Relationship Id="rId17" Type="http://schemas.openxmlformats.org/officeDocument/2006/relationships/hyperlink" Target="http://www.grandresort.gr/" TargetMode="External"/><Relationship Id="rId25" Type="http://schemas.openxmlformats.org/officeDocument/2006/relationships/hyperlink" Target="http://www.aegeon-hotel.com/" TargetMode="External"/><Relationship Id="rId33" Type="http://schemas.openxmlformats.org/officeDocument/2006/relationships/hyperlink" Target="http://www.fenix.gr/" TargetMode="External"/><Relationship Id="rId38" Type="http://schemas.openxmlformats.org/officeDocument/2006/relationships/hyperlink" Target="http://www.president.gr/" TargetMode="External"/><Relationship Id="rId46" Type="http://schemas.openxmlformats.org/officeDocument/2006/relationships/hyperlink" Target="http://www.hotelsofathens.com/" TargetMode="External"/><Relationship Id="rId2" Type="http://schemas.openxmlformats.org/officeDocument/2006/relationships/printerSettings" Target="../printerSettings/printerSettings23.bin"/><Relationship Id="rId16" Type="http://schemas.openxmlformats.org/officeDocument/2006/relationships/hyperlink" Target="http://www.divanis-caravel.com/" TargetMode="External"/><Relationship Id="rId20" Type="http://schemas.openxmlformats.org/officeDocument/2006/relationships/hyperlink" Target="http://www.themargi.gr/" TargetMode="External"/><Relationship Id="rId29" Type="http://schemas.openxmlformats.org/officeDocument/2006/relationships/hyperlink" Target="http://www.athenslotushotel.gr/" TargetMode="External"/><Relationship Id="rId41" Type="http://schemas.openxmlformats.org/officeDocument/2006/relationships/hyperlink" Target="http://www.zafoliahotel.gr/" TargetMode="External"/><Relationship Id="rId54" Type="http://schemas.openxmlformats.org/officeDocument/2006/relationships/hyperlink" Target="http://www.poseidonhotel.com.gr/" TargetMode="External"/><Relationship Id="rId1" Type="http://schemas.openxmlformats.org/officeDocument/2006/relationships/printerSettings" Target="../printerSettings/printerSettings22.bin"/><Relationship Id="rId6" Type="http://schemas.openxmlformats.org/officeDocument/2006/relationships/hyperlink" Target="http://www.divanis.com/" TargetMode="External"/><Relationship Id="rId11" Type="http://schemas.openxmlformats.org/officeDocument/2006/relationships/hyperlink" Target="http://www.njvathensplaza.gr/" TargetMode="External"/><Relationship Id="rId24" Type="http://schemas.openxmlformats.org/officeDocument/2006/relationships/hyperlink" Target="http://www.sofitel.com/" TargetMode="External"/><Relationship Id="rId32" Type="http://schemas.openxmlformats.org/officeDocument/2006/relationships/hyperlink" Target="http://www.emmantina.gr/" TargetMode="External"/><Relationship Id="rId37" Type="http://schemas.openxmlformats.org/officeDocument/2006/relationships/hyperlink" Target="http://www.polisgrandhotel.gr/" TargetMode="External"/><Relationship Id="rId40" Type="http://schemas.openxmlformats.org/officeDocument/2006/relationships/hyperlink" Target="http://www.titania.gr/" TargetMode="External"/><Relationship Id="rId45" Type="http://schemas.openxmlformats.org/officeDocument/2006/relationships/hyperlink" Target="http://www.hotelsofathens.com/" TargetMode="External"/><Relationship Id="rId53" Type="http://schemas.openxmlformats.org/officeDocument/2006/relationships/hyperlink" Target="http://www.savoyhotel.gr/" TargetMode="External"/><Relationship Id="rId5" Type="http://schemas.openxmlformats.org/officeDocument/2006/relationships/hyperlink" Target="http://www.astorhotel.gr/" TargetMode="External"/><Relationship Id="rId15" Type="http://schemas.openxmlformats.org/officeDocument/2006/relationships/hyperlink" Target="http://www.divaniacropolis.gr/" TargetMode="External"/><Relationship Id="rId23" Type="http://schemas.openxmlformats.org/officeDocument/2006/relationships/hyperlink" Target="http://www.sglycabettus.gr/" TargetMode="External"/><Relationship Id="rId28" Type="http://schemas.openxmlformats.org/officeDocument/2006/relationships/hyperlink" Target="http://www.athensgate.gr/" TargetMode="External"/><Relationship Id="rId36" Type="http://schemas.openxmlformats.org/officeDocument/2006/relationships/hyperlink" Target="http://www.airotel.gr/" TargetMode="External"/><Relationship Id="rId49" Type="http://schemas.openxmlformats.org/officeDocument/2006/relationships/hyperlink" Target="http://www.londonhotelathens.com/" TargetMode="External"/><Relationship Id="rId57" Type="http://schemas.openxmlformats.org/officeDocument/2006/relationships/printerSettings" Target="../printerSettings/printerSettings25.bin"/><Relationship Id="rId10" Type="http://schemas.openxmlformats.org/officeDocument/2006/relationships/hyperlink" Target="http://www.westinathens.com/" TargetMode="External"/><Relationship Id="rId19" Type="http://schemas.openxmlformats.org/officeDocument/2006/relationships/hyperlink" Target="http://www.hilton.com/" TargetMode="External"/><Relationship Id="rId31" Type="http://schemas.openxmlformats.org/officeDocument/2006/relationships/hyperlink" Target="http://www.electrahotels.gr/" TargetMode="External"/><Relationship Id="rId44" Type="http://schemas.openxmlformats.org/officeDocument/2006/relationships/hyperlink" Target="http://www.athenscypria.com/" TargetMode="External"/><Relationship Id="rId52" Type="http://schemas.openxmlformats.org/officeDocument/2006/relationships/hyperlink" Target="http://www.plakahotel.gr/" TargetMode="External"/><Relationship Id="rId4" Type="http://schemas.openxmlformats.org/officeDocument/2006/relationships/hyperlink" Target="http://www.cpathens.com/" TargetMode="External"/><Relationship Id="rId9" Type="http://schemas.openxmlformats.org/officeDocument/2006/relationships/hyperlink" Target="http://www.hotelstanley.gr/" TargetMode="External"/><Relationship Id="rId14" Type="http://schemas.openxmlformats.org/officeDocument/2006/relationships/hyperlink" Target="http://www.classicalhotels.com/" TargetMode="External"/><Relationship Id="rId22" Type="http://schemas.openxmlformats.org/officeDocument/2006/relationships/hyperlink" Target="http://www.royalolympic.com/" TargetMode="External"/><Relationship Id="rId27" Type="http://schemas.openxmlformats.org/officeDocument/2006/relationships/hyperlink" Target="http://www.tac.gr/" TargetMode="External"/><Relationship Id="rId30" Type="http://schemas.openxmlformats.org/officeDocument/2006/relationships/hyperlink" Target="http://www.coralhotel.gr/" TargetMode="External"/><Relationship Id="rId35" Type="http://schemas.openxmlformats.org/officeDocument/2006/relationships/hyperlink" Target="http://www.holiday-suites.com/" TargetMode="External"/><Relationship Id="rId43" Type="http://schemas.openxmlformats.org/officeDocument/2006/relationships/hyperlink" Target="http://www.arethusahotel.gr/" TargetMode="External"/><Relationship Id="rId48" Type="http://schemas.openxmlformats.org/officeDocument/2006/relationships/hyperlink" Target="http://www.douros-hotels.com/" TargetMode="External"/><Relationship Id="rId56" Type="http://schemas.openxmlformats.org/officeDocument/2006/relationships/hyperlink" Target="http://www.electrahotels.gr/en/athens/electra-metropolis-athens" TargetMode="External"/><Relationship Id="rId8" Type="http://schemas.openxmlformats.org/officeDocument/2006/relationships/hyperlink" Target="http://www.goldenage.gr/" TargetMode="External"/><Relationship Id="rId51" Type="http://schemas.openxmlformats.org/officeDocument/2006/relationships/hyperlink" Target="http://www.philipposhotel.gr/" TargetMode="External"/><Relationship Id="rId3" Type="http://schemas.openxmlformats.org/officeDocument/2006/relationships/printerSettings" Target="../printerSettings/printerSettings24.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s>
</file>

<file path=xl/worksheets/_rels/sheet9.xml.rels><?xml version="1.0" encoding="UTF-8" standalone="yes"?>
<Relationships xmlns="http://schemas.openxmlformats.org/package/2006/relationships"><Relationship Id="rId3" Type="http://schemas.openxmlformats.org/officeDocument/2006/relationships/hyperlink" Target="http://www.arahova-inn.gr/" TargetMode="External"/><Relationship Id="rId2" Type="http://schemas.openxmlformats.org/officeDocument/2006/relationships/hyperlink" Target="http://www.anemolia.gr/" TargetMode="External"/><Relationship Id="rId1" Type="http://schemas.openxmlformats.org/officeDocument/2006/relationships/printerSettings" Target="../printerSettings/printerSettings28.bin"/><Relationship Id="rId4"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L33"/>
  <sheetViews>
    <sheetView showGridLines="0" tabSelected="1" topLeftCell="A10" workbookViewId="0">
      <selection activeCell="L114" sqref="L114"/>
    </sheetView>
  </sheetViews>
  <sheetFormatPr defaultRowHeight="12.75" x14ac:dyDescent="0.2"/>
  <cols>
    <col min="9" max="9" width="14" customWidth="1"/>
    <col min="10" max="10" width="15.140625" customWidth="1"/>
  </cols>
  <sheetData>
    <row r="33" spans="12:12" x14ac:dyDescent="0.2">
      <c r="L33" s="59"/>
    </row>
  </sheetData>
  <customSheetViews>
    <customSheetView guid="{777CFE61-6F99-11D9-974B-0050BFD074B6}" showRuler="0">
      <selection activeCell="L11" sqref="L11"/>
      <pageMargins left="0" right="0" top="0" bottom="0" header="0.19685039370078741" footer="0.19685039370078741"/>
      <pageSetup paperSize="9" orientation="portrait" horizontalDpi="4294967293" verticalDpi="300" r:id="rId1"/>
      <headerFooter alignWithMargins="0"/>
    </customSheetView>
    <customSheetView guid="{3C76061C-A85D-4390-B9DB-73E13038638C}" showPageBreaks="1" showGridLines="0" topLeftCell="A19">
      <selection activeCell="M11" sqref="M11"/>
      <pageMargins left="0.28125" right="0.25" top="0.6692913385826772" bottom="0.70866141732283472" header="0.23622047244094491" footer="0.47244094488188981"/>
      <printOptions horizontalCentered="1" verticalCentered="1"/>
      <pageSetup paperSize="9" orientation="portrait" horizontalDpi="300" verticalDpi="300" r:id="rId2"/>
      <headerFooter scaleWithDoc="0" alignWithMargins="0">
        <oddHeader>&amp;C TARIFF 2019
 (EURO)
Accommodation in &amp;A</oddHeader>
        <oddFooter>&amp;LAll rates are in EURO&amp;C
TARIFF 2019
&amp;RPage &amp;P</oddFooter>
      </headerFooter>
    </customSheetView>
  </customSheetViews>
  <phoneticPr fontId="0" type="noConversion"/>
  <printOptions horizontalCentered="1" verticalCentered="1"/>
  <pageMargins left="0.28125" right="0.25" top="0.6692913385826772" bottom="0.70866141732283472" header="0.23622047244094491" footer="0.47244094488188981"/>
  <pageSetup paperSize="9" orientation="portrait" horizontalDpi="300" verticalDpi="300" r:id="rId3"/>
  <headerFooter scaleWithDoc="0" alignWithMargins="0">
    <oddHeader xml:space="preserve">&amp;C TARIFF 2026
 (EURO)
</oddHeader>
    <oddFooter>&amp;LAll rates are in EURO&amp;C
TARIFF 2026
&amp;RPage &amp;P</oddFooter>
  </headerFooter>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N32"/>
  <sheetViews>
    <sheetView showGridLines="0" view="pageLayout" topLeftCell="C1" zoomScaleNormal="100" workbookViewId="0">
      <selection activeCell="L114" sqref="L114"/>
    </sheetView>
  </sheetViews>
  <sheetFormatPr defaultRowHeight="12.75" x14ac:dyDescent="0.2"/>
  <cols>
    <col min="1" max="1" width="1.85546875" style="59" customWidth="1"/>
    <col min="2" max="3" width="10.7109375" style="59" customWidth="1"/>
    <col min="4" max="6" width="3.7109375" style="59" customWidth="1"/>
    <col min="7" max="7" width="3.28515625" style="59" customWidth="1"/>
    <col min="8" max="9" width="3.7109375" style="59" customWidth="1"/>
    <col min="10" max="14" width="10.7109375" style="59" customWidth="1"/>
    <col min="15" max="15" width="14.28515625" style="59" customWidth="1"/>
    <col min="16" max="16384" width="9.140625" style="59"/>
  </cols>
  <sheetData>
    <row r="1" spans="1:14" ht="13.5" thickBot="1" x14ac:dyDescent="0.25">
      <c r="A1" s="14"/>
      <c r="B1" s="15"/>
      <c r="C1" s="15"/>
      <c r="D1" s="15"/>
      <c r="E1" s="16"/>
      <c r="F1" s="16"/>
      <c r="G1" s="16"/>
      <c r="H1" s="16"/>
      <c r="I1" s="16"/>
      <c r="J1" s="68"/>
      <c r="K1" s="68"/>
      <c r="L1" s="68"/>
      <c r="M1" s="47"/>
      <c r="N1" s="47"/>
    </row>
    <row r="2" spans="1:14" x14ac:dyDescent="0.2">
      <c r="A2" s="20"/>
      <c r="B2" s="21"/>
      <c r="C2" s="21"/>
      <c r="D2" s="21"/>
      <c r="E2" s="22"/>
      <c r="F2" s="22"/>
      <c r="G2" s="22"/>
      <c r="H2" s="22"/>
      <c r="I2" s="22"/>
      <c r="J2" s="22"/>
      <c r="K2" s="22"/>
      <c r="L2" s="22"/>
      <c r="M2" s="22"/>
      <c r="N2" s="23"/>
    </row>
    <row r="3" spans="1:14" ht="15" x14ac:dyDescent="0.2">
      <c r="A3" s="24"/>
      <c r="B3" s="413" t="s">
        <v>1706</v>
      </c>
      <c r="C3" s="414"/>
      <c r="D3" s="414"/>
      <c r="E3" s="414"/>
      <c r="F3" s="414"/>
      <c r="G3" s="414"/>
      <c r="H3" s="414"/>
      <c r="I3" s="414"/>
      <c r="J3" s="414"/>
      <c r="K3" s="414"/>
      <c r="L3" s="414"/>
      <c r="M3" s="415"/>
      <c r="N3" s="25" t="s">
        <v>91</v>
      </c>
    </row>
    <row r="4" spans="1:14" x14ac:dyDescent="0.2">
      <c r="A4" s="24"/>
      <c r="B4" s="26" t="s">
        <v>428</v>
      </c>
      <c r="C4" s="15" t="s">
        <v>1718</v>
      </c>
      <c r="D4" s="15"/>
      <c r="E4" s="16"/>
      <c r="F4" s="16"/>
      <c r="G4" s="16"/>
      <c r="H4" s="16"/>
      <c r="I4" s="16"/>
      <c r="J4" s="16"/>
      <c r="K4" s="16"/>
      <c r="L4" s="16"/>
      <c r="M4" s="16"/>
      <c r="N4" s="27"/>
    </row>
    <row r="5" spans="1:14" x14ac:dyDescent="0.2">
      <c r="A5" s="24"/>
      <c r="B5" s="26" t="s">
        <v>429</v>
      </c>
      <c r="C5" s="15" t="s">
        <v>1673</v>
      </c>
      <c r="D5" s="15"/>
      <c r="E5" s="16"/>
      <c r="F5" s="16"/>
      <c r="G5" s="16"/>
      <c r="H5" s="16"/>
      <c r="I5" s="16"/>
      <c r="J5" s="16"/>
      <c r="K5" s="16"/>
      <c r="L5" s="16"/>
      <c r="M5" s="16"/>
      <c r="N5" s="27"/>
    </row>
    <row r="6" spans="1:14" x14ac:dyDescent="0.2">
      <c r="A6" s="24"/>
      <c r="B6" s="26" t="s">
        <v>427</v>
      </c>
      <c r="C6" s="416" t="s">
        <v>1717</v>
      </c>
      <c r="D6" s="416"/>
      <c r="E6" s="416"/>
      <c r="F6" s="416"/>
      <c r="G6" s="416"/>
      <c r="H6" s="416"/>
      <c r="I6" s="416"/>
      <c r="J6" s="416"/>
      <c r="K6" s="416"/>
      <c r="L6" s="416"/>
      <c r="M6" s="416"/>
      <c r="N6" s="417"/>
    </row>
    <row r="7" spans="1:14" x14ac:dyDescent="0.2">
      <c r="A7" s="24"/>
      <c r="B7" s="15"/>
      <c r="C7" s="416"/>
      <c r="D7" s="416"/>
      <c r="E7" s="416"/>
      <c r="F7" s="416"/>
      <c r="G7" s="416"/>
      <c r="H7" s="416"/>
      <c r="I7" s="416"/>
      <c r="J7" s="416"/>
      <c r="K7" s="416"/>
      <c r="L7" s="416"/>
      <c r="M7" s="416"/>
      <c r="N7" s="417"/>
    </row>
    <row r="8" spans="1:14" x14ac:dyDescent="0.2">
      <c r="A8" s="24"/>
      <c r="B8" s="26" t="s">
        <v>426</v>
      </c>
      <c r="C8" s="15"/>
      <c r="D8" s="15"/>
      <c r="E8" s="16"/>
      <c r="F8" s="16"/>
      <c r="G8" s="16"/>
      <c r="H8" s="16"/>
      <c r="I8" s="16"/>
      <c r="J8" s="16"/>
      <c r="K8" s="16"/>
      <c r="L8" s="16"/>
      <c r="M8" s="16"/>
      <c r="N8" s="27"/>
    </row>
    <row r="9" spans="1:14" ht="13.5" thickBot="1" x14ac:dyDescent="0.25">
      <c r="A9" s="28"/>
      <c r="B9" s="26" t="s">
        <v>430</v>
      </c>
      <c r="C9" s="29"/>
      <c r="D9" s="29"/>
      <c r="E9" s="30"/>
      <c r="F9" s="30"/>
      <c r="G9" s="30"/>
      <c r="H9" s="30"/>
      <c r="I9" s="30"/>
      <c r="J9" s="30"/>
      <c r="K9" s="30"/>
      <c r="L9" s="30"/>
      <c r="M9" s="30"/>
      <c r="N9" s="31"/>
    </row>
    <row r="10" spans="1:14" x14ac:dyDescent="0.2">
      <c r="A10" s="24"/>
      <c r="B10" s="21" t="s">
        <v>263</v>
      </c>
      <c r="C10" s="15"/>
      <c r="D10" s="15"/>
      <c r="E10" s="16"/>
      <c r="F10" s="16"/>
      <c r="G10" s="16"/>
      <c r="H10" s="16"/>
      <c r="I10" s="16"/>
      <c r="J10" s="58" t="s">
        <v>2121</v>
      </c>
      <c r="K10" s="55" t="s">
        <v>2122</v>
      </c>
      <c r="L10" s="55"/>
      <c r="M10" s="55"/>
      <c r="N10" s="55"/>
    </row>
    <row r="11" spans="1:14" ht="13.5" thickBot="1" x14ac:dyDescent="0.25">
      <c r="A11" s="28"/>
      <c r="B11" s="29"/>
      <c r="C11" s="29"/>
      <c r="D11" s="29"/>
      <c r="E11" s="30"/>
      <c r="F11" s="30"/>
      <c r="G11" s="30"/>
      <c r="H11" s="30"/>
      <c r="I11" s="30"/>
      <c r="J11" s="44" t="s">
        <v>1222</v>
      </c>
      <c r="K11" s="36" t="s">
        <v>832</v>
      </c>
      <c r="L11" s="36" t="s">
        <v>2123</v>
      </c>
      <c r="M11" s="36"/>
      <c r="N11" s="36"/>
    </row>
    <row r="12" spans="1:14" x14ac:dyDescent="0.2">
      <c r="A12" s="20"/>
      <c r="B12" s="412" t="s">
        <v>67</v>
      </c>
      <c r="C12" s="412"/>
      <c r="D12" s="412"/>
      <c r="E12" s="22"/>
      <c r="F12" s="22" t="s">
        <v>1180</v>
      </c>
      <c r="G12" s="22" t="s">
        <v>68</v>
      </c>
      <c r="H12" s="22" t="s">
        <v>702</v>
      </c>
      <c r="I12" s="16"/>
      <c r="J12" s="66">
        <f>116.5/ATHENS!O1*ATHENS!O2</f>
        <v>237.75510204081633</v>
      </c>
      <c r="K12" s="66">
        <f>161.5/ATHENS!O1*ATHENS!O2</f>
        <v>329.59183673469386</v>
      </c>
      <c r="L12" s="40">
        <f>209/ATHENS!O1*ATHENS!O2</f>
        <v>426.53061224489795</v>
      </c>
      <c r="M12" s="38"/>
      <c r="N12" s="38"/>
    </row>
    <row r="13" spans="1:14" x14ac:dyDescent="0.2">
      <c r="A13" s="24"/>
      <c r="B13" s="411" t="s">
        <v>67</v>
      </c>
      <c r="C13" s="411"/>
      <c r="D13" s="411"/>
      <c r="E13" s="16"/>
      <c r="F13" s="16" t="s">
        <v>1181</v>
      </c>
      <c r="G13" s="16" t="s">
        <v>68</v>
      </c>
      <c r="H13" s="16" t="s">
        <v>702</v>
      </c>
      <c r="I13" s="16"/>
      <c r="J13" s="66">
        <f>58.5/ATHENS!O1*ATHENS!O2</f>
        <v>119.38775510204081</v>
      </c>
      <c r="K13" s="66">
        <f>80.5/ATHENS!O1*ATHENS!O2</f>
        <v>164.28571428571428</v>
      </c>
      <c r="L13" s="40">
        <f>105/ATHENS!O1*ATHENS!O2</f>
        <v>214.28571428571428</v>
      </c>
      <c r="M13" s="40"/>
      <c r="N13" s="40"/>
    </row>
    <row r="14" spans="1:14" x14ac:dyDescent="0.2">
      <c r="A14" s="24"/>
      <c r="B14" s="59" t="s">
        <v>67</v>
      </c>
      <c r="C14" s="15"/>
      <c r="D14" s="15"/>
      <c r="E14" s="16"/>
      <c r="F14" s="16" t="s">
        <v>1182</v>
      </c>
      <c r="G14" s="16" t="s">
        <v>68</v>
      </c>
      <c r="H14" s="16" t="s">
        <v>702</v>
      </c>
      <c r="I14" s="16"/>
      <c r="J14" s="66">
        <f>52.9/ATHENS!O1*ATHENS!O2</f>
        <v>107.95918367346938</v>
      </c>
      <c r="K14" s="66">
        <f>72.5/ATHENS!O1*ATHENS!O2</f>
        <v>147.9591836734694</v>
      </c>
      <c r="L14" s="40">
        <f>94/ATHENS!O1*ATHENS!O2</f>
        <v>191.83673469387756</v>
      </c>
      <c r="M14" s="40"/>
      <c r="N14" s="40"/>
    </row>
    <row r="15" spans="1:14" ht="13.5" thickBot="1" x14ac:dyDescent="0.25">
      <c r="A15" s="28"/>
      <c r="B15" s="418" t="s">
        <v>902</v>
      </c>
      <c r="C15" s="418"/>
      <c r="D15" s="418"/>
      <c r="E15" s="30"/>
      <c r="F15" s="80"/>
      <c r="G15" s="80"/>
      <c r="H15" s="30" t="s">
        <v>702</v>
      </c>
      <c r="I15" s="30"/>
      <c r="J15" s="67">
        <f>20/ATHENS!O1*ATHENS!O2</f>
        <v>40.816326530612244</v>
      </c>
      <c r="K15" s="67">
        <f>20/ATHENS!O1*ATHENS!O2</f>
        <v>40.816326530612244</v>
      </c>
      <c r="L15" s="42">
        <f>20/ATHENS!O1*ATHENS!O2</f>
        <v>40.816326530612244</v>
      </c>
      <c r="M15" s="42"/>
      <c r="N15" s="42"/>
    </row>
    <row r="16" spans="1:14" x14ac:dyDescent="0.2">
      <c r="A16" s="14"/>
      <c r="B16" s="15"/>
      <c r="C16" s="15"/>
      <c r="D16" s="15"/>
      <c r="E16" s="16"/>
      <c r="H16" s="16"/>
      <c r="I16" s="16"/>
      <c r="J16" s="68"/>
      <c r="K16" s="68"/>
      <c r="L16" s="47"/>
      <c r="M16" s="47"/>
      <c r="N16" s="47"/>
    </row>
    <row r="17" spans="1:14" ht="13.5" thickBot="1" x14ac:dyDescent="0.25">
      <c r="A17" s="14"/>
      <c r="B17" s="15"/>
      <c r="C17" s="15"/>
      <c r="D17" s="15"/>
      <c r="E17" s="16"/>
      <c r="F17" s="16"/>
      <c r="G17" s="16"/>
      <c r="H17" s="16"/>
      <c r="I17" s="16"/>
      <c r="J17" s="16"/>
      <c r="K17" s="16"/>
      <c r="L17" s="16"/>
      <c r="M17" s="16"/>
      <c r="N17" s="16"/>
    </row>
    <row r="18" spans="1:14" x14ac:dyDescent="0.2">
      <c r="A18" s="20"/>
      <c r="B18" s="21"/>
      <c r="C18" s="21"/>
      <c r="D18" s="21"/>
      <c r="E18" s="22"/>
      <c r="F18" s="22"/>
      <c r="G18" s="22"/>
      <c r="H18" s="22"/>
      <c r="I18" s="22"/>
      <c r="J18" s="22"/>
      <c r="K18" s="22"/>
      <c r="L18" s="22"/>
      <c r="M18" s="22"/>
      <c r="N18" s="23"/>
    </row>
    <row r="19" spans="1:14" ht="15" x14ac:dyDescent="0.2">
      <c r="A19" s="24"/>
      <c r="B19" s="413" t="s">
        <v>686</v>
      </c>
      <c r="C19" s="414"/>
      <c r="D19" s="414"/>
      <c r="E19" s="414"/>
      <c r="F19" s="414"/>
      <c r="G19" s="414"/>
      <c r="H19" s="414"/>
      <c r="I19" s="414"/>
      <c r="J19" s="414"/>
      <c r="K19" s="414"/>
      <c r="L19" s="414"/>
      <c r="M19" s="415"/>
      <c r="N19" s="25" t="s">
        <v>905</v>
      </c>
    </row>
    <row r="20" spans="1:14" x14ac:dyDescent="0.2">
      <c r="A20" s="24"/>
      <c r="B20" s="26" t="s">
        <v>428</v>
      </c>
      <c r="C20" s="15" t="s">
        <v>892</v>
      </c>
      <c r="D20" s="15"/>
      <c r="E20" s="16"/>
      <c r="F20" s="16"/>
      <c r="G20" s="16"/>
      <c r="H20" s="16"/>
      <c r="I20" s="16"/>
      <c r="J20" s="16"/>
      <c r="K20" s="16"/>
      <c r="L20" s="16"/>
      <c r="M20" s="16"/>
      <c r="N20" s="27"/>
    </row>
    <row r="21" spans="1:14" x14ac:dyDescent="0.2">
      <c r="A21" s="24"/>
      <c r="B21" s="26" t="s">
        <v>429</v>
      </c>
      <c r="C21" s="15" t="s">
        <v>893</v>
      </c>
      <c r="D21" s="15"/>
      <c r="E21" s="16"/>
      <c r="F21" s="16"/>
      <c r="G21" s="16"/>
      <c r="H21" s="16"/>
      <c r="I21" s="16"/>
      <c r="J21" s="16"/>
      <c r="K21" s="16"/>
      <c r="L21" s="16"/>
      <c r="M21" s="16"/>
      <c r="N21" s="27"/>
    </row>
    <row r="22" spans="1:14" x14ac:dyDescent="0.2">
      <c r="A22" s="24"/>
      <c r="B22" s="26" t="s">
        <v>427</v>
      </c>
      <c r="C22" s="416" t="s">
        <v>154</v>
      </c>
      <c r="D22" s="416"/>
      <c r="E22" s="416"/>
      <c r="F22" s="416"/>
      <c r="G22" s="416"/>
      <c r="H22" s="416"/>
      <c r="I22" s="416"/>
      <c r="J22" s="416"/>
      <c r="K22" s="416"/>
      <c r="L22" s="416"/>
      <c r="M22" s="416"/>
      <c r="N22" s="417"/>
    </row>
    <row r="23" spans="1:14" x14ac:dyDescent="0.2">
      <c r="A23" s="24"/>
      <c r="B23" s="26"/>
      <c r="C23" s="416"/>
      <c r="D23" s="416"/>
      <c r="E23" s="416"/>
      <c r="F23" s="416"/>
      <c r="G23" s="416"/>
      <c r="H23" s="416"/>
      <c r="I23" s="416"/>
      <c r="J23" s="416"/>
      <c r="K23" s="416"/>
      <c r="L23" s="416"/>
      <c r="M23" s="416"/>
      <c r="N23" s="417"/>
    </row>
    <row r="24" spans="1:14" x14ac:dyDescent="0.2">
      <c r="A24" s="24"/>
      <c r="B24" s="26"/>
      <c r="C24" s="419"/>
      <c r="D24" s="419"/>
      <c r="E24" s="419"/>
      <c r="F24" s="419"/>
      <c r="G24" s="419"/>
      <c r="H24" s="419"/>
      <c r="I24" s="419"/>
      <c r="J24" s="419"/>
      <c r="K24" s="419"/>
      <c r="L24" s="419"/>
      <c r="M24" s="419"/>
      <c r="N24" s="420"/>
    </row>
    <row r="25" spans="1:14" x14ac:dyDescent="0.2">
      <c r="A25" s="24"/>
      <c r="B25" s="26" t="s">
        <v>426</v>
      </c>
      <c r="C25" s="15"/>
      <c r="D25" s="15"/>
      <c r="E25" s="16"/>
      <c r="F25" s="16"/>
      <c r="G25" s="16"/>
      <c r="H25" s="16"/>
      <c r="I25" s="16"/>
      <c r="J25" s="16"/>
      <c r="K25" s="16"/>
      <c r="L25" s="16"/>
      <c r="M25" s="16"/>
      <c r="N25" s="27"/>
    </row>
    <row r="26" spans="1:14" ht="13.5" thickBot="1" x14ac:dyDescent="0.25">
      <c r="A26" s="24"/>
      <c r="B26" s="26" t="s">
        <v>430</v>
      </c>
      <c r="C26" s="15"/>
      <c r="D26" s="15"/>
      <c r="E26" s="16"/>
      <c r="F26" s="16"/>
      <c r="G26" s="16"/>
      <c r="H26" s="16"/>
      <c r="I26" s="16"/>
      <c r="J26" s="16"/>
      <c r="K26" s="16"/>
      <c r="L26" s="16"/>
      <c r="M26" s="16"/>
      <c r="N26" s="27"/>
    </row>
    <row r="27" spans="1:14" x14ac:dyDescent="0.2">
      <c r="A27" s="20"/>
      <c r="B27" s="21" t="s">
        <v>263</v>
      </c>
      <c r="C27" s="21"/>
      <c r="D27" s="21"/>
      <c r="E27" s="22"/>
      <c r="F27" s="22"/>
      <c r="G27" s="22"/>
      <c r="H27" s="22"/>
      <c r="I27" s="22"/>
      <c r="J27" s="32" t="s">
        <v>758</v>
      </c>
      <c r="K27" s="33" t="s">
        <v>1797</v>
      </c>
      <c r="L27" s="34"/>
      <c r="M27" s="33"/>
      <c r="N27" s="33"/>
    </row>
    <row r="28" spans="1:14" ht="13.5" thickBot="1" x14ac:dyDescent="0.25">
      <c r="A28" s="28"/>
      <c r="B28" s="29"/>
      <c r="C28" s="29"/>
      <c r="D28" s="29"/>
      <c r="E28" s="30"/>
      <c r="F28" s="30"/>
      <c r="G28" s="30"/>
      <c r="H28" s="30"/>
      <c r="I28" s="30"/>
      <c r="J28" s="35" t="s">
        <v>348</v>
      </c>
      <c r="K28" s="36" t="s">
        <v>1576</v>
      </c>
      <c r="L28" s="36" t="s">
        <v>75</v>
      </c>
      <c r="M28" s="36"/>
      <c r="N28" s="36"/>
    </row>
    <row r="29" spans="1:14" x14ac:dyDescent="0.2">
      <c r="A29" s="20"/>
      <c r="B29" s="412" t="s">
        <v>67</v>
      </c>
      <c r="C29" s="412"/>
      <c r="D29" s="412"/>
      <c r="E29" s="22"/>
      <c r="F29" s="22" t="s">
        <v>1180</v>
      </c>
      <c r="G29" s="22" t="s">
        <v>68</v>
      </c>
      <c r="H29" s="22" t="s">
        <v>702</v>
      </c>
      <c r="I29" s="22"/>
      <c r="J29" s="66">
        <f>75/ATHENS!O1*ATHENS!O2</f>
        <v>153.06122448979593</v>
      </c>
      <c r="K29" s="66">
        <f>105/ATHENS!O1*ATHENS!O2</f>
        <v>214.28571428571428</v>
      </c>
      <c r="L29" s="66">
        <f>135/ATHENS!O1*ATHENS!O2</f>
        <v>275.51020408163265</v>
      </c>
      <c r="M29" s="37"/>
      <c r="N29" s="38"/>
    </row>
    <row r="30" spans="1:14" x14ac:dyDescent="0.2">
      <c r="A30" s="24"/>
      <c r="B30" s="411" t="s">
        <v>67</v>
      </c>
      <c r="C30" s="411"/>
      <c r="D30" s="411"/>
      <c r="E30" s="16"/>
      <c r="F30" s="16" t="s">
        <v>1181</v>
      </c>
      <c r="G30" s="16" t="s">
        <v>68</v>
      </c>
      <c r="H30" s="16" t="s">
        <v>702</v>
      </c>
      <c r="I30" s="16"/>
      <c r="J30" s="66">
        <f>47.5/ATHENS!O1*ATHENS!O2</f>
        <v>96.938775510204081</v>
      </c>
      <c r="K30" s="66">
        <f>67.5/ATHENS!O1*ATHENS!O2</f>
        <v>137.75510204081633</v>
      </c>
      <c r="L30" s="66">
        <f>80/ATHENS!O1*ATHENS!O2</f>
        <v>163.26530612244898</v>
      </c>
      <c r="M30" s="39"/>
      <c r="N30" s="40"/>
    </row>
    <row r="31" spans="1:14" ht="13.5" thickBot="1" x14ac:dyDescent="0.25">
      <c r="A31" s="28"/>
      <c r="B31" s="418" t="s">
        <v>67</v>
      </c>
      <c r="C31" s="418"/>
      <c r="D31" s="418"/>
      <c r="E31" s="30"/>
      <c r="F31" s="30" t="s">
        <v>1182</v>
      </c>
      <c r="G31" s="30" t="s">
        <v>68</v>
      </c>
      <c r="H31" s="30" t="s">
        <v>702</v>
      </c>
      <c r="I31" s="30"/>
      <c r="J31" s="67">
        <f>45/ATHENS!O1*ATHENS!O2</f>
        <v>91.83673469387756</v>
      </c>
      <c r="K31" s="67">
        <f>55/ATHENS!O1*ATHENS!O2</f>
        <v>112.24489795918367</v>
      </c>
      <c r="L31" s="67">
        <f>63.5/ATHENS!O1*ATHENS!O2</f>
        <v>129.59183673469389</v>
      </c>
      <c r="M31" s="41"/>
      <c r="N31" s="42"/>
    </row>
    <row r="32" spans="1:14" x14ac:dyDescent="0.2">
      <c r="A32" s="14"/>
      <c r="B32" s="15"/>
      <c r="C32" s="15"/>
      <c r="D32" s="15"/>
      <c r="E32" s="16"/>
      <c r="F32" s="16"/>
      <c r="G32" s="16"/>
      <c r="H32" s="16"/>
      <c r="I32" s="16"/>
      <c r="J32" s="16"/>
      <c r="K32" s="16"/>
      <c r="L32" s="16"/>
      <c r="M32" s="16"/>
      <c r="N32" s="16"/>
    </row>
  </sheetData>
  <customSheetViews>
    <customSheetView guid="{3C76061C-A85D-4390-B9DB-73E13038638C}" showPageBreaks="1" showGridLines="0" view="pageLayout" topLeftCell="A49">
      <selection activeCell="M51" sqref="M51"/>
      <pageMargins left="0.28125" right="0.25" top="0.6692913385826772" bottom="0.70866141732283472" header="0.23622047244094491" footer="0.47244094488188981"/>
      <printOptions horizontalCentered="1"/>
      <pageSetup paperSize="9" firstPageNumber="24" orientation="landscape" useFirstPageNumber="1" r:id="rId1"/>
      <headerFooter scaleWithDoc="0" alignWithMargins="0">
        <oddHeader>&amp;C TARIFF 2019
 (EURO)
Accommodation in &amp;A</oddHeader>
        <oddFooter>&amp;LAll rates are in EURO&amp;C
TARIFF 2019
&amp;RPage &amp;P</oddFooter>
      </headerFooter>
    </customSheetView>
  </customSheetViews>
  <mergeCells count="10">
    <mergeCell ref="B3:M3"/>
    <mergeCell ref="C6:N7"/>
    <mergeCell ref="B12:D12"/>
    <mergeCell ref="B13:D13"/>
    <mergeCell ref="B30:D30"/>
    <mergeCell ref="B31:D31"/>
    <mergeCell ref="C22:N24"/>
    <mergeCell ref="B15:D15"/>
    <mergeCell ref="B29:D29"/>
    <mergeCell ref="B19:M19"/>
  </mergeCells>
  <phoneticPr fontId="17" type="noConversion"/>
  <hyperlinks>
    <hyperlink ref="B19:M19" r:id="rId2" display="Mediterranee" xr:uid="{00000000-0004-0000-0900-000000000000}"/>
    <hyperlink ref="B3:M3" r:id="rId3" display="Emerald " xr:uid="{00000000-0004-0000-0900-000001000000}"/>
  </hyperlinks>
  <printOptions horizontalCentered="1"/>
  <pageMargins left="0.28125" right="0.25" top="0.6692913385826772" bottom="0.70866141732283472" header="0.23622047244094491" footer="0.47244094488188981"/>
  <pageSetup paperSize="9" firstPageNumber="24" orientation="landscape" useFirstPageNumber="1" r:id="rId4"/>
  <headerFooter scaleWithDoc="0" alignWithMargins="0">
    <oddHeader xml:space="preserve">&amp;C TARIFF 2026
 (EURO)
</oddHeader>
    <oddFooter>&amp;LAll rates are in EURO&amp;C
TARIFF 2026
&amp;RPage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5"/>
  <sheetViews>
    <sheetView showGridLines="0" view="pageLayout" workbookViewId="0">
      <selection activeCell="L114" sqref="L114"/>
    </sheetView>
  </sheetViews>
  <sheetFormatPr defaultRowHeight="12.75" x14ac:dyDescent="0.2"/>
  <cols>
    <col min="1" max="1" width="1.85546875" style="59" customWidth="1"/>
    <col min="2" max="3" width="10.7109375" style="59" customWidth="1"/>
    <col min="4" max="9" width="3.7109375" style="59" customWidth="1"/>
    <col min="10" max="14" width="10.7109375" style="59" customWidth="1"/>
    <col min="15" max="16384" width="9.140625" style="59"/>
  </cols>
  <sheetData>
    <row r="1" spans="1:14" x14ac:dyDescent="0.2">
      <c r="A1" s="20"/>
      <c r="B1" s="21"/>
      <c r="C1" s="21"/>
      <c r="D1" s="21"/>
      <c r="E1" s="22"/>
      <c r="F1" s="22"/>
      <c r="G1" s="22"/>
      <c r="H1" s="22"/>
      <c r="I1" s="22"/>
      <c r="J1" s="22"/>
      <c r="K1" s="22"/>
      <c r="L1" s="22"/>
      <c r="M1" s="22"/>
      <c r="N1" s="23"/>
    </row>
    <row r="2" spans="1:14" ht="15" x14ac:dyDescent="0.2">
      <c r="A2" s="24"/>
      <c r="B2" s="413" t="s">
        <v>656</v>
      </c>
      <c r="C2" s="414"/>
      <c r="D2" s="414"/>
      <c r="E2" s="414"/>
      <c r="F2" s="414"/>
      <c r="G2" s="414"/>
      <c r="H2" s="414"/>
      <c r="I2" s="414"/>
      <c r="J2" s="414"/>
      <c r="K2" s="414"/>
      <c r="L2" s="414"/>
      <c r="M2" s="415"/>
      <c r="N2" s="25" t="s">
        <v>91</v>
      </c>
    </row>
    <row r="3" spans="1:14" x14ac:dyDescent="0.2">
      <c r="A3" s="24"/>
      <c r="B3" s="26" t="s">
        <v>428</v>
      </c>
      <c r="C3" s="15" t="s">
        <v>660</v>
      </c>
      <c r="D3" s="15"/>
      <c r="E3" s="16"/>
      <c r="F3" s="16"/>
      <c r="G3" s="16"/>
      <c r="H3" s="16"/>
      <c r="I3" s="16"/>
      <c r="J3" s="16"/>
      <c r="K3" s="16"/>
      <c r="L3" s="16"/>
      <c r="M3" s="16"/>
      <c r="N3" s="27"/>
    </row>
    <row r="4" spans="1:14" x14ac:dyDescent="0.2">
      <c r="A4" s="24"/>
      <c r="B4" s="26" t="s">
        <v>429</v>
      </c>
      <c r="C4" s="15" t="s">
        <v>894</v>
      </c>
      <c r="D4" s="15"/>
      <c r="E4" s="16"/>
      <c r="F4" s="16"/>
      <c r="G4" s="16"/>
      <c r="H4" s="16"/>
      <c r="I4" s="16"/>
      <c r="J4" s="16"/>
      <c r="K4" s="16"/>
      <c r="L4" s="16"/>
      <c r="M4" s="16"/>
      <c r="N4" s="27"/>
    </row>
    <row r="5" spans="1:14" x14ac:dyDescent="0.2">
      <c r="A5" s="24"/>
      <c r="B5" s="26" t="s">
        <v>427</v>
      </c>
      <c r="C5" s="416" t="s">
        <v>658</v>
      </c>
      <c r="D5" s="416"/>
      <c r="E5" s="416"/>
      <c r="F5" s="416"/>
      <c r="G5" s="416"/>
      <c r="H5" s="416"/>
      <c r="I5" s="416"/>
      <c r="J5" s="416"/>
      <c r="K5" s="416"/>
      <c r="L5" s="416"/>
      <c r="M5" s="416"/>
      <c r="N5" s="417"/>
    </row>
    <row r="6" spans="1:14" x14ac:dyDescent="0.2">
      <c r="A6" s="24"/>
      <c r="B6" s="15"/>
      <c r="C6" s="416"/>
      <c r="D6" s="416"/>
      <c r="E6" s="416"/>
      <c r="F6" s="416"/>
      <c r="G6" s="416"/>
      <c r="H6" s="416"/>
      <c r="I6" s="416"/>
      <c r="J6" s="416"/>
      <c r="K6" s="416"/>
      <c r="L6" s="416"/>
      <c r="M6" s="416"/>
      <c r="N6" s="417"/>
    </row>
    <row r="7" spans="1:14" x14ac:dyDescent="0.2">
      <c r="A7" s="24"/>
      <c r="B7" s="26" t="s">
        <v>426</v>
      </c>
      <c r="C7" s="15"/>
      <c r="D7" s="15"/>
      <c r="E7" s="16"/>
      <c r="F7" s="16"/>
      <c r="G7" s="16"/>
      <c r="H7" s="16"/>
      <c r="I7" s="16"/>
      <c r="J7" s="16"/>
      <c r="K7" s="16"/>
      <c r="L7" s="16"/>
      <c r="M7" s="16"/>
      <c r="N7" s="27"/>
    </row>
    <row r="8" spans="1:14" ht="13.5" thickBot="1" x14ac:dyDescent="0.25">
      <c r="A8" s="24"/>
      <c r="B8" s="26" t="s">
        <v>430</v>
      </c>
      <c r="C8" s="15"/>
      <c r="D8" s="15"/>
      <c r="E8" s="16"/>
      <c r="F8" s="16"/>
      <c r="G8" s="16"/>
      <c r="H8" s="16"/>
      <c r="I8" s="16"/>
      <c r="J8" s="16"/>
      <c r="K8" s="16"/>
      <c r="L8" s="16"/>
      <c r="M8" s="16"/>
      <c r="N8" s="27"/>
    </row>
    <row r="9" spans="1:14" x14ac:dyDescent="0.2">
      <c r="A9" s="20"/>
      <c r="B9" s="21" t="s">
        <v>263</v>
      </c>
      <c r="C9" s="21"/>
      <c r="D9" s="21"/>
      <c r="E9" s="22"/>
      <c r="F9" s="22"/>
      <c r="G9" s="22"/>
      <c r="H9" s="22"/>
      <c r="I9" s="22"/>
      <c r="J9" s="32" t="s">
        <v>2186</v>
      </c>
      <c r="K9" s="33" t="s">
        <v>1979</v>
      </c>
      <c r="L9" s="33" t="s">
        <v>247</v>
      </c>
      <c r="M9" s="33" t="s">
        <v>2188</v>
      </c>
      <c r="N9" s="33"/>
    </row>
    <row r="10" spans="1:14" ht="13.5" thickBot="1" x14ac:dyDescent="0.25">
      <c r="A10" s="28"/>
      <c r="B10" s="29"/>
      <c r="C10" s="29"/>
      <c r="D10" s="29"/>
      <c r="E10" s="30"/>
      <c r="F10" s="30"/>
      <c r="G10" s="30"/>
      <c r="H10" s="30"/>
      <c r="I10" s="30"/>
      <c r="J10" s="44" t="s">
        <v>282</v>
      </c>
      <c r="K10" s="36" t="s">
        <v>343</v>
      </c>
      <c r="L10" s="36" t="s">
        <v>2187</v>
      </c>
      <c r="M10" s="36" t="s">
        <v>2189</v>
      </c>
      <c r="N10" s="36" t="s">
        <v>2190</v>
      </c>
    </row>
    <row r="11" spans="1:14" x14ac:dyDescent="0.2">
      <c r="A11" s="20"/>
      <c r="B11" s="412" t="s">
        <v>67</v>
      </c>
      <c r="C11" s="412"/>
      <c r="D11" s="412"/>
      <c r="E11" s="22"/>
      <c r="F11" s="22" t="s">
        <v>1180</v>
      </c>
      <c r="G11" s="22" t="s">
        <v>68</v>
      </c>
      <c r="H11" s="22" t="s">
        <v>702</v>
      </c>
      <c r="I11" s="22"/>
      <c r="J11" s="66">
        <f>130.5/ATHENS!O1*ATHENS!O2</f>
        <v>266.32653061224488</v>
      </c>
      <c r="K11" s="66">
        <f>162/ATHENS!O1*ATHENS!O2</f>
        <v>330.61224489795921</v>
      </c>
      <c r="L11" s="66">
        <f>197.5/ATHENS!O1*ATHENS!O2</f>
        <v>403.0612244897959</v>
      </c>
      <c r="M11" s="66">
        <f>233.5/ATHENS!O1*ATHENS!O2</f>
        <v>476.53061224489795</v>
      </c>
      <c r="N11" s="38">
        <f>260/ATHENS!O1*ATHENS!O2</f>
        <v>530.61224489795916</v>
      </c>
    </row>
    <row r="12" spans="1:14" x14ac:dyDescent="0.2">
      <c r="A12" s="24"/>
      <c r="B12" s="411" t="s">
        <v>67</v>
      </c>
      <c r="C12" s="411"/>
      <c r="D12" s="411"/>
      <c r="E12" s="16"/>
      <c r="F12" s="16" t="s">
        <v>1181</v>
      </c>
      <c r="G12" s="16" t="s">
        <v>68</v>
      </c>
      <c r="H12" s="16" t="s">
        <v>702</v>
      </c>
      <c r="I12" s="16"/>
      <c r="J12" s="66">
        <f>78.75/ATHENS!O1*ATHENS!O2</f>
        <v>160.71428571428572</v>
      </c>
      <c r="K12" s="66">
        <f>96.7/ATHENS!O1*ATHENS!O2</f>
        <v>197.34693877551021</v>
      </c>
      <c r="L12" s="66">
        <f>116.7/ATHENS!O1*ATHENS!O2</f>
        <v>238.16326530612247</v>
      </c>
      <c r="M12" s="66">
        <f>136.5/ATHENS!O1*ATHENS!O2</f>
        <v>278.57142857142856</v>
      </c>
      <c r="N12" s="40">
        <f>155/ATHENS!O1*ATHENS!O2</f>
        <v>316.32653061224488</v>
      </c>
    </row>
    <row r="13" spans="1:14" x14ac:dyDescent="0.2">
      <c r="A13" s="24"/>
      <c r="B13" s="411" t="s">
        <v>67</v>
      </c>
      <c r="C13" s="411"/>
      <c r="D13" s="411"/>
      <c r="E13" s="16"/>
      <c r="F13" s="16" t="s">
        <v>1182</v>
      </c>
      <c r="G13" s="16" t="s">
        <v>68</v>
      </c>
      <c r="H13" s="16" t="s">
        <v>702</v>
      </c>
      <c r="I13" s="16"/>
      <c r="J13" s="66">
        <f>52.5/ATHENS!O1*ATHENS!O2</f>
        <v>107.14285714285714</v>
      </c>
      <c r="K13" s="66">
        <f>88.8/ATHENS!O1*ATHENS!O2</f>
        <v>181.22448979591837</v>
      </c>
      <c r="L13" s="66">
        <f>107.5/ATHENS!O1*ATHENS!O2</f>
        <v>219.38775510204081</v>
      </c>
      <c r="M13" s="66">
        <f>125.5/ATHENS!O1*ATHENS!O2</f>
        <v>256.12244897959187</v>
      </c>
      <c r="N13" s="40">
        <f>142/ATHENS!O1*ATHENS!O2</f>
        <v>289.79591836734693</v>
      </c>
    </row>
    <row r="14" spans="1:14" ht="13.5" thickBot="1" x14ac:dyDescent="0.25">
      <c r="A14" s="28"/>
      <c r="B14" s="418"/>
      <c r="C14" s="418"/>
      <c r="D14" s="418"/>
      <c r="E14" s="30"/>
      <c r="F14" s="30"/>
      <c r="G14" s="30"/>
      <c r="H14" s="30"/>
      <c r="I14" s="30"/>
      <c r="J14" s="67"/>
      <c r="K14" s="67"/>
      <c r="L14" s="67"/>
      <c r="M14" s="67"/>
      <c r="N14" s="42"/>
    </row>
    <row r="15" spans="1:14" x14ac:dyDescent="0.2">
      <c r="A15" s="14"/>
      <c r="B15" s="18"/>
      <c r="C15" s="18"/>
      <c r="D15" s="18"/>
      <c r="E15" s="19"/>
      <c r="F15" s="19"/>
      <c r="G15" s="19"/>
      <c r="H15" s="19"/>
      <c r="I15" s="19"/>
      <c r="J15" s="19"/>
      <c r="K15" s="19"/>
      <c r="L15" s="19"/>
      <c r="M15" s="19"/>
      <c r="N15" s="19"/>
    </row>
    <row r="16" spans="1:14" ht="13.5" thickBot="1" x14ac:dyDescent="0.25">
      <c r="A16" s="14"/>
      <c r="B16" s="18"/>
      <c r="C16" s="18"/>
      <c r="D16" s="18"/>
      <c r="E16" s="19"/>
      <c r="F16" s="19"/>
      <c r="G16" s="19"/>
      <c r="H16" s="19"/>
      <c r="I16" s="19"/>
      <c r="J16" s="19"/>
      <c r="K16" s="19"/>
      <c r="L16" s="19"/>
      <c r="M16" s="19"/>
      <c r="N16" s="19"/>
    </row>
    <row r="17" spans="1:14" x14ac:dyDescent="0.2">
      <c r="A17" s="20"/>
      <c r="B17" s="21"/>
      <c r="C17" s="21"/>
      <c r="D17" s="21"/>
      <c r="E17" s="22"/>
      <c r="F17" s="22"/>
      <c r="G17" s="22"/>
      <c r="H17" s="22"/>
      <c r="I17" s="22"/>
      <c r="J17" s="22"/>
      <c r="K17" s="22"/>
      <c r="L17" s="22"/>
      <c r="M17" s="22"/>
      <c r="N17" s="23"/>
    </row>
    <row r="18" spans="1:14" ht="15" x14ac:dyDescent="0.2">
      <c r="A18" s="24"/>
      <c r="B18" s="413" t="s">
        <v>1462</v>
      </c>
      <c r="C18" s="414"/>
      <c r="D18" s="414"/>
      <c r="E18" s="414"/>
      <c r="F18" s="414"/>
      <c r="G18" s="414"/>
      <c r="H18" s="414"/>
      <c r="I18" s="414"/>
      <c r="J18" s="414"/>
      <c r="K18" s="414"/>
      <c r="L18" s="414"/>
      <c r="M18" s="415"/>
      <c r="N18" s="25" t="s">
        <v>91</v>
      </c>
    </row>
    <row r="19" spans="1:14" x14ac:dyDescent="0.2">
      <c r="A19" s="24"/>
      <c r="B19" s="26" t="s">
        <v>428</v>
      </c>
      <c r="C19" s="15" t="s">
        <v>654</v>
      </c>
      <c r="D19" s="15"/>
      <c r="E19" s="16"/>
      <c r="F19" s="16"/>
      <c r="G19" s="16"/>
      <c r="H19" s="16"/>
      <c r="I19" s="16"/>
      <c r="J19" s="16"/>
      <c r="K19" s="16"/>
      <c r="L19" s="16"/>
      <c r="M19" s="16"/>
      <c r="N19" s="27"/>
    </row>
    <row r="20" spans="1:14" x14ac:dyDescent="0.2">
      <c r="A20" s="24"/>
      <c r="B20" s="26" t="s">
        <v>429</v>
      </c>
      <c r="C20" s="15" t="s">
        <v>895</v>
      </c>
      <c r="D20" s="15"/>
      <c r="E20" s="16"/>
      <c r="F20" s="16"/>
      <c r="G20" s="16"/>
      <c r="H20" s="16"/>
      <c r="I20" s="16"/>
      <c r="J20" s="16"/>
      <c r="K20" s="16"/>
      <c r="L20" s="16"/>
      <c r="M20" s="16"/>
      <c r="N20" s="27"/>
    </row>
    <row r="21" spans="1:14" x14ac:dyDescent="0.2">
      <c r="A21" s="24"/>
      <c r="B21" s="26" t="s">
        <v>427</v>
      </c>
      <c r="C21" s="416" t="s">
        <v>655</v>
      </c>
      <c r="D21" s="416"/>
      <c r="E21" s="416"/>
      <c r="F21" s="416"/>
      <c r="G21" s="416"/>
      <c r="H21" s="416"/>
      <c r="I21" s="416"/>
      <c r="J21" s="416"/>
      <c r="K21" s="416"/>
      <c r="L21" s="416"/>
      <c r="M21" s="416"/>
      <c r="N21" s="417"/>
    </row>
    <row r="22" spans="1:14" x14ac:dyDescent="0.2">
      <c r="A22" s="24"/>
      <c r="B22" s="15"/>
      <c r="C22" s="416"/>
      <c r="D22" s="416"/>
      <c r="E22" s="416"/>
      <c r="F22" s="416"/>
      <c r="G22" s="416"/>
      <c r="H22" s="416"/>
      <c r="I22" s="416"/>
      <c r="J22" s="416"/>
      <c r="K22" s="416"/>
      <c r="L22" s="416"/>
      <c r="M22" s="416"/>
      <c r="N22" s="417"/>
    </row>
    <row r="23" spans="1:14" x14ac:dyDescent="0.2">
      <c r="A23" s="24"/>
      <c r="B23" s="15"/>
      <c r="C23" s="416"/>
      <c r="D23" s="416"/>
      <c r="E23" s="416"/>
      <c r="F23" s="416"/>
      <c r="G23" s="416"/>
      <c r="H23" s="416"/>
      <c r="I23" s="416"/>
      <c r="J23" s="416"/>
      <c r="K23" s="416"/>
      <c r="L23" s="416"/>
      <c r="M23" s="416"/>
      <c r="N23" s="417"/>
    </row>
    <row r="24" spans="1:14" x14ac:dyDescent="0.2">
      <c r="A24" s="24"/>
      <c r="B24" s="26" t="s">
        <v>426</v>
      </c>
      <c r="C24" s="15"/>
      <c r="D24" s="15"/>
      <c r="E24" s="16"/>
      <c r="F24" s="16"/>
      <c r="G24" s="16"/>
      <c r="H24" s="16"/>
      <c r="I24" s="16"/>
      <c r="J24" s="16"/>
      <c r="K24" s="16"/>
      <c r="L24" s="16"/>
      <c r="M24" s="16"/>
      <c r="N24" s="27"/>
    </row>
    <row r="25" spans="1:14" ht="13.5" thickBot="1" x14ac:dyDescent="0.25">
      <c r="A25" s="24"/>
      <c r="B25" s="26" t="s">
        <v>430</v>
      </c>
      <c r="C25" s="15"/>
      <c r="D25" s="15"/>
      <c r="E25" s="16"/>
      <c r="F25" s="16"/>
      <c r="G25" s="16"/>
      <c r="H25" s="16"/>
      <c r="I25" s="16"/>
      <c r="J25" s="16"/>
      <c r="K25" s="16"/>
      <c r="L25" s="16"/>
      <c r="M25" s="16"/>
      <c r="N25" s="27"/>
    </row>
    <row r="26" spans="1:14" x14ac:dyDescent="0.2">
      <c r="A26" s="20"/>
      <c r="B26" s="21" t="s">
        <v>263</v>
      </c>
      <c r="C26" s="21"/>
      <c r="D26" s="21"/>
      <c r="E26" s="22"/>
      <c r="F26" s="22"/>
      <c r="G26" s="22"/>
      <c r="H26" s="22"/>
      <c r="I26" s="22"/>
      <c r="J26" s="32" t="s">
        <v>2193</v>
      </c>
      <c r="K26" s="33" t="s">
        <v>2191</v>
      </c>
      <c r="L26" s="33" t="s">
        <v>2195</v>
      </c>
      <c r="M26" s="33" t="s">
        <v>2197</v>
      </c>
      <c r="N26" s="33"/>
    </row>
    <row r="27" spans="1:14" ht="13.5" thickBot="1" x14ac:dyDescent="0.25">
      <c r="A27" s="28"/>
      <c r="B27" s="29"/>
      <c r="C27" s="29"/>
      <c r="D27" s="29"/>
      <c r="E27" s="30"/>
      <c r="F27" s="30"/>
      <c r="G27" s="30"/>
      <c r="H27" s="30"/>
      <c r="I27" s="30"/>
      <c r="J27" s="44" t="s">
        <v>2194</v>
      </c>
      <c r="K27" s="36" t="s">
        <v>2192</v>
      </c>
      <c r="L27" s="36" t="s">
        <v>2196</v>
      </c>
      <c r="M27" s="36" t="s">
        <v>1427</v>
      </c>
      <c r="N27" s="36" t="s">
        <v>2198</v>
      </c>
    </row>
    <row r="28" spans="1:14" x14ac:dyDescent="0.2">
      <c r="A28" s="20"/>
      <c r="B28" s="412" t="s">
        <v>67</v>
      </c>
      <c r="C28" s="412"/>
      <c r="D28" s="412"/>
      <c r="E28" s="22"/>
      <c r="F28" s="22" t="s">
        <v>1180</v>
      </c>
      <c r="G28" s="22" t="s">
        <v>1484</v>
      </c>
      <c r="H28" s="22" t="s">
        <v>702</v>
      </c>
      <c r="I28" s="22"/>
      <c r="J28" s="66">
        <f>147/ATHENS!O1*ATHENS!O2</f>
        <v>300</v>
      </c>
      <c r="K28" s="66">
        <f>189/ATHENS!O1*ATHENS!O2</f>
        <v>385.71428571428572</v>
      </c>
      <c r="L28" s="66">
        <f>222.5/ATHENS!O1*ATHENS!O2</f>
        <v>454.08163265306121</v>
      </c>
      <c r="M28" s="66">
        <f>281.5/ATHENS!O1*ATHENS!O2</f>
        <v>574.48979591836735</v>
      </c>
      <c r="N28" s="66">
        <f>340.5/ATHENS!O1*ATHENS!O2</f>
        <v>694.89795918367349</v>
      </c>
    </row>
    <row r="29" spans="1:14" x14ac:dyDescent="0.2">
      <c r="A29" s="24"/>
      <c r="B29" s="411" t="s">
        <v>67</v>
      </c>
      <c r="C29" s="411"/>
      <c r="D29" s="411"/>
      <c r="E29" s="16"/>
      <c r="F29" s="16" t="s">
        <v>1181</v>
      </c>
      <c r="G29" s="16" t="s">
        <v>1484</v>
      </c>
      <c r="H29" s="16" t="s">
        <v>702</v>
      </c>
      <c r="I29" s="16"/>
      <c r="J29" s="66">
        <f>82/ATHENS!O1*ATHENS!O2</f>
        <v>167.34693877551021</v>
      </c>
      <c r="K29" s="66">
        <f>105/ATHENS!O1*ATHENS!O2</f>
        <v>214.28571428571428</v>
      </c>
      <c r="L29" s="66">
        <f>124/ATHENS!O1*ATHENS!O2</f>
        <v>253.06122448979593</v>
      </c>
      <c r="M29" s="66">
        <f>156.5/ATHENS!O1*ATHENS!O2</f>
        <v>319.38775510204084</v>
      </c>
      <c r="N29" s="66">
        <f>190/ATHENS!O1*ATHENS!O2</f>
        <v>387.75510204081633</v>
      </c>
    </row>
    <row r="30" spans="1:14" ht="13.5" thickBot="1" x14ac:dyDescent="0.25">
      <c r="A30" s="28"/>
      <c r="B30" s="418" t="s">
        <v>901</v>
      </c>
      <c r="C30" s="418"/>
      <c r="D30" s="418"/>
      <c r="E30" s="30"/>
      <c r="F30" s="30" t="s">
        <v>518</v>
      </c>
      <c r="G30" s="30" t="s">
        <v>1484</v>
      </c>
      <c r="H30" s="30" t="s">
        <v>702</v>
      </c>
      <c r="I30" s="30"/>
      <c r="J30" s="67">
        <f>100.7/ATHENS!O1*ATHENS!O2</f>
        <v>205.51020408163265</v>
      </c>
      <c r="K30" s="67">
        <f>147/ATHENS!O1*ATHENS!O2</f>
        <v>300</v>
      </c>
      <c r="L30" s="67">
        <f>165.5/ATHENS!O1*ATHENS!O2</f>
        <v>337.75510204081633</v>
      </c>
      <c r="M30" s="67">
        <f>203.7/ATHENS!O1*ATHENS!O2</f>
        <v>415.71428571428572</v>
      </c>
      <c r="N30" s="67">
        <f>232/ATHENS!O1*ATHENS!O2</f>
        <v>473.46938775510205</v>
      </c>
    </row>
    <row r="31" spans="1:14" ht="13.5" thickBot="1" x14ac:dyDescent="0.25">
      <c r="A31" s="14"/>
      <c r="B31" s="15"/>
      <c r="C31" s="15"/>
      <c r="D31" s="15"/>
      <c r="E31" s="16"/>
      <c r="F31" s="16"/>
      <c r="G31" s="16"/>
      <c r="H31" s="16"/>
      <c r="I31" s="16"/>
      <c r="J31" s="68"/>
      <c r="K31" s="68"/>
      <c r="L31" s="68"/>
      <c r="M31" s="68"/>
      <c r="N31" s="68"/>
    </row>
    <row r="32" spans="1:14" x14ac:dyDescent="0.2">
      <c r="A32" s="20"/>
      <c r="B32" s="21"/>
      <c r="C32" s="21"/>
      <c r="D32" s="21"/>
      <c r="E32" s="22"/>
      <c r="F32" s="22"/>
      <c r="G32" s="22"/>
      <c r="H32" s="22"/>
      <c r="I32" s="22"/>
      <c r="J32" s="22"/>
      <c r="K32" s="22"/>
      <c r="L32" s="22"/>
      <c r="M32" s="22"/>
      <c r="N32" s="23"/>
    </row>
    <row r="33" spans="1:14" ht="15" x14ac:dyDescent="0.2">
      <c r="A33" s="24"/>
      <c r="B33" s="413" t="s">
        <v>657</v>
      </c>
      <c r="C33" s="414"/>
      <c r="D33" s="414"/>
      <c r="E33" s="414"/>
      <c r="F33" s="414"/>
      <c r="G33" s="414"/>
      <c r="H33" s="414"/>
      <c r="I33" s="414"/>
      <c r="J33" s="414"/>
      <c r="K33" s="414"/>
      <c r="L33" s="414"/>
      <c r="M33" s="415"/>
      <c r="N33" s="25" t="s">
        <v>96</v>
      </c>
    </row>
    <row r="34" spans="1:14" x14ac:dyDescent="0.2">
      <c r="A34" s="24"/>
      <c r="B34" s="26" t="s">
        <v>428</v>
      </c>
      <c r="C34" s="15" t="s">
        <v>896</v>
      </c>
      <c r="D34" s="15"/>
      <c r="E34" s="16"/>
      <c r="F34" s="16"/>
      <c r="G34" s="16"/>
      <c r="H34" s="16"/>
      <c r="I34" s="16"/>
      <c r="J34" s="16"/>
      <c r="K34" s="16"/>
      <c r="L34" s="16"/>
      <c r="M34" s="16"/>
      <c r="N34" s="27"/>
    </row>
    <row r="35" spans="1:14" x14ac:dyDescent="0.2">
      <c r="A35" s="24"/>
      <c r="B35" s="26" t="s">
        <v>429</v>
      </c>
      <c r="C35" s="15"/>
      <c r="D35" s="15"/>
      <c r="E35" s="16"/>
      <c r="F35" s="16"/>
      <c r="G35" s="16"/>
      <c r="H35" s="16"/>
      <c r="I35" s="16"/>
      <c r="J35" s="16"/>
      <c r="K35" s="16"/>
      <c r="L35" s="16"/>
      <c r="M35" s="16"/>
      <c r="N35" s="27"/>
    </row>
    <row r="36" spans="1:14" x14ac:dyDescent="0.2">
      <c r="A36" s="24"/>
      <c r="B36" s="26" t="s">
        <v>427</v>
      </c>
      <c r="C36" s="416" t="s">
        <v>659</v>
      </c>
      <c r="D36" s="416"/>
      <c r="E36" s="416"/>
      <c r="F36" s="416"/>
      <c r="G36" s="416"/>
      <c r="H36" s="416"/>
      <c r="I36" s="416"/>
      <c r="J36" s="416"/>
      <c r="K36" s="416"/>
      <c r="L36" s="416"/>
      <c r="M36" s="416"/>
      <c r="N36" s="417"/>
    </row>
    <row r="37" spans="1:14" x14ac:dyDescent="0.2">
      <c r="A37" s="24"/>
      <c r="B37" s="15"/>
      <c r="C37" s="416"/>
      <c r="D37" s="416"/>
      <c r="E37" s="416"/>
      <c r="F37" s="416"/>
      <c r="G37" s="416"/>
      <c r="H37" s="416"/>
      <c r="I37" s="416"/>
      <c r="J37" s="416"/>
      <c r="K37" s="416"/>
      <c r="L37" s="416"/>
      <c r="M37" s="416"/>
      <c r="N37" s="417"/>
    </row>
    <row r="38" spans="1:14" x14ac:dyDescent="0.2">
      <c r="A38" s="24"/>
      <c r="B38" s="15"/>
      <c r="C38" s="419"/>
      <c r="D38" s="419"/>
      <c r="E38" s="419"/>
      <c r="F38" s="419"/>
      <c r="G38" s="419"/>
      <c r="H38" s="419"/>
      <c r="I38" s="419"/>
      <c r="J38" s="419"/>
      <c r="K38" s="419"/>
      <c r="L38" s="419"/>
      <c r="M38" s="419"/>
      <c r="N38" s="420"/>
    </row>
    <row r="39" spans="1:14" x14ac:dyDescent="0.2">
      <c r="A39" s="24"/>
      <c r="B39" s="26" t="s">
        <v>426</v>
      </c>
      <c r="C39" s="15"/>
      <c r="D39" s="15"/>
      <c r="E39" s="16"/>
      <c r="F39" s="16"/>
      <c r="G39" s="16"/>
      <c r="H39" s="16"/>
      <c r="I39" s="16"/>
      <c r="J39" s="16"/>
      <c r="K39" s="16"/>
      <c r="L39" s="16"/>
      <c r="M39" s="16"/>
      <c r="N39" s="27"/>
    </row>
    <row r="40" spans="1:14" ht="13.5" thickBot="1" x14ac:dyDescent="0.25">
      <c r="A40" s="24"/>
      <c r="B40" s="26" t="s">
        <v>430</v>
      </c>
      <c r="C40" s="15"/>
      <c r="D40" s="15"/>
      <c r="E40" s="16"/>
      <c r="F40" s="16"/>
      <c r="G40" s="16"/>
      <c r="H40" s="16"/>
      <c r="I40" s="16"/>
      <c r="J40" s="30"/>
      <c r="K40" s="30"/>
      <c r="L40" s="30"/>
      <c r="M40" s="30"/>
      <c r="N40" s="31"/>
    </row>
    <row r="41" spans="1:14" x14ac:dyDescent="0.2">
      <c r="A41" s="20"/>
      <c r="B41" s="21" t="s">
        <v>263</v>
      </c>
      <c r="C41" s="21"/>
      <c r="D41" s="21"/>
      <c r="E41" s="22"/>
      <c r="F41" s="22"/>
      <c r="G41" s="22"/>
      <c r="H41" s="22"/>
      <c r="I41" s="23"/>
      <c r="J41" s="58" t="s">
        <v>2183</v>
      </c>
      <c r="K41" s="55" t="s">
        <v>279</v>
      </c>
      <c r="L41" s="55" t="s">
        <v>2184</v>
      </c>
      <c r="M41" s="55"/>
      <c r="N41" s="55"/>
    </row>
    <row r="42" spans="1:14" ht="13.5" thickBot="1" x14ac:dyDescent="0.25">
      <c r="A42" s="28"/>
      <c r="B42" s="29" t="s">
        <v>263</v>
      </c>
      <c r="C42" s="29"/>
      <c r="D42" s="29"/>
      <c r="E42" s="30"/>
      <c r="F42" s="30"/>
      <c r="G42" s="30"/>
      <c r="H42" s="30"/>
      <c r="I42" s="30"/>
      <c r="J42" s="44" t="s">
        <v>1222</v>
      </c>
      <c r="K42" s="36" t="s">
        <v>523</v>
      </c>
      <c r="L42" s="36" t="s">
        <v>2038</v>
      </c>
      <c r="M42" s="36" t="s">
        <v>2185</v>
      </c>
      <c r="N42" s="36"/>
    </row>
    <row r="43" spans="1:14" x14ac:dyDescent="0.2">
      <c r="A43" s="20"/>
      <c r="B43" s="412" t="s">
        <v>67</v>
      </c>
      <c r="C43" s="412"/>
      <c r="D43" s="412"/>
      <c r="E43" s="22"/>
      <c r="F43" s="22" t="s">
        <v>1180</v>
      </c>
      <c r="G43" s="22" t="s">
        <v>1484</v>
      </c>
      <c r="H43" s="22" t="s">
        <v>702</v>
      </c>
      <c r="I43" s="22"/>
      <c r="J43" s="40">
        <f>33/ATHENS!O1*ATHENS!O2</f>
        <v>67.34693877551021</v>
      </c>
      <c r="K43" s="40">
        <f>51/ATHENS!O1*ATHENS!O2</f>
        <v>104.08163265306122</v>
      </c>
      <c r="L43" s="40">
        <f>72/ATHENS!O1*ATHENS!O2</f>
        <v>146.9387755102041</v>
      </c>
      <c r="M43" s="40">
        <f>108/ATHENS!O1*ATHENS!O2</f>
        <v>220.40816326530611</v>
      </c>
      <c r="N43" s="38"/>
    </row>
    <row r="44" spans="1:14" x14ac:dyDescent="0.2">
      <c r="A44" s="24"/>
      <c r="B44" s="411" t="s">
        <v>67</v>
      </c>
      <c r="C44" s="411"/>
      <c r="D44" s="411"/>
      <c r="E44" s="16"/>
      <c r="F44" s="16" t="s">
        <v>1181</v>
      </c>
      <c r="G44" s="16" t="s">
        <v>1484</v>
      </c>
      <c r="H44" s="16" t="s">
        <v>702</v>
      </c>
      <c r="I44" s="16"/>
      <c r="J44" s="40">
        <f>23/ATHENS!O1*ATHENS!O2</f>
        <v>46.938775510204081</v>
      </c>
      <c r="K44" s="40">
        <f>36/ATHENS!O1*ATHENS!O2</f>
        <v>73.469387755102048</v>
      </c>
      <c r="L44" s="40">
        <f>42/ATHENS!O1*ATHENS!O2</f>
        <v>85.714285714285722</v>
      </c>
      <c r="M44" s="40">
        <f>57/ATHENS!O1*ATHENS!O2</f>
        <v>116.32653061224489</v>
      </c>
      <c r="N44" s="40"/>
    </row>
    <row r="45" spans="1:14" ht="13.5" thickBot="1" x14ac:dyDescent="0.25">
      <c r="A45" s="28"/>
      <c r="B45" s="418" t="s">
        <v>67</v>
      </c>
      <c r="C45" s="418"/>
      <c r="D45" s="418"/>
      <c r="E45" s="30"/>
      <c r="F45" s="30" t="s">
        <v>1182</v>
      </c>
      <c r="G45" s="30" t="s">
        <v>1484</v>
      </c>
      <c r="H45" s="30" t="s">
        <v>702</v>
      </c>
      <c r="I45" s="30"/>
      <c r="J45" s="42">
        <f>21/ATHENS!O1*ATHENS!O2</f>
        <v>42.857142857142861</v>
      </c>
      <c r="K45" s="42">
        <f>33/ATHENS!O1*ATHENS!O2</f>
        <v>67.34693877551021</v>
      </c>
      <c r="L45" s="42">
        <f>38/ATHENS!O1*ATHENS!O2</f>
        <v>77.551020408163268</v>
      </c>
      <c r="M45" s="42">
        <f>52/ATHENS!O1*ATHENS!O2</f>
        <v>106.12244897959184</v>
      </c>
      <c r="N45" s="42"/>
    </row>
    <row r="46" spans="1:14" x14ac:dyDescent="0.2">
      <c r="A46" s="14"/>
      <c r="B46" s="15"/>
      <c r="C46" s="15"/>
      <c r="D46" s="15"/>
      <c r="E46" s="16"/>
      <c r="F46" s="16"/>
      <c r="G46" s="16"/>
      <c r="H46" s="16"/>
      <c r="I46" s="16"/>
      <c r="J46" s="68"/>
      <c r="K46" s="68"/>
      <c r="L46" s="68"/>
      <c r="M46" s="68"/>
      <c r="N46" s="68"/>
    </row>
    <row r="47" spans="1:14" x14ac:dyDescent="0.2">
      <c r="A47" s="14"/>
      <c r="B47" s="15"/>
      <c r="C47" s="15"/>
      <c r="D47" s="15"/>
      <c r="E47" s="16"/>
      <c r="F47" s="16"/>
      <c r="G47" s="16"/>
      <c r="H47" s="16"/>
      <c r="I47" s="16"/>
      <c r="J47" s="68"/>
      <c r="K47" s="68"/>
      <c r="L47" s="68"/>
      <c r="M47" s="68"/>
      <c r="N47" s="68"/>
    </row>
    <row r="48" spans="1:14" x14ac:dyDescent="0.2">
      <c r="A48" s="14"/>
      <c r="B48" s="15"/>
      <c r="C48" s="15"/>
      <c r="D48" s="15"/>
      <c r="E48" s="16"/>
      <c r="F48" s="16"/>
      <c r="G48" s="16"/>
      <c r="H48" s="16"/>
      <c r="I48" s="16"/>
      <c r="J48" s="68"/>
      <c r="K48" s="68"/>
      <c r="L48" s="68"/>
      <c r="M48" s="68"/>
      <c r="N48" s="68"/>
    </row>
    <row r="49" spans="1:14" x14ac:dyDescent="0.2">
      <c r="A49" s="14"/>
      <c r="B49" s="15"/>
      <c r="C49" s="15"/>
      <c r="D49" s="15"/>
      <c r="E49" s="16"/>
      <c r="F49" s="16"/>
      <c r="G49" s="16"/>
      <c r="H49" s="16"/>
      <c r="I49" s="16"/>
      <c r="J49" s="68"/>
      <c r="K49" s="68"/>
      <c r="L49" s="68"/>
      <c r="M49" s="68"/>
      <c r="N49" s="68"/>
    </row>
    <row r="50" spans="1:14" x14ac:dyDescent="0.2">
      <c r="A50" s="14"/>
      <c r="B50" s="15"/>
      <c r="C50" s="15"/>
      <c r="D50" s="15"/>
      <c r="E50" s="16"/>
      <c r="F50" s="16"/>
      <c r="G50" s="16"/>
      <c r="H50" s="16"/>
      <c r="I50" s="16"/>
      <c r="J50" s="16"/>
      <c r="K50" s="16"/>
      <c r="L50" s="16"/>
      <c r="M50" s="16"/>
      <c r="N50" s="16"/>
    </row>
    <row r="65" spans="1:14" x14ac:dyDescent="0.2">
      <c r="A65" s="14"/>
      <c r="B65" s="15"/>
      <c r="C65" s="15"/>
      <c r="D65" s="15"/>
      <c r="E65" s="16"/>
      <c r="F65" s="16"/>
      <c r="G65" s="16"/>
      <c r="H65" s="16"/>
      <c r="I65" s="16"/>
      <c r="J65" s="16"/>
      <c r="K65" s="16"/>
      <c r="L65" s="16"/>
      <c r="M65" s="16"/>
      <c r="N65" s="16"/>
    </row>
  </sheetData>
  <customSheetViews>
    <customSheetView guid="{3C76061C-A85D-4390-B9DB-73E13038638C}" showPageBreaks="1" showGridLines="0" view="pageLayout">
      <selection activeCell="L15" sqref="L15"/>
      <rowBreaks count="1" manualBreakCount="1">
        <brk id="50" max="16383" man="1"/>
      </rowBreaks>
      <pageMargins left="0.28125" right="0.25" top="0.6692913385826772" bottom="0.70866141732283472" header="0.23622047244094491" footer="0.47244094488188981"/>
      <printOptions horizontalCentered="1"/>
      <pageSetup paperSize="9" firstPageNumber="26" orientation="portrait" useFirstPageNumber="1" r:id="rId1"/>
      <headerFooter scaleWithDoc="0" alignWithMargins="0">
        <oddHeader>&amp;C TARIFF 2019
 (EURO)
Accommodation in &amp;A</oddHeader>
        <oddFooter>&amp;LAll rates are in EURO&amp;C
TARIFF 2019
&amp;RPage &amp;P</oddFooter>
      </headerFooter>
    </customSheetView>
  </customSheetViews>
  <mergeCells count="16">
    <mergeCell ref="B45:D45"/>
    <mergeCell ref="B33:M33"/>
    <mergeCell ref="B29:D29"/>
    <mergeCell ref="B30:D30"/>
    <mergeCell ref="C36:N38"/>
    <mergeCell ref="B43:D43"/>
    <mergeCell ref="B2:M2"/>
    <mergeCell ref="C5:N6"/>
    <mergeCell ref="B11:D11"/>
    <mergeCell ref="B12:D12"/>
    <mergeCell ref="B44:D44"/>
    <mergeCell ref="B18:M18"/>
    <mergeCell ref="C21:N23"/>
    <mergeCell ref="B28:D28"/>
    <mergeCell ref="B13:D13"/>
    <mergeCell ref="B14:D14"/>
  </mergeCells>
  <phoneticPr fontId="17" type="noConversion"/>
  <hyperlinks>
    <hyperlink ref="B18:M18" r:id="rId2" display="Sani Beach" xr:uid="{00000000-0004-0000-0A00-000000000000}"/>
    <hyperlink ref="B2:M2" r:id="rId3" display="Porto Carras Meliton" xr:uid="{00000000-0004-0000-0A00-000001000000}"/>
    <hyperlink ref="B33:M33" r:id="rId4" display="Aristoteles Beach" xr:uid="{00000000-0004-0000-0A00-000002000000}"/>
  </hyperlinks>
  <printOptions horizontalCentered="1"/>
  <pageMargins left="0.28125" right="0.25" top="0.6692913385826772" bottom="0.70866141732283472" header="0.23622047244094491" footer="0.47244094488188981"/>
  <pageSetup paperSize="9" firstPageNumber="26" orientation="portrait" useFirstPageNumber="1" r:id="rId5"/>
  <headerFooter scaleWithDoc="0" alignWithMargins="0">
    <oddHeader xml:space="preserve">&amp;C TARIFF 2026
 (EURO)
</oddHeader>
    <oddFooter>&amp;LAll rates are in EURO&amp;C
TARIFF 2026
&amp;RPage &amp;P</oddFooter>
  </headerFooter>
  <rowBreaks count="1" manualBreakCount="1">
    <brk id="50"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
  <dimension ref="A1:O199"/>
  <sheetViews>
    <sheetView showGridLines="0" view="pageLayout" zoomScaleNormal="100" workbookViewId="0">
      <selection activeCell="L114" sqref="L114"/>
    </sheetView>
  </sheetViews>
  <sheetFormatPr defaultRowHeight="12.75" x14ac:dyDescent="0.2"/>
  <cols>
    <col min="1" max="1" width="1.85546875" style="17" customWidth="1"/>
    <col min="2" max="3" width="10.7109375" style="17" customWidth="1"/>
    <col min="4" max="9" width="3.7109375" style="17" customWidth="1"/>
    <col min="10" max="14" width="10.7109375" style="17" customWidth="1"/>
    <col min="15" max="15" width="9.5703125" style="81" customWidth="1"/>
    <col min="16" max="16" width="3.7109375" style="17" customWidth="1"/>
    <col min="17" max="17" width="3.28515625" style="17" customWidth="1"/>
    <col min="18" max="19" width="3.140625" style="17" customWidth="1"/>
    <col min="20" max="27" width="2.7109375" style="17" customWidth="1"/>
    <col min="28" max="16384" width="9.140625" style="17"/>
  </cols>
  <sheetData>
    <row r="1" spans="1:14" x14ac:dyDescent="0.2">
      <c r="A1" s="20"/>
      <c r="B1" s="21"/>
      <c r="C1" s="21"/>
      <c r="D1" s="21"/>
      <c r="E1" s="22"/>
      <c r="F1" s="22"/>
      <c r="G1" s="22"/>
      <c r="H1" s="22"/>
      <c r="I1" s="22"/>
      <c r="J1" s="22"/>
      <c r="K1" s="22"/>
      <c r="L1" s="22"/>
      <c r="M1" s="22"/>
      <c r="N1" s="23"/>
    </row>
    <row r="2" spans="1:14" ht="15" x14ac:dyDescent="0.2">
      <c r="A2" s="24"/>
      <c r="B2" s="413" t="s">
        <v>1646</v>
      </c>
      <c r="C2" s="414"/>
      <c r="D2" s="414"/>
      <c r="E2" s="414"/>
      <c r="F2" s="414"/>
      <c r="G2" s="414"/>
      <c r="H2" s="414"/>
      <c r="I2" s="414"/>
      <c r="J2" s="414"/>
      <c r="K2" s="414"/>
      <c r="L2" s="414"/>
      <c r="M2" s="415"/>
      <c r="N2" s="25" t="s">
        <v>91</v>
      </c>
    </row>
    <row r="3" spans="1:14" x14ac:dyDescent="0.2">
      <c r="A3" s="24"/>
      <c r="B3" s="26" t="s">
        <v>428</v>
      </c>
      <c r="C3" s="15" t="s">
        <v>599</v>
      </c>
      <c r="D3" s="15"/>
      <c r="E3" s="16"/>
      <c r="F3" s="16"/>
      <c r="G3" s="16"/>
      <c r="H3" s="16"/>
      <c r="I3" s="16"/>
      <c r="J3" s="16"/>
      <c r="K3" s="16"/>
      <c r="L3" s="16"/>
      <c r="M3" s="16"/>
      <c r="N3" s="27"/>
    </row>
    <row r="4" spans="1:14" x14ac:dyDescent="0.2">
      <c r="A4" s="24"/>
      <c r="B4" s="26" t="s">
        <v>429</v>
      </c>
      <c r="C4" s="15" t="s">
        <v>128</v>
      </c>
      <c r="D4" s="15"/>
      <c r="E4" s="16"/>
      <c r="F4" s="16"/>
      <c r="G4" s="16"/>
      <c r="H4" s="16"/>
      <c r="I4" s="16"/>
      <c r="J4" s="16"/>
      <c r="K4" s="16"/>
      <c r="L4" s="16"/>
      <c r="M4" s="16"/>
      <c r="N4" s="27"/>
    </row>
    <row r="5" spans="1:14" x14ac:dyDescent="0.2">
      <c r="A5" s="24"/>
      <c r="B5" s="26" t="s">
        <v>427</v>
      </c>
      <c r="C5" s="416" t="s">
        <v>470</v>
      </c>
      <c r="D5" s="416"/>
      <c r="E5" s="416"/>
      <c r="F5" s="416"/>
      <c r="G5" s="416"/>
      <c r="H5" s="416"/>
      <c r="I5" s="416"/>
      <c r="J5" s="416"/>
      <c r="K5" s="416"/>
      <c r="L5" s="416"/>
      <c r="M5" s="416"/>
      <c r="N5" s="417"/>
    </row>
    <row r="6" spans="1:14" x14ac:dyDescent="0.2">
      <c r="A6" s="24"/>
      <c r="B6" s="26"/>
      <c r="C6" s="416"/>
      <c r="D6" s="416"/>
      <c r="E6" s="416"/>
      <c r="F6" s="416"/>
      <c r="G6" s="416"/>
      <c r="H6" s="416"/>
      <c r="I6" s="416"/>
      <c r="J6" s="416"/>
      <c r="K6" s="416"/>
      <c r="L6" s="416"/>
      <c r="M6" s="416"/>
      <c r="N6" s="417"/>
    </row>
    <row r="7" spans="1:14" x14ac:dyDescent="0.2">
      <c r="A7" s="24"/>
      <c r="B7" s="26"/>
      <c r="C7" s="416"/>
      <c r="D7" s="416"/>
      <c r="E7" s="416"/>
      <c r="F7" s="416"/>
      <c r="G7" s="416"/>
      <c r="H7" s="416"/>
      <c r="I7" s="416"/>
      <c r="J7" s="416"/>
      <c r="K7" s="416"/>
      <c r="L7" s="416"/>
      <c r="M7" s="416"/>
      <c r="N7" s="417"/>
    </row>
    <row r="8" spans="1:14" x14ac:dyDescent="0.2">
      <c r="A8" s="24"/>
      <c r="B8" s="26"/>
      <c r="C8" s="419"/>
      <c r="D8" s="419"/>
      <c r="E8" s="419"/>
      <c r="F8" s="419"/>
      <c r="G8" s="419"/>
      <c r="H8" s="419"/>
      <c r="I8" s="419"/>
      <c r="J8" s="419"/>
      <c r="K8" s="419"/>
      <c r="L8" s="419"/>
      <c r="M8" s="419"/>
      <c r="N8" s="420"/>
    </row>
    <row r="9" spans="1:14" x14ac:dyDescent="0.2">
      <c r="A9" s="24"/>
      <c r="B9" s="26"/>
      <c r="C9" s="419"/>
      <c r="D9" s="419"/>
      <c r="E9" s="419"/>
      <c r="F9" s="419"/>
      <c r="G9" s="419"/>
      <c r="H9" s="419"/>
      <c r="I9" s="419"/>
      <c r="J9" s="419"/>
      <c r="K9" s="419"/>
      <c r="L9" s="419"/>
      <c r="M9" s="419"/>
      <c r="N9" s="420"/>
    </row>
    <row r="10" spans="1:14" x14ac:dyDescent="0.2">
      <c r="A10" s="24"/>
      <c r="B10" s="26" t="s">
        <v>426</v>
      </c>
      <c r="C10" s="15" t="s">
        <v>1483</v>
      </c>
      <c r="D10" s="15"/>
      <c r="E10" s="16"/>
      <c r="F10" s="16"/>
      <c r="G10" s="16"/>
      <c r="H10" s="16"/>
      <c r="I10" s="16"/>
      <c r="J10" s="16"/>
      <c r="K10" s="16"/>
      <c r="L10" s="16"/>
      <c r="M10" s="16"/>
      <c r="N10" s="27"/>
    </row>
    <row r="11" spans="1:14" ht="13.5" thickBot="1" x14ac:dyDescent="0.25">
      <c r="A11" s="24"/>
      <c r="B11" s="26" t="s">
        <v>430</v>
      </c>
      <c r="C11" s="15"/>
      <c r="D11" s="15"/>
      <c r="E11" s="16"/>
      <c r="F11" s="16"/>
      <c r="G11" s="16"/>
      <c r="H11" s="16"/>
      <c r="I11" s="16"/>
      <c r="J11" s="16"/>
      <c r="K11" s="16"/>
      <c r="L11" s="16"/>
      <c r="M11" s="16"/>
      <c r="N11" s="27"/>
    </row>
    <row r="12" spans="1:14" x14ac:dyDescent="0.2">
      <c r="A12" s="20"/>
      <c r="B12" s="21" t="s">
        <v>263</v>
      </c>
      <c r="C12" s="21"/>
      <c r="D12" s="21"/>
      <c r="E12" s="22"/>
      <c r="F12" s="22"/>
      <c r="G12" s="22"/>
      <c r="H12" s="22"/>
      <c r="I12" s="22"/>
      <c r="J12" s="82" t="s">
        <v>1572</v>
      </c>
      <c r="K12" s="33"/>
      <c r="L12" s="33"/>
      <c r="M12" s="33"/>
      <c r="N12" s="33"/>
    </row>
    <row r="13" spans="1:14" x14ac:dyDescent="0.2">
      <c r="A13" s="24"/>
      <c r="B13" s="15"/>
      <c r="C13" s="15"/>
      <c r="D13" s="15"/>
      <c r="E13" s="16"/>
      <c r="F13" s="16"/>
      <c r="G13" s="16"/>
      <c r="H13" s="16"/>
      <c r="I13" s="16"/>
      <c r="J13" s="204" t="s">
        <v>1977</v>
      </c>
      <c r="K13" s="55"/>
      <c r="L13" s="55"/>
      <c r="M13" s="55"/>
      <c r="N13" s="55"/>
    </row>
    <row r="14" spans="1:14" x14ac:dyDescent="0.2">
      <c r="A14" s="24"/>
      <c r="B14" s="15"/>
      <c r="C14" s="15"/>
      <c r="D14" s="15"/>
      <c r="E14" s="16"/>
      <c r="F14" s="16"/>
      <c r="G14" s="16"/>
      <c r="H14" s="16"/>
      <c r="I14" s="16"/>
      <c r="J14" s="204" t="s">
        <v>758</v>
      </c>
      <c r="K14" s="55" t="s">
        <v>1826</v>
      </c>
      <c r="L14" s="55" t="s">
        <v>1978</v>
      </c>
      <c r="M14" s="55" t="s">
        <v>1979</v>
      </c>
    </row>
    <row r="15" spans="1:14" ht="13.5" thickBot="1" x14ac:dyDescent="0.25">
      <c r="A15" s="28"/>
      <c r="B15" s="29"/>
      <c r="C15" s="29"/>
      <c r="D15" s="29"/>
      <c r="E15" s="30"/>
      <c r="F15" s="30"/>
      <c r="G15" s="30"/>
      <c r="H15" s="30"/>
      <c r="I15" s="30"/>
      <c r="J15" s="44" t="s">
        <v>481</v>
      </c>
      <c r="K15" s="36" t="s">
        <v>514</v>
      </c>
      <c r="L15" s="83" t="s">
        <v>341</v>
      </c>
      <c r="M15" s="36" t="s">
        <v>520</v>
      </c>
    </row>
    <row r="16" spans="1:14" x14ac:dyDescent="0.2">
      <c r="A16" s="20"/>
      <c r="B16" s="412" t="s">
        <v>127</v>
      </c>
      <c r="C16" s="412"/>
      <c r="D16" s="412"/>
      <c r="E16" s="22"/>
      <c r="F16" s="22" t="s">
        <v>1180</v>
      </c>
      <c r="G16" s="22" t="s">
        <v>1484</v>
      </c>
      <c r="H16" s="22" t="s">
        <v>702</v>
      </c>
      <c r="I16" s="23"/>
      <c r="J16" s="65">
        <f>64/ATHENS!O1*ATHENS!O2</f>
        <v>130.61224489795919</v>
      </c>
      <c r="K16" s="65">
        <f>133/ATHENS!O1*ATHENS!O2</f>
        <v>271.42857142857144</v>
      </c>
      <c r="L16" s="65">
        <f>87/ATHENS!O1*ATHENS!O2</f>
        <v>177.55102040816328</v>
      </c>
      <c r="M16" s="65">
        <f>93/ATHENS!O1*ATHENS!O2</f>
        <v>189.79591836734693</v>
      </c>
      <c r="N16" s="38"/>
    </row>
    <row r="17" spans="1:14" x14ac:dyDescent="0.2">
      <c r="A17" s="24"/>
      <c r="B17" s="411" t="s">
        <v>127</v>
      </c>
      <c r="C17" s="411"/>
      <c r="D17" s="411"/>
      <c r="E17" s="16"/>
      <c r="F17" s="16" t="s">
        <v>1181</v>
      </c>
      <c r="G17" s="16" t="s">
        <v>1484</v>
      </c>
      <c r="H17" s="16" t="s">
        <v>702</v>
      </c>
      <c r="I17" s="27"/>
      <c r="J17" s="66">
        <f>40/ATHENS!O1*ATHENS!O2</f>
        <v>81.632653061224488</v>
      </c>
      <c r="K17" s="66">
        <f>83/ATHENS!O1*ATHENS!O2</f>
        <v>169.38775510204081</v>
      </c>
      <c r="L17" s="66">
        <f>54/ATHENS!O1*ATHENS!O2</f>
        <v>110.20408163265306</v>
      </c>
      <c r="M17" s="66">
        <f>58/ATHENS!O1*ATHENS!O2</f>
        <v>118.36734693877551</v>
      </c>
      <c r="N17" s="40"/>
    </row>
    <row r="18" spans="1:14" x14ac:dyDescent="0.2">
      <c r="A18" s="24"/>
      <c r="B18" s="411" t="s">
        <v>127</v>
      </c>
      <c r="C18" s="411"/>
      <c r="D18" s="411"/>
      <c r="E18" s="16"/>
      <c r="F18" s="16" t="s">
        <v>1182</v>
      </c>
      <c r="G18" s="16" t="s">
        <v>1484</v>
      </c>
      <c r="H18" s="16" t="s">
        <v>702</v>
      </c>
      <c r="I18" s="27"/>
      <c r="J18" s="66">
        <f>36/ATHENS!O1*ATHENS!O2</f>
        <v>73.469387755102048</v>
      </c>
      <c r="K18" s="66">
        <f>74.7/ATHENS!O1*ATHENS!O2</f>
        <v>152.44897959183675</v>
      </c>
      <c r="L18" s="66">
        <f>48.6/ATHENS!O1*ATHENS!O2</f>
        <v>99.183673469387756</v>
      </c>
      <c r="M18" s="66">
        <f>52.5/ATHENS!O1*ATHENS!O2</f>
        <v>107.14285714285714</v>
      </c>
      <c r="N18" s="40"/>
    </row>
    <row r="19" spans="1:14" x14ac:dyDescent="0.2">
      <c r="A19" s="24"/>
      <c r="B19" s="411" t="s">
        <v>863</v>
      </c>
      <c r="C19" s="411"/>
      <c r="D19" s="411"/>
      <c r="E19" s="16"/>
      <c r="F19" s="16" t="s">
        <v>1180</v>
      </c>
      <c r="G19" s="16" t="s">
        <v>1484</v>
      </c>
      <c r="H19" s="16" t="s">
        <v>702</v>
      </c>
      <c r="I19" s="27"/>
      <c r="J19" s="66">
        <f>72/ATHENS!O1*ATHENS!O2</f>
        <v>146.9387755102041</v>
      </c>
      <c r="K19" s="66">
        <f>141/ATHENS!O1*ATHENS!O2</f>
        <v>287.75510204081633</v>
      </c>
      <c r="L19" s="66">
        <f>95/ATHENS!O1*ATHENS!O2</f>
        <v>193.87755102040816</v>
      </c>
      <c r="M19" s="66">
        <f>101/ATHENS!O1*ATHENS!O2</f>
        <v>206.12244897959184</v>
      </c>
      <c r="N19" s="40"/>
    </row>
    <row r="20" spans="1:14" x14ac:dyDescent="0.2">
      <c r="A20" s="24"/>
      <c r="B20" s="411" t="s">
        <v>863</v>
      </c>
      <c r="C20" s="411"/>
      <c r="D20" s="411"/>
      <c r="E20" s="16"/>
      <c r="F20" s="16" t="s">
        <v>1181</v>
      </c>
      <c r="G20" s="16" t="s">
        <v>1484</v>
      </c>
      <c r="H20" s="16" t="s">
        <v>702</v>
      </c>
      <c r="I20" s="27"/>
      <c r="J20" s="66">
        <f>45/ATHENS!O1*ATHENS!O2</f>
        <v>91.83673469387756</v>
      </c>
      <c r="K20" s="66">
        <f>88/ATHENS!O1*ATHENS!O2</f>
        <v>179.59183673469389</v>
      </c>
      <c r="L20" s="66">
        <f>59/ATHENS!O1*ATHENS!O2</f>
        <v>120.40816326530613</v>
      </c>
      <c r="M20" s="66">
        <f>63/ATHENS!O1*ATHENS!O2</f>
        <v>128.57142857142858</v>
      </c>
      <c r="N20" s="40"/>
    </row>
    <row r="21" spans="1:14" ht="13.5" thickBot="1" x14ac:dyDescent="0.25">
      <c r="A21" s="28"/>
      <c r="B21" s="418" t="s">
        <v>863</v>
      </c>
      <c r="C21" s="418"/>
      <c r="D21" s="418"/>
      <c r="E21" s="30"/>
      <c r="F21" s="30" t="s">
        <v>1182</v>
      </c>
      <c r="G21" s="30" t="s">
        <v>1484</v>
      </c>
      <c r="H21" s="30" t="s">
        <v>702</v>
      </c>
      <c r="I21" s="31"/>
      <c r="J21" s="67">
        <f>40.5/ATHENS!O1*ATHENS!O2</f>
        <v>82.653061224489804</v>
      </c>
      <c r="K21" s="67">
        <f>79.5/ATHENS!O1*ATHENS!O2</f>
        <v>162.24489795918367</v>
      </c>
      <c r="L21" s="67">
        <f>53.5/ATHENS!O1*ATHENS!O2</f>
        <v>109.18367346938776</v>
      </c>
      <c r="M21" s="67">
        <f>56.7/ATHENS!O1*ATHENS!O2</f>
        <v>115.71428571428572</v>
      </c>
      <c r="N21" s="42"/>
    </row>
    <row r="22" spans="1:14" ht="13.5" thickBot="1" x14ac:dyDescent="0.25">
      <c r="A22" s="14"/>
      <c r="B22" s="15"/>
      <c r="C22" s="15"/>
      <c r="D22" s="15"/>
      <c r="E22" s="16"/>
      <c r="F22" s="16"/>
      <c r="G22" s="16"/>
      <c r="H22" s="16"/>
      <c r="I22" s="16"/>
      <c r="J22" s="16"/>
      <c r="K22" s="16"/>
      <c r="L22" s="16"/>
      <c r="M22" s="16"/>
      <c r="N22" s="16"/>
    </row>
    <row r="23" spans="1:14" x14ac:dyDescent="0.2">
      <c r="A23" s="20"/>
      <c r="B23" s="21"/>
      <c r="C23" s="21"/>
      <c r="D23" s="21"/>
      <c r="E23" s="22"/>
      <c r="F23" s="22"/>
      <c r="G23" s="22"/>
      <c r="H23" s="22"/>
      <c r="I23" s="22"/>
      <c r="J23" s="22"/>
      <c r="K23" s="22"/>
      <c r="L23" s="22"/>
      <c r="M23" s="22"/>
      <c r="N23" s="23"/>
    </row>
    <row r="24" spans="1:14" ht="15" x14ac:dyDescent="0.2">
      <c r="A24" s="24"/>
      <c r="B24" s="413" t="s">
        <v>1485</v>
      </c>
      <c r="C24" s="414"/>
      <c r="D24" s="414"/>
      <c r="E24" s="414"/>
      <c r="F24" s="414"/>
      <c r="G24" s="414"/>
      <c r="H24" s="414"/>
      <c r="I24" s="414"/>
      <c r="J24" s="414"/>
      <c r="K24" s="414"/>
      <c r="L24" s="414"/>
      <c r="M24" s="415"/>
      <c r="N24" s="25" t="s">
        <v>91</v>
      </c>
    </row>
    <row r="25" spans="1:14" x14ac:dyDescent="0.2">
      <c r="A25" s="24"/>
      <c r="B25" s="26" t="s">
        <v>428</v>
      </c>
      <c r="C25" s="15" t="s">
        <v>1486</v>
      </c>
      <c r="D25" s="15"/>
      <c r="E25" s="16"/>
      <c r="F25" s="16"/>
      <c r="G25" s="16"/>
      <c r="H25" s="16"/>
      <c r="I25" s="16"/>
      <c r="J25" s="16"/>
      <c r="K25" s="16"/>
      <c r="L25" s="16"/>
      <c r="M25" s="16"/>
      <c r="N25" s="27"/>
    </row>
    <row r="26" spans="1:14" x14ac:dyDescent="0.2">
      <c r="A26" s="24"/>
      <c r="B26" s="26" t="s">
        <v>429</v>
      </c>
      <c r="C26" s="15" t="s">
        <v>129</v>
      </c>
      <c r="D26" s="15"/>
      <c r="E26" s="16"/>
      <c r="F26" s="16"/>
      <c r="G26" s="16"/>
      <c r="H26" s="16"/>
      <c r="I26" s="16"/>
      <c r="J26" s="16"/>
      <c r="K26" s="16"/>
      <c r="L26" s="16"/>
      <c r="M26" s="16"/>
      <c r="N26" s="27"/>
    </row>
    <row r="27" spans="1:14" x14ac:dyDescent="0.2">
      <c r="A27" s="24"/>
      <c r="B27" s="26" t="s">
        <v>427</v>
      </c>
      <c r="C27" s="416" t="s">
        <v>471</v>
      </c>
      <c r="D27" s="416"/>
      <c r="E27" s="416"/>
      <c r="F27" s="416"/>
      <c r="G27" s="416"/>
      <c r="H27" s="416"/>
      <c r="I27" s="416"/>
      <c r="J27" s="416"/>
      <c r="K27" s="416"/>
      <c r="L27" s="416"/>
      <c r="M27" s="416"/>
      <c r="N27" s="417"/>
    </row>
    <row r="28" spans="1:14" x14ac:dyDescent="0.2">
      <c r="A28" s="24"/>
      <c r="B28" s="26"/>
      <c r="C28" s="416"/>
      <c r="D28" s="416"/>
      <c r="E28" s="416"/>
      <c r="F28" s="416"/>
      <c r="G28" s="416"/>
      <c r="H28" s="416"/>
      <c r="I28" s="416"/>
      <c r="J28" s="416"/>
      <c r="K28" s="416"/>
      <c r="L28" s="416"/>
      <c r="M28" s="416"/>
      <c r="N28" s="417"/>
    </row>
    <row r="29" spans="1:14" x14ac:dyDescent="0.2">
      <c r="A29" s="24"/>
      <c r="B29" s="26"/>
      <c r="C29" s="416"/>
      <c r="D29" s="416"/>
      <c r="E29" s="416"/>
      <c r="F29" s="416"/>
      <c r="G29" s="416"/>
      <c r="H29" s="416"/>
      <c r="I29" s="416"/>
      <c r="J29" s="416"/>
      <c r="K29" s="416"/>
      <c r="L29" s="416"/>
      <c r="M29" s="416"/>
      <c r="N29" s="417"/>
    </row>
    <row r="30" spans="1:14" x14ac:dyDescent="0.2">
      <c r="A30" s="24"/>
      <c r="B30" s="26"/>
      <c r="C30" s="419"/>
      <c r="D30" s="419"/>
      <c r="E30" s="419"/>
      <c r="F30" s="419"/>
      <c r="G30" s="419"/>
      <c r="H30" s="419"/>
      <c r="I30" s="419"/>
      <c r="J30" s="419"/>
      <c r="K30" s="419"/>
      <c r="L30" s="419"/>
      <c r="M30" s="419"/>
      <c r="N30" s="420"/>
    </row>
    <row r="31" spans="1:14" x14ac:dyDescent="0.2">
      <c r="A31" s="24"/>
      <c r="B31" s="26" t="s">
        <v>426</v>
      </c>
      <c r="C31" s="15" t="s">
        <v>205</v>
      </c>
      <c r="D31" s="15"/>
      <c r="E31" s="16"/>
      <c r="F31" s="16"/>
      <c r="G31" s="16"/>
      <c r="H31" s="16"/>
      <c r="I31" s="16"/>
      <c r="J31" s="16"/>
      <c r="K31" s="16"/>
      <c r="L31" s="16"/>
      <c r="M31" s="16"/>
      <c r="N31" s="27"/>
    </row>
    <row r="32" spans="1:14" ht="13.5" thickBot="1" x14ac:dyDescent="0.25">
      <c r="A32" s="24"/>
      <c r="B32" s="26" t="s">
        <v>430</v>
      </c>
      <c r="C32" s="15"/>
      <c r="D32" s="15"/>
      <c r="E32" s="16"/>
      <c r="F32" s="16"/>
      <c r="G32" s="16"/>
      <c r="H32" s="16"/>
      <c r="I32" s="16"/>
      <c r="J32" s="16"/>
      <c r="K32" s="16"/>
      <c r="L32" s="16"/>
      <c r="M32" s="16"/>
      <c r="N32" s="27"/>
    </row>
    <row r="33" spans="1:14" x14ac:dyDescent="0.2">
      <c r="A33" s="20"/>
      <c r="B33" s="21" t="s">
        <v>263</v>
      </c>
      <c r="C33" s="21"/>
      <c r="D33" s="21"/>
      <c r="E33" s="22"/>
      <c r="F33" s="22"/>
      <c r="G33" s="22"/>
      <c r="H33" s="22"/>
      <c r="I33" s="22"/>
      <c r="J33" s="32"/>
      <c r="K33" s="33" t="s">
        <v>2163</v>
      </c>
      <c r="L33" s="32" t="s">
        <v>173</v>
      </c>
      <c r="M33" s="33" t="s">
        <v>175</v>
      </c>
      <c r="N33" s="33"/>
    </row>
    <row r="34" spans="1:14" ht="13.5" thickBot="1" x14ac:dyDescent="0.25">
      <c r="A34" s="28"/>
      <c r="B34" s="29"/>
      <c r="C34" s="29"/>
      <c r="D34" s="29"/>
      <c r="E34" s="30"/>
      <c r="F34" s="30"/>
      <c r="G34" s="30"/>
      <c r="H34" s="30"/>
      <c r="I34" s="30"/>
      <c r="J34" s="44" t="s">
        <v>1572</v>
      </c>
      <c r="K34" s="36" t="s">
        <v>79</v>
      </c>
      <c r="L34" s="44" t="s">
        <v>174</v>
      </c>
      <c r="M34" s="36" t="s">
        <v>176</v>
      </c>
      <c r="N34" s="36" t="s">
        <v>480</v>
      </c>
    </row>
    <row r="35" spans="1:14" x14ac:dyDescent="0.2">
      <c r="A35" s="20"/>
      <c r="B35" s="412" t="s">
        <v>67</v>
      </c>
      <c r="C35" s="412"/>
      <c r="D35" s="412"/>
      <c r="E35" s="22"/>
      <c r="F35" s="22" t="s">
        <v>1180</v>
      </c>
      <c r="G35" s="22" t="s">
        <v>68</v>
      </c>
      <c r="H35" s="22" t="s">
        <v>702</v>
      </c>
      <c r="I35" s="22"/>
      <c r="J35" s="65">
        <f>82.5/ATHENS!O1*ATHENS!O2</f>
        <v>168.36734693877551</v>
      </c>
      <c r="K35" s="65">
        <f>97.5/ATHENS!O1*ATHENS!O2</f>
        <v>198.9795918367347</v>
      </c>
      <c r="L35" s="65">
        <f>110.9/ATHENS!O1*ATHENS!O2</f>
        <v>226.32653061224491</v>
      </c>
      <c r="M35" s="65">
        <f>135.5/ATHENS!O1*ATHENS!O2</f>
        <v>276.53061224489795</v>
      </c>
      <c r="N35" s="38">
        <f>156/ATHENS!O1*ATHENS!O2</f>
        <v>318.36734693877554</v>
      </c>
    </row>
    <row r="36" spans="1:14" x14ac:dyDescent="0.2">
      <c r="A36" s="24"/>
      <c r="B36" s="411" t="s">
        <v>67</v>
      </c>
      <c r="C36" s="411"/>
      <c r="D36" s="411"/>
      <c r="E36" s="16"/>
      <c r="F36" s="16" t="s">
        <v>1181</v>
      </c>
      <c r="G36" s="16" t="s">
        <v>68</v>
      </c>
      <c r="H36" s="16" t="s">
        <v>702</v>
      </c>
      <c r="I36" s="16"/>
      <c r="J36" s="66">
        <f>52.5/ATHENS!O1*ATHENS!O2</f>
        <v>107.14285714285714</v>
      </c>
      <c r="K36" s="66">
        <f>65.5/ATHENS!O1*ATHENS!O2</f>
        <v>133.67346938775509</v>
      </c>
      <c r="L36" s="66">
        <f>74.5/ATHENS!O1*ATHENS!O2</f>
        <v>152.0408163265306</v>
      </c>
      <c r="M36" s="66">
        <f>90.5/ATHENS!O1*ATHENS!O2</f>
        <v>184.69387755102042</v>
      </c>
      <c r="N36" s="40">
        <f>104/ATHENS!O1*ATHENS!O2</f>
        <v>212.24489795918367</v>
      </c>
    </row>
    <row r="37" spans="1:14" x14ac:dyDescent="0.2">
      <c r="A37" s="24"/>
      <c r="B37" s="411" t="s">
        <v>67</v>
      </c>
      <c r="C37" s="411"/>
      <c r="D37" s="411"/>
      <c r="E37" s="16"/>
      <c r="F37" s="16" t="s">
        <v>1182</v>
      </c>
      <c r="G37" s="16" t="s">
        <v>68</v>
      </c>
      <c r="H37" s="16" t="s">
        <v>702</v>
      </c>
      <c r="I37" s="16"/>
      <c r="J37" s="66">
        <f>47.5/ATHENS!O1*ATHENS!O2</f>
        <v>96.938775510204081</v>
      </c>
      <c r="K37" s="66">
        <f>59.5/ATHENS!O1*ATHENS!O2</f>
        <v>121.42857142857143</v>
      </c>
      <c r="L37" s="66">
        <f>67.5/ATHENS!O1*ATHENS!O2</f>
        <v>137.75510204081633</v>
      </c>
      <c r="M37" s="66">
        <f>81.5/ATHENS!O1*ATHENS!O2</f>
        <v>166.32653061224491</v>
      </c>
      <c r="N37" s="40">
        <f>94/ATHENS!O1*ATHENS!O2</f>
        <v>191.83673469387756</v>
      </c>
    </row>
    <row r="38" spans="1:14" ht="13.5" thickBot="1" x14ac:dyDescent="0.25">
      <c r="A38" s="28"/>
      <c r="B38" s="418" t="s">
        <v>902</v>
      </c>
      <c r="C38" s="418"/>
      <c r="D38" s="418"/>
      <c r="E38" s="30"/>
      <c r="F38" s="30"/>
      <c r="G38" s="30"/>
      <c r="H38" s="30"/>
      <c r="I38" s="30"/>
      <c r="J38" s="67" t="s">
        <v>864</v>
      </c>
      <c r="K38" s="67">
        <f>26/ATHENS!O1*ATHENS!O2</f>
        <v>53.061224489795919</v>
      </c>
      <c r="L38" s="67">
        <f>26/ATHENS!O1*ATHENS!O2</f>
        <v>53.061224489795919</v>
      </c>
      <c r="M38" s="67">
        <f>26/ATHENS!O1*ATHENS!O2</f>
        <v>53.061224489795919</v>
      </c>
      <c r="N38" s="42">
        <f>26/ATHENS!O1*ATHENS!O2</f>
        <v>53.061224489795919</v>
      </c>
    </row>
    <row r="39" spans="1:14" ht="13.5" thickBot="1" x14ac:dyDescent="0.25">
      <c r="A39" s="14"/>
      <c r="B39" s="15"/>
      <c r="C39" s="15"/>
      <c r="D39" s="15"/>
      <c r="E39" s="16"/>
      <c r="F39" s="16"/>
      <c r="G39" s="16"/>
      <c r="H39" s="16"/>
      <c r="I39" s="16"/>
      <c r="J39" s="16"/>
      <c r="K39" s="16"/>
      <c r="L39" s="16"/>
      <c r="M39" s="16"/>
      <c r="N39" s="16"/>
    </row>
    <row r="40" spans="1:14" x14ac:dyDescent="0.2">
      <c r="A40" s="20"/>
      <c r="B40" s="21"/>
      <c r="C40" s="21"/>
      <c r="D40" s="21"/>
      <c r="E40" s="22"/>
      <c r="F40" s="22"/>
      <c r="G40" s="22"/>
      <c r="H40" s="22"/>
      <c r="I40" s="22"/>
      <c r="J40" s="22"/>
      <c r="K40" s="22"/>
      <c r="L40" s="22"/>
      <c r="M40" s="22"/>
      <c r="N40" s="23"/>
    </row>
    <row r="41" spans="1:14" ht="15" x14ac:dyDescent="0.2">
      <c r="A41" s="24"/>
      <c r="B41" s="413" t="s">
        <v>1086</v>
      </c>
      <c r="C41" s="414"/>
      <c r="D41" s="414"/>
      <c r="E41" s="414"/>
      <c r="F41" s="414"/>
      <c r="G41" s="414"/>
      <c r="H41" s="414"/>
      <c r="I41" s="414"/>
      <c r="J41" s="414"/>
      <c r="K41" s="414"/>
      <c r="L41" s="414"/>
      <c r="M41" s="415"/>
      <c r="N41" s="25" t="s">
        <v>91</v>
      </c>
    </row>
    <row r="42" spans="1:14" x14ac:dyDescent="0.2">
      <c r="A42" s="24"/>
      <c r="B42" s="26" t="s">
        <v>428</v>
      </c>
      <c r="C42" s="15" t="s">
        <v>1087</v>
      </c>
      <c r="D42" s="15"/>
      <c r="E42" s="16"/>
      <c r="F42" s="16"/>
      <c r="G42" s="16"/>
      <c r="H42" s="16"/>
      <c r="I42" s="16"/>
      <c r="J42" s="16"/>
      <c r="K42" s="16"/>
      <c r="L42" s="16"/>
      <c r="M42" s="16"/>
      <c r="N42" s="27"/>
    </row>
    <row r="43" spans="1:14" x14ac:dyDescent="0.2">
      <c r="A43" s="24"/>
      <c r="B43" s="26" t="s">
        <v>429</v>
      </c>
      <c r="C43" s="15" t="s">
        <v>376</v>
      </c>
      <c r="D43" s="15"/>
      <c r="E43" s="16"/>
      <c r="F43" s="16"/>
      <c r="G43" s="16"/>
      <c r="H43" s="16"/>
      <c r="I43" s="16"/>
      <c r="J43" s="16"/>
      <c r="K43" s="16"/>
      <c r="L43" s="16"/>
      <c r="M43" s="16"/>
      <c r="N43" s="27"/>
    </row>
    <row r="44" spans="1:14" x14ac:dyDescent="0.2">
      <c r="A44" s="24"/>
      <c r="B44" s="26" t="s">
        <v>427</v>
      </c>
      <c r="C44" s="416" t="s">
        <v>472</v>
      </c>
      <c r="D44" s="416"/>
      <c r="E44" s="416"/>
      <c r="F44" s="416"/>
      <c r="G44" s="416"/>
      <c r="H44" s="416"/>
      <c r="I44" s="416"/>
      <c r="J44" s="416"/>
      <c r="K44" s="416"/>
      <c r="L44" s="416"/>
      <c r="M44" s="416"/>
      <c r="N44" s="417"/>
    </row>
    <row r="45" spans="1:14" x14ac:dyDescent="0.2">
      <c r="A45" s="24"/>
      <c r="B45" s="15"/>
      <c r="C45" s="416"/>
      <c r="D45" s="416"/>
      <c r="E45" s="416"/>
      <c r="F45" s="416"/>
      <c r="G45" s="416"/>
      <c r="H45" s="416"/>
      <c r="I45" s="416"/>
      <c r="J45" s="416"/>
      <c r="K45" s="416"/>
      <c r="L45" s="416"/>
      <c r="M45" s="416"/>
      <c r="N45" s="417"/>
    </row>
    <row r="46" spans="1:14" x14ac:dyDescent="0.2">
      <c r="A46" s="24"/>
      <c r="B46" s="15"/>
      <c r="C46" s="416"/>
      <c r="D46" s="416"/>
      <c r="E46" s="416"/>
      <c r="F46" s="416"/>
      <c r="G46" s="416"/>
      <c r="H46" s="416"/>
      <c r="I46" s="416"/>
      <c r="J46" s="416"/>
      <c r="K46" s="416"/>
      <c r="L46" s="416"/>
      <c r="M46" s="416"/>
      <c r="N46" s="417"/>
    </row>
    <row r="47" spans="1:14" x14ac:dyDescent="0.2">
      <c r="A47" s="24"/>
      <c r="B47" s="15"/>
      <c r="C47" s="419"/>
      <c r="D47" s="419"/>
      <c r="E47" s="419"/>
      <c r="F47" s="419"/>
      <c r="G47" s="419"/>
      <c r="H47" s="419"/>
      <c r="I47" s="419"/>
      <c r="J47" s="419"/>
      <c r="K47" s="419"/>
      <c r="L47" s="419"/>
      <c r="M47" s="419"/>
      <c r="N47" s="420"/>
    </row>
    <row r="48" spans="1:14" x14ac:dyDescent="0.2">
      <c r="A48" s="24"/>
      <c r="B48" s="15"/>
      <c r="C48" s="419"/>
      <c r="D48" s="419"/>
      <c r="E48" s="419"/>
      <c r="F48" s="419"/>
      <c r="G48" s="419"/>
      <c r="H48" s="419"/>
      <c r="I48" s="419"/>
      <c r="J48" s="419"/>
      <c r="K48" s="419"/>
      <c r="L48" s="419"/>
      <c r="M48" s="419"/>
      <c r="N48" s="420"/>
    </row>
    <row r="49" spans="1:14" x14ac:dyDescent="0.2">
      <c r="A49" s="24"/>
      <c r="B49" s="15"/>
      <c r="C49" s="419"/>
      <c r="D49" s="419"/>
      <c r="E49" s="419"/>
      <c r="F49" s="419"/>
      <c r="G49" s="419"/>
      <c r="H49" s="419"/>
      <c r="I49" s="419"/>
      <c r="J49" s="419"/>
      <c r="K49" s="419"/>
      <c r="L49" s="419"/>
      <c r="M49" s="419"/>
      <c r="N49" s="420"/>
    </row>
    <row r="50" spans="1:14" x14ac:dyDescent="0.2">
      <c r="A50" s="24"/>
      <c r="B50" s="15"/>
      <c r="C50" s="419"/>
      <c r="D50" s="419"/>
      <c r="E50" s="419"/>
      <c r="F50" s="419"/>
      <c r="G50" s="419"/>
      <c r="H50" s="419"/>
      <c r="I50" s="419"/>
      <c r="J50" s="419"/>
      <c r="K50" s="419"/>
      <c r="L50" s="419"/>
      <c r="M50" s="419"/>
      <c r="N50" s="420"/>
    </row>
    <row r="51" spans="1:14" ht="13.5" thickBot="1" x14ac:dyDescent="0.25">
      <c r="A51" s="24"/>
      <c r="B51" s="26" t="s">
        <v>426</v>
      </c>
      <c r="C51" s="15" t="s">
        <v>592</v>
      </c>
      <c r="D51" s="15"/>
      <c r="E51" s="16"/>
      <c r="F51" s="16"/>
      <c r="G51" s="16"/>
      <c r="H51" s="16"/>
      <c r="I51" s="16"/>
      <c r="J51" s="16"/>
      <c r="K51" s="16"/>
      <c r="L51" s="16"/>
      <c r="M51" s="16"/>
      <c r="N51" s="27"/>
    </row>
    <row r="52" spans="1:14" x14ac:dyDescent="0.2">
      <c r="A52" s="20"/>
      <c r="B52" s="21" t="s">
        <v>263</v>
      </c>
      <c r="C52" s="21"/>
      <c r="D52" s="21"/>
      <c r="E52" s="22"/>
      <c r="F52" s="22"/>
      <c r="G52" s="22"/>
      <c r="H52" s="22"/>
      <c r="I52" s="22"/>
      <c r="J52" s="32" t="s">
        <v>2164</v>
      </c>
      <c r="K52" s="33" t="s">
        <v>2024</v>
      </c>
      <c r="L52" s="33" t="s">
        <v>2166</v>
      </c>
      <c r="M52" s="33" t="s">
        <v>2168</v>
      </c>
      <c r="N52" s="33"/>
    </row>
    <row r="53" spans="1:14" ht="13.5" thickBot="1" x14ac:dyDescent="0.25">
      <c r="A53" s="28"/>
      <c r="B53" s="29"/>
      <c r="C53" s="29"/>
      <c r="D53" s="29"/>
      <c r="E53" s="30"/>
      <c r="F53" s="30"/>
      <c r="G53" s="30"/>
      <c r="H53" s="30"/>
      <c r="I53" s="30"/>
      <c r="J53" s="44" t="s">
        <v>2165</v>
      </c>
      <c r="K53" s="36" t="s">
        <v>2027</v>
      </c>
      <c r="L53" s="36" t="s">
        <v>2167</v>
      </c>
      <c r="M53" s="36" t="s">
        <v>755</v>
      </c>
      <c r="N53" s="36" t="s">
        <v>2161</v>
      </c>
    </row>
    <row r="54" spans="1:14" x14ac:dyDescent="0.2">
      <c r="A54" s="20"/>
      <c r="B54" s="412" t="s">
        <v>67</v>
      </c>
      <c r="C54" s="412"/>
      <c r="D54" s="412"/>
      <c r="E54" s="22"/>
      <c r="F54" s="22" t="s">
        <v>1180</v>
      </c>
      <c r="G54" s="22" t="s">
        <v>68</v>
      </c>
      <c r="H54" s="22" t="s">
        <v>702</v>
      </c>
      <c r="I54" s="22"/>
      <c r="J54" s="65">
        <f>60.7/ATHENS!O1*ATHENS!O2</f>
        <v>123.87755102040818</v>
      </c>
      <c r="K54" s="65">
        <f>88.5/ATHENS!O1*ATHENS!O2</f>
        <v>180.61224489795919</v>
      </c>
      <c r="L54" s="65">
        <f>116.5/ATHENS!O1*ATHENS!O2</f>
        <v>237.75510204081633</v>
      </c>
      <c r="M54" s="65">
        <f>135.5/ATHENS!O1*ATHENS!O2</f>
        <v>276.53061224489795</v>
      </c>
      <c r="N54" s="65">
        <f>178.5/ATHENS!O1*ATHENS!O2</f>
        <v>364.28571428571428</v>
      </c>
    </row>
    <row r="55" spans="1:14" x14ac:dyDescent="0.2">
      <c r="A55" s="24"/>
      <c r="B55" s="411" t="s">
        <v>67</v>
      </c>
      <c r="C55" s="411"/>
      <c r="D55" s="411"/>
      <c r="E55" s="16"/>
      <c r="F55" s="16" t="s">
        <v>1181</v>
      </c>
      <c r="G55" s="16" t="s">
        <v>68</v>
      </c>
      <c r="H55" s="16" t="s">
        <v>702</v>
      </c>
      <c r="I55" s="16"/>
      <c r="J55" s="66">
        <f>43.5/ATHENS!O1*ATHENS!O2</f>
        <v>88.775510204081641</v>
      </c>
      <c r="K55" s="66">
        <f>57.5/ATHENS!O1*ATHENS!O2</f>
        <v>117.34693877551021</v>
      </c>
      <c r="L55" s="66">
        <f>74.5/ATHENS!O1*ATHENS!O2</f>
        <v>152.0408163265306</v>
      </c>
      <c r="M55" s="66">
        <f>83.9/ATHENS!O1*ATHENS!O2</f>
        <v>171.22448979591837</v>
      </c>
      <c r="N55" s="66">
        <f>105.9/ATHENS!O1*ATHENS!O2</f>
        <v>216.12244897959187</v>
      </c>
    </row>
    <row r="56" spans="1:14" x14ac:dyDescent="0.2">
      <c r="A56" s="24"/>
      <c r="B56" s="411" t="s">
        <v>67</v>
      </c>
      <c r="C56" s="411"/>
      <c r="D56" s="411"/>
      <c r="E56" s="16"/>
      <c r="F56" s="16" t="s">
        <v>1182</v>
      </c>
      <c r="G56" s="16" t="s">
        <v>68</v>
      </c>
      <c r="H56" s="16" t="s">
        <v>702</v>
      </c>
      <c r="I56" s="16"/>
      <c r="J56" s="66">
        <f>33.7/ATHENS!O1*ATHENS!O2</f>
        <v>68.775510204081641</v>
      </c>
      <c r="K56" s="66">
        <f>46.5/ATHENS!O1*ATHENS!O2</f>
        <v>94.897959183673464</v>
      </c>
      <c r="L56" s="66">
        <f>62.5/ATHENS!O1*ATHENS!O2</f>
        <v>127.55102040816327</v>
      </c>
      <c r="M56" s="66">
        <f>72.7/ATHENS!O1*ATHENS!O2</f>
        <v>148.36734693877551</v>
      </c>
      <c r="N56" s="66">
        <f>95.5/ATHENS!O1*ATHENS!O2</f>
        <v>194.89795918367346</v>
      </c>
    </row>
    <row r="57" spans="1:14" x14ac:dyDescent="0.2">
      <c r="A57" s="24"/>
      <c r="B57" s="411" t="s">
        <v>593</v>
      </c>
      <c r="C57" s="411"/>
      <c r="D57" s="411"/>
      <c r="E57" s="16"/>
      <c r="F57" s="16" t="s">
        <v>1181</v>
      </c>
      <c r="G57" s="16" t="s">
        <v>68</v>
      </c>
      <c r="H57" s="16" t="s">
        <v>702</v>
      </c>
      <c r="I57" s="16"/>
      <c r="J57" s="66">
        <f>47.7/ATHENS!O1*ATHENS!O2</f>
        <v>97.34693877551021</v>
      </c>
      <c r="K57" s="66">
        <f>62.9/ATHENS!O1*ATHENS!O2</f>
        <v>128.36734693877551</v>
      </c>
      <c r="L57" s="66">
        <f>82.5/ATHENS!O1*ATHENS!O2</f>
        <v>168.36734693877551</v>
      </c>
      <c r="M57" s="66">
        <f>83.9/ATHENS!O1*ATHENS!O2</f>
        <v>171.22448979591837</v>
      </c>
      <c r="N57" s="66">
        <f>112.6/ATHENS!O1*ATHENS!O2</f>
        <v>229.79591836734693</v>
      </c>
    </row>
    <row r="58" spans="1:14" x14ac:dyDescent="0.2">
      <c r="A58" s="24"/>
      <c r="B58" s="411" t="s">
        <v>593</v>
      </c>
      <c r="C58" s="411"/>
      <c r="D58" s="411"/>
      <c r="E58" s="16"/>
      <c r="F58" s="16" t="s">
        <v>1182</v>
      </c>
      <c r="G58" s="16" t="s">
        <v>68</v>
      </c>
      <c r="H58" s="16" t="s">
        <v>702</v>
      </c>
      <c r="I58" s="16"/>
      <c r="J58" s="66">
        <f>36.8/ATHENS!O1*ATHENS!O2</f>
        <v>75.102040816326522</v>
      </c>
      <c r="K58" s="66">
        <f>50.5/ATHENS!O1*ATHENS!O2</f>
        <v>103.06122448979592</v>
      </c>
      <c r="L58" s="66">
        <f>69.5/ATHENS!O1*ATHENS!O2</f>
        <v>141.83673469387756</v>
      </c>
      <c r="M58" s="66">
        <f>72.7/ATHENS!O1*ATHENS!O2</f>
        <v>148.36734693877551</v>
      </c>
      <c r="N58" s="66">
        <f>101.6/ATHENS!O1*ATHENS!O2</f>
        <v>207.34693877551018</v>
      </c>
    </row>
    <row r="59" spans="1:14" x14ac:dyDescent="0.2">
      <c r="A59" s="24"/>
      <c r="B59" s="411" t="s">
        <v>863</v>
      </c>
      <c r="C59" s="411"/>
      <c r="D59" s="411"/>
      <c r="E59" s="16"/>
      <c r="F59" s="16" t="s">
        <v>1181</v>
      </c>
      <c r="G59" s="16" t="s">
        <v>68</v>
      </c>
      <c r="H59" s="16" t="s">
        <v>702</v>
      </c>
      <c r="I59" s="16"/>
      <c r="J59" s="66">
        <f>55.5/ATHENS!O1*ATHENS!O2</f>
        <v>113.26530612244898</v>
      </c>
      <c r="K59" s="66">
        <f>76.9/ATHENS!O1*ATHENS!O2</f>
        <v>156.9387755102041</v>
      </c>
      <c r="L59" s="66">
        <f>82.5/ATHENS!O1*ATHENS!O2</f>
        <v>168.36734693877551</v>
      </c>
      <c r="M59" s="66">
        <f>90.9/ATHENS!O1*ATHENS!O2</f>
        <v>185.51020408163268</v>
      </c>
      <c r="N59" s="66">
        <f>126.5/ATHENS!O1*ATHENS!O2</f>
        <v>258.16326530612247</v>
      </c>
    </row>
    <row r="60" spans="1:14" ht="13.5" thickBot="1" x14ac:dyDescent="0.25">
      <c r="A60" s="24"/>
      <c r="B60" s="411" t="s">
        <v>863</v>
      </c>
      <c r="C60" s="411"/>
      <c r="D60" s="411"/>
      <c r="E60" s="16"/>
      <c r="F60" s="16" t="s">
        <v>1182</v>
      </c>
      <c r="G60" s="16" t="s">
        <v>68</v>
      </c>
      <c r="H60" s="16" t="s">
        <v>702</v>
      </c>
      <c r="I60" s="16"/>
      <c r="J60" s="66">
        <f>42.8/ATHENS!O1*ATHENS!O2</f>
        <v>87.346938775510196</v>
      </c>
      <c r="K60" s="66">
        <f>61.5/ATHENS!O1*ATHENS!O2</f>
        <v>125.51020408163265</v>
      </c>
      <c r="L60" s="66">
        <f>69.5/ATHENS!O1*ATHENS!O2</f>
        <v>141.83673469387756</v>
      </c>
      <c r="M60" s="66">
        <f>78.7/ATHENS!O1*ATHENS!O2</f>
        <v>160.61224489795919</v>
      </c>
      <c r="N60" s="66">
        <f>113.8/ATHENS!O1*ATHENS!O2</f>
        <v>232.24489795918367</v>
      </c>
    </row>
    <row r="61" spans="1:14" ht="13.5" thickBot="1" x14ac:dyDescent="0.25">
      <c r="A61" s="75"/>
      <c r="B61" s="49" t="s">
        <v>595</v>
      </c>
      <c r="C61" s="49"/>
      <c r="D61" s="49"/>
      <c r="E61" s="56"/>
      <c r="F61" s="56"/>
      <c r="G61" s="56"/>
      <c r="H61" s="56"/>
      <c r="I61" s="56"/>
      <c r="J61" s="56"/>
      <c r="K61" s="56"/>
      <c r="L61" s="56"/>
      <c r="M61" s="56"/>
      <c r="N61" s="57"/>
    </row>
    <row r="62" spans="1:14" ht="6" customHeight="1" thickBot="1" x14ac:dyDescent="0.25">
      <c r="A62" s="14"/>
      <c r="B62" s="15"/>
      <c r="C62" s="15"/>
      <c r="D62" s="15"/>
      <c r="E62" s="16"/>
      <c r="F62" s="16"/>
      <c r="G62" s="16"/>
      <c r="H62" s="16"/>
      <c r="I62" s="16"/>
      <c r="J62" s="16"/>
      <c r="K62" s="16"/>
      <c r="L62" s="16"/>
      <c r="M62" s="16"/>
      <c r="N62" s="16"/>
    </row>
    <row r="63" spans="1:14" x14ac:dyDescent="0.2">
      <c r="A63" s="20"/>
      <c r="B63" s="21"/>
      <c r="C63" s="21"/>
      <c r="D63" s="21"/>
      <c r="E63" s="22"/>
      <c r="F63" s="22"/>
      <c r="G63" s="22"/>
      <c r="H63" s="22"/>
      <c r="I63" s="22"/>
      <c r="J63" s="22"/>
      <c r="K63" s="22"/>
      <c r="L63" s="22"/>
      <c r="M63" s="22"/>
      <c r="N63" s="23"/>
    </row>
    <row r="64" spans="1:14" ht="15" x14ac:dyDescent="0.2">
      <c r="A64" s="24"/>
      <c r="B64" s="413" t="s">
        <v>1380</v>
      </c>
      <c r="C64" s="414"/>
      <c r="D64" s="414"/>
      <c r="E64" s="414"/>
      <c r="F64" s="414"/>
      <c r="G64" s="414"/>
      <c r="H64" s="414"/>
      <c r="I64" s="414"/>
      <c r="J64" s="414"/>
      <c r="K64" s="414"/>
      <c r="L64" s="414"/>
      <c r="M64" s="415"/>
      <c r="N64" s="25" t="s">
        <v>91</v>
      </c>
    </row>
    <row r="65" spans="1:14" x14ac:dyDescent="0.2">
      <c r="A65" s="24"/>
      <c r="B65" s="26" t="s">
        <v>428</v>
      </c>
      <c r="C65" s="15" t="s">
        <v>1381</v>
      </c>
      <c r="D65" s="15"/>
      <c r="E65" s="16"/>
      <c r="F65" s="16"/>
      <c r="G65" s="16"/>
      <c r="H65" s="16"/>
      <c r="I65" s="16"/>
      <c r="J65" s="16"/>
      <c r="K65" s="16"/>
      <c r="L65" s="16"/>
      <c r="M65" s="16"/>
      <c r="N65" s="27"/>
    </row>
    <row r="66" spans="1:14" x14ac:dyDescent="0.2">
      <c r="A66" s="24"/>
      <c r="B66" s="26" t="s">
        <v>429</v>
      </c>
      <c r="C66" s="15" t="s">
        <v>898</v>
      </c>
      <c r="D66" s="15"/>
      <c r="E66" s="16"/>
      <c r="F66" s="16"/>
      <c r="G66" s="16"/>
      <c r="H66" s="16"/>
      <c r="I66" s="16"/>
      <c r="J66" s="16"/>
      <c r="K66" s="16"/>
      <c r="L66" s="16"/>
      <c r="M66" s="16"/>
      <c r="N66" s="27"/>
    </row>
    <row r="67" spans="1:14" x14ac:dyDescent="0.2">
      <c r="A67" s="24"/>
      <c r="B67" s="26" t="s">
        <v>427</v>
      </c>
      <c r="C67" s="416" t="s">
        <v>473</v>
      </c>
      <c r="D67" s="416"/>
      <c r="E67" s="416"/>
      <c r="F67" s="416"/>
      <c r="G67" s="416"/>
      <c r="H67" s="416"/>
      <c r="I67" s="416"/>
      <c r="J67" s="416"/>
      <c r="K67" s="416"/>
      <c r="L67" s="416"/>
      <c r="M67" s="416"/>
      <c r="N67" s="417"/>
    </row>
    <row r="68" spans="1:14" x14ac:dyDescent="0.2">
      <c r="A68" s="24"/>
      <c r="B68" s="15"/>
      <c r="C68" s="416"/>
      <c r="D68" s="416"/>
      <c r="E68" s="416"/>
      <c r="F68" s="416"/>
      <c r="G68" s="416"/>
      <c r="H68" s="416"/>
      <c r="I68" s="416"/>
      <c r="J68" s="416"/>
      <c r="K68" s="416"/>
      <c r="L68" s="416"/>
      <c r="M68" s="416"/>
      <c r="N68" s="417"/>
    </row>
    <row r="69" spans="1:14" x14ac:dyDescent="0.2">
      <c r="A69" s="24"/>
      <c r="B69" s="15"/>
      <c r="C69" s="416"/>
      <c r="D69" s="416"/>
      <c r="E69" s="416"/>
      <c r="F69" s="416"/>
      <c r="G69" s="416"/>
      <c r="H69" s="416"/>
      <c r="I69" s="416"/>
      <c r="J69" s="416"/>
      <c r="K69" s="416"/>
      <c r="L69" s="416"/>
      <c r="M69" s="416"/>
      <c r="N69" s="417"/>
    </row>
    <row r="70" spans="1:14" x14ac:dyDescent="0.2">
      <c r="A70" s="24"/>
      <c r="B70" s="15"/>
      <c r="C70" s="419"/>
      <c r="D70" s="419"/>
      <c r="E70" s="419"/>
      <c r="F70" s="419"/>
      <c r="G70" s="419"/>
      <c r="H70" s="419"/>
      <c r="I70" s="419"/>
      <c r="J70" s="419"/>
      <c r="K70" s="419"/>
      <c r="L70" s="419"/>
      <c r="M70" s="419"/>
      <c r="N70" s="420"/>
    </row>
    <row r="71" spans="1:14" ht="13.5" thickBot="1" x14ac:dyDescent="0.25">
      <c r="A71" s="24"/>
      <c r="B71" s="26" t="s">
        <v>426</v>
      </c>
      <c r="C71" s="15" t="s">
        <v>605</v>
      </c>
      <c r="D71" s="15"/>
      <c r="E71" s="16"/>
      <c r="F71" s="16"/>
      <c r="G71" s="16"/>
      <c r="H71" s="16"/>
      <c r="I71" s="16"/>
      <c r="J71" s="16"/>
      <c r="K71" s="16"/>
      <c r="L71" s="16"/>
      <c r="M71" s="16"/>
      <c r="N71" s="27"/>
    </row>
    <row r="72" spans="1:14" x14ac:dyDescent="0.2">
      <c r="A72" s="20"/>
      <c r="B72" s="21" t="s">
        <v>263</v>
      </c>
      <c r="C72" s="21"/>
      <c r="D72" s="21"/>
      <c r="E72" s="22"/>
      <c r="F72" s="22"/>
      <c r="G72" s="22"/>
      <c r="H72" s="22"/>
      <c r="I72" s="22"/>
      <c r="J72" s="32" t="s">
        <v>2169</v>
      </c>
      <c r="K72" s="32" t="s">
        <v>2171</v>
      </c>
      <c r="L72" s="32" t="s">
        <v>1425</v>
      </c>
      <c r="M72" s="32" t="s">
        <v>2172</v>
      </c>
      <c r="N72" s="33"/>
    </row>
    <row r="73" spans="1:14" ht="13.5" thickBot="1" x14ac:dyDescent="0.25">
      <c r="A73" s="28"/>
      <c r="B73" s="29"/>
      <c r="C73" s="29"/>
      <c r="D73" s="29"/>
      <c r="E73" s="30"/>
      <c r="F73" s="30"/>
      <c r="G73" s="30"/>
      <c r="H73" s="30"/>
      <c r="I73" s="30"/>
      <c r="J73" s="35" t="s">
        <v>2170</v>
      </c>
      <c r="K73" s="35" t="s">
        <v>1575</v>
      </c>
      <c r="L73" s="35" t="s">
        <v>296</v>
      </c>
      <c r="M73" s="35" t="s">
        <v>2038</v>
      </c>
      <c r="N73" s="36" t="s">
        <v>2173</v>
      </c>
    </row>
    <row r="74" spans="1:14" x14ac:dyDescent="0.2">
      <c r="A74" s="24"/>
      <c r="B74" s="411" t="s">
        <v>67</v>
      </c>
      <c r="C74" s="411"/>
      <c r="D74" s="411"/>
      <c r="E74" s="16"/>
      <c r="F74" s="16" t="s">
        <v>1180</v>
      </c>
      <c r="G74" s="16" t="s">
        <v>1484</v>
      </c>
      <c r="H74" s="16" t="s">
        <v>702</v>
      </c>
      <c r="I74" s="16"/>
      <c r="J74" s="66">
        <f>100.8/ATHENS!O1*ATHENS!O2</f>
        <v>205.71428571428572</v>
      </c>
      <c r="K74" s="66">
        <f>64.5/ATHENS!O1*ATHENS!O2</f>
        <v>131.63265306122449</v>
      </c>
      <c r="L74" s="66">
        <f>84.5/ATHENS!O1*ATHENS!O2</f>
        <v>172.44897959183675</v>
      </c>
      <c r="M74" s="66">
        <f>171.5/ATHENS!O1*ATHENS!O2</f>
        <v>350</v>
      </c>
      <c r="N74" s="40">
        <f>191/ATHENS!O1*ATHENS!O2</f>
        <v>389.79591836734693</v>
      </c>
    </row>
    <row r="75" spans="1:14" x14ac:dyDescent="0.2">
      <c r="A75" s="24"/>
      <c r="B75" s="411" t="s">
        <v>67</v>
      </c>
      <c r="C75" s="411"/>
      <c r="D75" s="411"/>
      <c r="E75" s="16"/>
      <c r="F75" s="16" t="s">
        <v>1181</v>
      </c>
      <c r="G75" s="16" t="s">
        <v>1484</v>
      </c>
      <c r="H75" s="16" t="s">
        <v>702</v>
      </c>
      <c r="I75" s="16"/>
      <c r="J75" s="66">
        <f>50.5/ATHENS!O1*ATHENS!O2</f>
        <v>103.06122448979592</v>
      </c>
      <c r="K75" s="66">
        <f>64.5/ATHENS!O1*ATHENS!O2</f>
        <v>131.63265306122449</v>
      </c>
      <c r="L75" s="66">
        <f>84.5/ATHENS!O1*ATHENS!O2</f>
        <v>172.44897959183675</v>
      </c>
      <c r="M75" s="66">
        <f>106.9/ATHENS!O1*ATHENS!O2</f>
        <v>218.16326530612247</v>
      </c>
      <c r="N75" s="40">
        <f>120/ATHENS!O1*ATHENS!O2</f>
        <v>244.89795918367346</v>
      </c>
    </row>
    <row r="76" spans="1:14" x14ac:dyDescent="0.2">
      <c r="A76" s="24"/>
      <c r="B76" s="411" t="s">
        <v>67</v>
      </c>
      <c r="C76" s="411"/>
      <c r="D76" s="411"/>
      <c r="E76" s="16"/>
      <c r="F76" s="16" t="s">
        <v>1182</v>
      </c>
      <c r="G76" s="16" t="s">
        <v>1484</v>
      </c>
      <c r="H76" s="16" t="s">
        <v>702</v>
      </c>
      <c r="I76" s="16"/>
      <c r="J76" s="66">
        <f>42.5/ATHENS!O1*ATHENS!O2</f>
        <v>86.734693877551024</v>
      </c>
      <c r="K76" s="66">
        <f>53.7/ATHENS!O1*ATHENS!O2</f>
        <v>109.59183673469389</v>
      </c>
      <c r="L76" s="66">
        <f>70.5/ATHENS!O1*ATHENS!O2</f>
        <v>143.87755102040816</v>
      </c>
      <c r="M76" s="66">
        <f>89.5/ATHENS!O1*ATHENS!O2</f>
        <v>182.65306122448979</v>
      </c>
      <c r="N76" s="40">
        <f>100/ATHENS!O1*ATHENS!O2</f>
        <v>204.08163265306123</v>
      </c>
    </row>
    <row r="77" spans="1:14" ht="13.5" thickBot="1" x14ac:dyDescent="0.25">
      <c r="A77" s="28"/>
      <c r="B77" s="418" t="s">
        <v>902</v>
      </c>
      <c r="C77" s="418"/>
      <c r="D77" s="418"/>
      <c r="E77" s="30"/>
      <c r="F77" s="30"/>
      <c r="G77" s="30"/>
      <c r="H77" s="30" t="s">
        <v>702</v>
      </c>
      <c r="I77" s="30"/>
      <c r="J77" s="67">
        <f>22/ATHENS!O1*ATHENS!O2</f>
        <v>44.897959183673471</v>
      </c>
      <c r="K77" s="67">
        <f>22/ATHENS!O1*ATHENS!O2</f>
        <v>44.897959183673471</v>
      </c>
      <c r="L77" s="67">
        <f>22/ATHENS!O1*ATHENS!O2</f>
        <v>44.897959183673471</v>
      </c>
      <c r="M77" s="67">
        <f>22/ATHENS!O1*ATHENS!O2</f>
        <v>44.897959183673471</v>
      </c>
      <c r="N77" s="42">
        <f>22/ATHENS!O1*ATHENS!O2</f>
        <v>44.897959183673471</v>
      </c>
    </row>
    <row r="78" spans="1:14" ht="9" customHeight="1" x14ac:dyDescent="0.2">
      <c r="A78" s="14"/>
      <c r="B78" s="15"/>
      <c r="C78" s="15"/>
      <c r="D78" s="15"/>
      <c r="E78" s="16"/>
      <c r="F78" s="16"/>
      <c r="G78" s="16"/>
      <c r="H78" s="16"/>
      <c r="I78" s="16"/>
      <c r="J78" s="16"/>
      <c r="K78" s="16"/>
      <c r="L78" s="16"/>
      <c r="M78" s="16"/>
      <c r="N78" s="16"/>
    </row>
    <row r="79" spans="1:14" x14ac:dyDescent="0.2">
      <c r="A79" s="14"/>
      <c r="B79" s="15"/>
      <c r="C79" s="15"/>
      <c r="D79" s="15"/>
      <c r="E79" s="16"/>
      <c r="F79" s="16"/>
      <c r="G79" s="16"/>
      <c r="H79" s="16"/>
      <c r="I79" s="16"/>
      <c r="J79" s="16"/>
      <c r="K79" s="16"/>
      <c r="L79" s="16"/>
      <c r="M79" s="16"/>
      <c r="N79" s="16"/>
    </row>
    <row r="80" spans="1:14" ht="13.5" thickBot="1" x14ac:dyDescent="0.25">
      <c r="A80" s="14"/>
      <c r="B80" s="15"/>
      <c r="C80" s="15"/>
      <c r="D80" s="15"/>
      <c r="E80" s="16"/>
      <c r="F80" s="16"/>
      <c r="G80" s="16"/>
      <c r="H80" s="16"/>
      <c r="I80" s="16"/>
      <c r="J80" s="16"/>
      <c r="K80" s="16"/>
      <c r="L80" s="16"/>
      <c r="M80" s="16"/>
      <c r="N80" s="16"/>
    </row>
    <row r="81" spans="1:14" x14ac:dyDescent="0.2">
      <c r="A81" s="20"/>
      <c r="B81" s="21"/>
      <c r="C81" s="21"/>
      <c r="D81" s="21"/>
      <c r="E81" s="22"/>
      <c r="F81" s="22"/>
      <c r="G81" s="22"/>
      <c r="H81" s="22"/>
      <c r="I81" s="22"/>
      <c r="J81" s="22"/>
      <c r="K81" s="22"/>
      <c r="L81" s="22"/>
      <c r="M81" s="22"/>
      <c r="N81" s="23"/>
    </row>
    <row r="82" spans="1:14" ht="15" x14ac:dyDescent="0.2">
      <c r="A82" s="24"/>
      <c r="B82" s="413" t="s">
        <v>1674</v>
      </c>
      <c r="C82" s="414"/>
      <c r="D82" s="414"/>
      <c r="E82" s="414"/>
      <c r="F82" s="414"/>
      <c r="G82" s="414"/>
      <c r="H82" s="414"/>
      <c r="I82" s="414"/>
      <c r="J82" s="414"/>
      <c r="K82" s="414"/>
      <c r="L82" s="414"/>
      <c r="M82" s="415"/>
      <c r="N82" s="25" t="s">
        <v>96</v>
      </c>
    </row>
    <row r="83" spans="1:14" x14ac:dyDescent="0.2">
      <c r="A83" s="24"/>
      <c r="B83" s="26" t="s">
        <v>428</v>
      </c>
      <c r="C83" s="59" t="s">
        <v>1675</v>
      </c>
      <c r="D83" s="15"/>
      <c r="E83" s="16"/>
      <c r="F83" s="16"/>
      <c r="G83" s="16"/>
      <c r="H83" s="16"/>
      <c r="I83" s="16"/>
      <c r="J83" s="16"/>
      <c r="K83" s="16"/>
      <c r="L83" s="16"/>
      <c r="M83" s="16"/>
      <c r="N83" s="27"/>
    </row>
    <row r="84" spans="1:14" x14ac:dyDescent="0.2">
      <c r="A84" s="24"/>
      <c r="B84" s="26" t="s">
        <v>429</v>
      </c>
      <c r="C84" s="15" t="s">
        <v>1673</v>
      </c>
      <c r="D84" s="15"/>
      <c r="E84" s="16"/>
      <c r="F84" s="16"/>
      <c r="G84" s="16"/>
      <c r="H84" s="16"/>
      <c r="I84" s="16"/>
      <c r="J84" s="16"/>
      <c r="K84" s="16"/>
      <c r="L84" s="16"/>
      <c r="M84" s="16"/>
      <c r="N84" s="27"/>
    </row>
    <row r="85" spans="1:14" x14ac:dyDescent="0.2">
      <c r="A85" s="24"/>
      <c r="B85" s="26" t="s">
        <v>427</v>
      </c>
      <c r="C85" s="416" t="s">
        <v>1676</v>
      </c>
      <c r="D85" s="416"/>
      <c r="E85" s="416"/>
      <c r="F85" s="416"/>
      <c r="G85" s="416"/>
      <c r="H85" s="416"/>
      <c r="I85" s="416"/>
      <c r="J85" s="416"/>
      <c r="K85" s="416"/>
      <c r="L85" s="416"/>
      <c r="M85" s="416"/>
      <c r="N85" s="417"/>
    </row>
    <row r="86" spans="1:14" x14ac:dyDescent="0.2">
      <c r="A86" s="24"/>
      <c r="B86" s="15"/>
      <c r="C86" s="416"/>
      <c r="D86" s="416"/>
      <c r="E86" s="416"/>
      <c r="F86" s="416"/>
      <c r="G86" s="416"/>
      <c r="H86" s="416"/>
      <c r="I86" s="416"/>
      <c r="J86" s="416"/>
      <c r="K86" s="416"/>
      <c r="L86" s="416"/>
      <c r="M86" s="416"/>
      <c r="N86" s="417"/>
    </row>
    <row r="87" spans="1:14" x14ac:dyDescent="0.2">
      <c r="A87" s="24"/>
      <c r="B87" s="26" t="s">
        <v>426</v>
      </c>
      <c r="C87" s="59" t="s">
        <v>1675</v>
      </c>
      <c r="D87" s="15"/>
      <c r="E87" s="16"/>
      <c r="F87" s="16"/>
      <c r="G87" s="16"/>
      <c r="H87" s="16"/>
      <c r="I87" s="16"/>
      <c r="J87" s="16"/>
      <c r="K87" s="16"/>
      <c r="L87" s="16"/>
      <c r="M87" s="16"/>
      <c r="N87" s="27"/>
    </row>
    <row r="88" spans="1:14" ht="13.5" thickBot="1" x14ac:dyDescent="0.25">
      <c r="A88" s="28"/>
      <c r="B88" s="26" t="s">
        <v>430</v>
      </c>
      <c r="C88" s="29"/>
      <c r="D88" s="29"/>
      <c r="E88" s="30"/>
      <c r="F88" s="30"/>
      <c r="G88" s="30"/>
      <c r="H88" s="30"/>
      <c r="I88" s="30"/>
      <c r="J88" s="30"/>
      <c r="K88" s="30"/>
      <c r="L88" s="30"/>
      <c r="M88" s="30"/>
      <c r="N88" s="31"/>
    </row>
    <row r="89" spans="1:14" x14ac:dyDescent="0.2">
      <c r="A89" s="24"/>
      <c r="B89" s="21" t="s">
        <v>263</v>
      </c>
      <c r="C89" s="15"/>
      <c r="D89" s="15"/>
      <c r="E89" s="16"/>
      <c r="F89" s="16"/>
      <c r="G89" s="16"/>
      <c r="H89" s="16"/>
      <c r="I89" s="16"/>
      <c r="J89" s="58" t="s">
        <v>2174</v>
      </c>
      <c r="K89" s="55" t="s">
        <v>2175</v>
      </c>
      <c r="L89" s="55"/>
      <c r="M89" s="55"/>
      <c r="N89" s="55"/>
    </row>
    <row r="90" spans="1:14" ht="13.5" thickBot="1" x14ac:dyDescent="0.25">
      <c r="A90" s="28"/>
      <c r="B90" s="29"/>
      <c r="C90" s="29"/>
      <c r="D90" s="29"/>
      <c r="E90" s="30"/>
      <c r="F90" s="30"/>
      <c r="G90" s="30"/>
      <c r="H90" s="30"/>
      <c r="I90" s="30"/>
      <c r="J90" s="44" t="s">
        <v>1430</v>
      </c>
      <c r="K90" s="36" t="s">
        <v>2176</v>
      </c>
      <c r="L90" s="36" t="s">
        <v>2177</v>
      </c>
      <c r="M90" s="36"/>
      <c r="N90" s="36"/>
    </row>
    <row r="91" spans="1:14" x14ac:dyDescent="0.2">
      <c r="A91" s="20"/>
      <c r="B91" s="412" t="s">
        <v>67</v>
      </c>
      <c r="C91" s="412"/>
      <c r="D91" s="412"/>
      <c r="E91" s="22"/>
      <c r="F91" s="22" t="s">
        <v>1180</v>
      </c>
      <c r="G91" s="22" t="s">
        <v>1484</v>
      </c>
      <c r="H91" s="22" t="s">
        <v>702</v>
      </c>
      <c r="I91" s="16"/>
      <c r="J91" s="66">
        <f>52.7/ATHENS!O1*ATHENS!O2</f>
        <v>107.55102040816327</v>
      </c>
      <c r="K91" s="66">
        <f>74.5/ATHENS!O1*ATHENS!O2</f>
        <v>152.0408163265306</v>
      </c>
      <c r="L91" s="40">
        <f>93/ATHENS!O1*ATHENS!O2</f>
        <v>189.79591836734693</v>
      </c>
      <c r="M91" s="38"/>
      <c r="N91" s="38"/>
    </row>
    <row r="92" spans="1:14" x14ac:dyDescent="0.2">
      <c r="A92" s="24"/>
      <c r="B92" s="411" t="s">
        <v>67</v>
      </c>
      <c r="C92" s="411"/>
      <c r="D92" s="411"/>
      <c r="E92" s="16"/>
      <c r="F92" s="16" t="s">
        <v>1181</v>
      </c>
      <c r="G92" s="16" t="s">
        <v>1484</v>
      </c>
      <c r="H92" s="16" t="s">
        <v>702</v>
      </c>
      <c r="I92" s="16"/>
      <c r="J92" s="66">
        <f>34.5/ATHENS!O1*ATHENS!O2</f>
        <v>70.408163265306129</v>
      </c>
      <c r="K92" s="66">
        <f>49.9/ATHENS!O1*ATHENS!O2</f>
        <v>101.83673469387755</v>
      </c>
      <c r="L92" s="40">
        <f>65/ATHENS!O1*ATHENS!O2</f>
        <v>132.65306122448979</v>
      </c>
      <c r="M92" s="40"/>
      <c r="N92" s="40"/>
    </row>
    <row r="93" spans="1:14" x14ac:dyDescent="0.2">
      <c r="A93" s="24"/>
      <c r="B93" s="59" t="s">
        <v>67</v>
      </c>
      <c r="C93" s="15"/>
      <c r="D93" s="15"/>
      <c r="E93" s="16"/>
      <c r="F93" s="16" t="s">
        <v>1182</v>
      </c>
      <c r="G93" s="16" t="s">
        <v>1484</v>
      </c>
      <c r="H93" s="16" t="s">
        <v>702</v>
      </c>
      <c r="I93" s="16"/>
      <c r="J93" s="66">
        <f>30.9/ATHENS!O1*ATHENS!O2</f>
        <v>63.061224489795919</v>
      </c>
      <c r="K93" s="66">
        <f>44.9/ATHENS!O1*ATHENS!O2</f>
        <v>91.632653061224488</v>
      </c>
      <c r="L93" s="40">
        <f>59/ATHENS!O1*ATHENS!O2</f>
        <v>120.40816326530613</v>
      </c>
      <c r="M93" s="40"/>
      <c r="N93" s="40"/>
    </row>
    <row r="94" spans="1:14" ht="13.5" thickBot="1" x14ac:dyDescent="0.25">
      <c r="A94" s="28"/>
      <c r="B94" s="418" t="s">
        <v>902</v>
      </c>
      <c r="C94" s="418"/>
      <c r="D94" s="418"/>
      <c r="E94" s="30"/>
      <c r="F94" s="80"/>
      <c r="G94" s="80"/>
      <c r="H94" s="30" t="s">
        <v>702</v>
      </c>
      <c r="I94" s="30"/>
      <c r="J94" s="67">
        <f>17.5/ATHENS!O1*ATHENS!O2</f>
        <v>35.714285714285715</v>
      </c>
      <c r="K94" s="67">
        <f>17.5/ATHENS!O1*ATHENS!O2</f>
        <v>35.714285714285715</v>
      </c>
      <c r="L94" s="42">
        <f>18/ATHENS!O1*ATHENS!O2</f>
        <v>36.734693877551024</v>
      </c>
      <c r="M94" s="42"/>
      <c r="N94" s="42"/>
    </row>
    <row r="95" spans="1:14" x14ac:dyDescent="0.2">
      <c r="A95" s="14"/>
      <c r="B95" s="15"/>
      <c r="C95" s="15"/>
      <c r="D95" s="15"/>
      <c r="E95" s="16"/>
      <c r="F95" s="16"/>
      <c r="G95" s="16"/>
      <c r="H95" s="16"/>
      <c r="I95" s="16"/>
      <c r="J95" s="16"/>
      <c r="K95" s="16"/>
      <c r="L95" s="16"/>
      <c r="M95" s="16"/>
      <c r="N95" s="16"/>
    </row>
    <row r="96" spans="1:14" ht="13.5" thickBot="1" x14ac:dyDescent="0.25">
      <c r="A96" s="14"/>
      <c r="B96" s="15"/>
      <c r="C96" s="15"/>
      <c r="D96" s="15"/>
      <c r="E96" s="16"/>
      <c r="F96" s="16"/>
      <c r="G96" s="16"/>
      <c r="H96" s="16"/>
      <c r="I96" s="16"/>
      <c r="J96" s="16"/>
      <c r="K96" s="16"/>
      <c r="L96" s="16"/>
      <c r="M96" s="16"/>
      <c r="N96" s="16"/>
    </row>
    <row r="97" spans="1:14" x14ac:dyDescent="0.2">
      <c r="A97" s="20"/>
      <c r="B97" s="21"/>
      <c r="C97" s="21"/>
      <c r="D97" s="21"/>
      <c r="E97" s="22"/>
      <c r="F97" s="22"/>
      <c r="G97" s="22"/>
      <c r="H97" s="22"/>
      <c r="I97" s="22"/>
      <c r="J97" s="22"/>
      <c r="K97" s="22"/>
      <c r="L97" s="22"/>
      <c r="M97" s="22"/>
      <c r="N97" s="23"/>
    </row>
    <row r="98" spans="1:14" ht="15" x14ac:dyDescent="0.2">
      <c r="A98" s="24"/>
      <c r="B98" s="413" t="s">
        <v>1647</v>
      </c>
      <c r="C98" s="414"/>
      <c r="D98" s="414"/>
      <c r="E98" s="414"/>
      <c r="F98" s="414"/>
      <c r="G98" s="414"/>
      <c r="H98" s="414"/>
      <c r="I98" s="414"/>
      <c r="J98" s="414"/>
      <c r="K98" s="414"/>
      <c r="L98" s="414"/>
      <c r="M98" s="415"/>
      <c r="N98" s="25" t="s">
        <v>96</v>
      </c>
    </row>
    <row r="99" spans="1:14" x14ac:dyDescent="0.2">
      <c r="A99" s="24"/>
      <c r="B99" s="26" t="s">
        <v>428</v>
      </c>
      <c r="C99" s="15" t="s">
        <v>606</v>
      </c>
      <c r="D99" s="15"/>
      <c r="E99" s="16"/>
      <c r="F99" s="16"/>
      <c r="G99" s="16"/>
      <c r="H99" s="16"/>
      <c r="I99" s="16"/>
      <c r="J99" s="16"/>
      <c r="K99" s="16"/>
      <c r="L99" s="16"/>
      <c r="M99" s="16"/>
      <c r="N99" s="27"/>
    </row>
    <row r="100" spans="1:14" x14ac:dyDescent="0.2">
      <c r="A100" s="24"/>
      <c r="B100" s="26" t="s">
        <v>429</v>
      </c>
      <c r="C100" s="15" t="s">
        <v>1162</v>
      </c>
      <c r="D100" s="15"/>
      <c r="E100" s="16"/>
      <c r="F100" s="16"/>
      <c r="G100" s="16"/>
      <c r="H100" s="16"/>
      <c r="I100" s="16"/>
      <c r="J100" s="16"/>
      <c r="K100" s="16"/>
      <c r="L100" s="16"/>
      <c r="M100" s="16"/>
      <c r="N100" s="27"/>
    </row>
    <row r="101" spans="1:14" x14ac:dyDescent="0.2">
      <c r="A101" s="24"/>
      <c r="B101" s="26" t="s">
        <v>427</v>
      </c>
      <c r="C101" s="416" t="s">
        <v>1239</v>
      </c>
      <c r="D101" s="416"/>
      <c r="E101" s="416"/>
      <c r="F101" s="416"/>
      <c r="G101" s="416"/>
      <c r="H101" s="416"/>
      <c r="I101" s="416"/>
      <c r="J101" s="416"/>
      <c r="K101" s="416"/>
      <c r="L101" s="416"/>
      <c r="M101" s="416"/>
      <c r="N101" s="417"/>
    </row>
    <row r="102" spans="1:14" x14ac:dyDescent="0.2">
      <c r="A102" s="24"/>
      <c r="B102" s="15"/>
      <c r="C102" s="416"/>
      <c r="D102" s="416"/>
      <c r="E102" s="416"/>
      <c r="F102" s="416"/>
      <c r="G102" s="416"/>
      <c r="H102" s="416"/>
      <c r="I102" s="416"/>
      <c r="J102" s="416"/>
      <c r="K102" s="416"/>
      <c r="L102" s="416"/>
      <c r="M102" s="416"/>
      <c r="N102" s="417"/>
    </row>
    <row r="103" spans="1:14" x14ac:dyDescent="0.2">
      <c r="A103" s="24"/>
      <c r="B103" s="15"/>
      <c r="C103" s="416"/>
      <c r="D103" s="416"/>
      <c r="E103" s="416"/>
      <c r="F103" s="416"/>
      <c r="G103" s="416"/>
      <c r="H103" s="416"/>
      <c r="I103" s="416"/>
      <c r="J103" s="416"/>
      <c r="K103" s="416"/>
      <c r="L103" s="416"/>
      <c r="M103" s="416"/>
      <c r="N103" s="417"/>
    </row>
    <row r="104" spans="1:14" x14ac:dyDescent="0.2">
      <c r="A104" s="24"/>
      <c r="B104" s="15"/>
      <c r="C104" s="419"/>
      <c r="D104" s="419"/>
      <c r="E104" s="419"/>
      <c r="F104" s="419"/>
      <c r="G104" s="419"/>
      <c r="H104" s="419"/>
      <c r="I104" s="419"/>
      <c r="J104" s="419"/>
      <c r="K104" s="419"/>
      <c r="L104" s="419"/>
      <c r="M104" s="419"/>
      <c r="N104" s="420"/>
    </row>
    <row r="105" spans="1:14" x14ac:dyDescent="0.2">
      <c r="A105" s="24"/>
      <c r="B105" s="15"/>
      <c r="C105" s="419"/>
      <c r="D105" s="419"/>
      <c r="E105" s="419"/>
      <c r="F105" s="419"/>
      <c r="G105" s="419"/>
      <c r="H105" s="419"/>
      <c r="I105" s="419"/>
      <c r="J105" s="419"/>
      <c r="K105" s="419"/>
      <c r="L105" s="419"/>
      <c r="M105" s="419"/>
      <c r="N105" s="420"/>
    </row>
    <row r="106" spans="1:14" x14ac:dyDescent="0.2">
      <c r="A106" s="24"/>
      <c r="B106" s="26" t="s">
        <v>426</v>
      </c>
      <c r="C106" s="15" t="s">
        <v>665</v>
      </c>
      <c r="D106" s="15"/>
      <c r="E106" s="16"/>
      <c r="F106" s="16"/>
      <c r="G106" s="16"/>
      <c r="H106" s="16"/>
      <c r="I106" s="16"/>
      <c r="J106" s="16"/>
      <c r="K106" s="16"/>
      <c r="L106" s="16"/>
      <c r="M106" s="16"/>
      <c r="N106" s="27"/>
    </row>
    <row r="107" spans="1:14" ht="13.5" thickBot="1" x14ac:dyDescent="0.25">
      <c r="A107" s="28"/>
      <c r="B107" s="26" t="s">
        <v>430</v>
      </c>
      <c r="C107" s="29" t="s">
        <v>919</v>
      </c>
      <c r="D107" s="29"/>
      <c r="E107" s="30"/>
      <c r="F107" s="30"/>
      <c r="G107" s="30"/>
      <c r="H107" s="30"/>
      <c r="I107" s="30"/>
      <c r="J107" s="30"/>
      <c r="K107" s="30"/>
      <c r="L107" s="30"/>
      <c r="M107" s="30"/>
      <c r="N107" s="31"/>
    </row>
    <row r="108" spans="1:14" x14ac:dyDescent="0.2">
      <c r="A108" s="24"/>
      <c r="B108" s="21" t="s">
        <v>263</v>
      </c>
      <c r="C108" s="15"/>
      <c r="D108" s="15"/>
      <c r="E108" s="16"/>
      <c r="F108" s="16"/>
      <c r="G108" s="16"/>
      <c r="H108" s="16"/>
      <c r="I108" s="16"/>
      <c r="J108" s="58" t="s">
        <v>87</v>
      </c>
      <c r="K108" s="58" t="s">
        <v>279</v>
      </c>
      <c r="L108" s="55" t="s">
        <v>820</v>
      </c>
      <c r="M108" s="58"/>
      <c r="N108" s="55"/>
    </row>
    <row r="109" spans="1:14" ht="13.5" thickBot="1" x14ac:dyDescent="0.25">
      <c r="A109" s="28"/>
      <c r="B109" s="29"/>
      <c r="C109" s="29"/>
      <c r="D109" s="29"/>
      <c r="E109" s="30"/>
      <c r="F109" s="30"/>
      <c r="G109" s="30"/>
      <c r="H109" s="30"/>
      <c r="I109" s="30"/>
      <c r="J109" s="35" t="s">
        <v>1568</v>
      </c>
      <c r="K109" s="35" t="s">
        <v>523</v>
      </c>
      <c r="L109" s="35" t="s">
        <v>398</v>
      </c>
      <c r="M109" s="35" t="s">
        <v>1569</v>
      </c>
      <c r="N109" s="36"/>
    </row>
    <row r="110" spans="1:14" x14ac:dyDescent="0.2">
      <c r="A110" s="20"/>
      <c r="B110" s="412" t="s">
        <v>67</v>
      </c>
      <c r="C110" s="412"/>
      <c r="D110" s="412"/>
      <c r="E110" s="22"/>
      <c r="F110" s="22" t="s">
        <v>1180</v>
      </c>
      <c r="G110" s="16" t="s">
        <v>1484</v>
      </c>
      <c r="H110" s="22" t="s">
        <v>702</v>
      </c>
      <c r="I110" s="22"/>
      <c r="J110" s="66">
        <f>51.5/ATHENS!O1*ATHENS!O2</f>
        <v>105.10204081632654</v>
      </c>
      <c r="K110" s="66">
        <f>77/ATHENS!O1*ATHENS!O2</f>
        <v>157.14285714285714</v>
      </c>
      <c r="L110" s="66">
        <f>107.5/ATHENS!O1*ATHENS!O2</f>
        <v>219.38775510204081</v>
      </c>
      <c r="M110" s="66">
        <f>113/ATHENS!O1*ATHENS!O2</f>
        <v>230.61224489795919</v>
      </c>
      <c r="N110" s="38"/>
    </row>
    <row r="111" spans="1:14" x14ac:dyDescent="0.2">
      <c r="A111" s="24"/>
      <c r="B111" s="411" t="s">
        <v>67</v>
      </c>
      <c r="C111" s="411"/>
      <c r="D111" s="411"/>
      <c r="E111" s="16"/>
      <c r="F111" s="16" t="s">
        <v>1181</v>
      </c>
      <c r="G111" s="16" t="s">
        <v>1484</v>
      </c>
      <c r="H111" s="16" t="s">
        <v>702</v>
      </c>
      <c r="I111" s="16"/>
      <c r="J111" s="66">
        <f>31.5/ATHENS!O1*ATHENS!O2</f>
        <v>64.285714285714292</v>
      </c>
      <c r="K111" s="66">
        <f>46/ATHENS!O1*ATHENS!O2</f>
        <v>93.877551020408163</v>
      </c>
      <c r="L111" s="66">
        <f>65.5/ATHENS!O1*ATHENS!O2</f>
        <v>133.67346938775509</v>
      </c>
      <c r="M111" s="66">
        <f>71/ATHENS!O1*ATHENS!O2</f>
        <v>144.89795918367346</v>
      </c>
      <c r="N111" s="40"/>
    </row>
    <row r="112" spans="1:14" x14ac:dyDescent="0.2">
      <c r="A112" s="24"/>
      <c r="B112" s="411" t="s">
        <v>67</v>
      </c>
      <c r="C112" s="411"/>
      <c r="D112" s="411"/>
      <c r="E112" s="16"/>
      <c r="F112" s="16" t="s">
        <v>1182</v>
      </c>
      <c r="G112" s="16" t="s">
        <v>1484</v>
      </c>
      <c r="H112" s="16" t="s">
        <v>702</v>
      </c>
      <c r="I112" s="16"/>
      <c r="J112" s="66">
        <f>28.5/ATHENS!O1*ATHENS!O2</f>
        <v>58.163265306122447</v>
      </c>
      <c r="K112" s="66">
        <f>41.6/ATHENS!O1*ATHENS!O2</f>
        <v>84.897959183673478</v>
      </c>
      <c r="L112" s="66">
        <f>58.9/ATHENS!O1*ATHENS!O2</f>
        <v>120.20408163265306</v>
      </c>
      <c r="M112" s="66">
        <f>63.9/ATHENS!O1*ATHENS!O2</f>
        <v>130.40816326530611</v>
      </c>
      <c r="N112" s="40"/>
    </row>
    <row r="113" spans="1:14" ht="13.5" thickBot="1" x14ac:dyDescent="0.25">
      <c r="A113" s="28"/>
      <c r="B113" s="418" t="s">
        <v>902</v>
      </c>
      <c r="C113" s="418"/>
      <c r="D113" s="418"/>
      <c r="E113" s="30"/>
      <c r="F113" s="30"/>
      <c r="G113" s="30"/>
      <c r="H113" s="30" t="s">
        <v>702</v>
      </c>
      <c r="I113" s="30"/>
      <c r="J113" s="67">
        <f>19/ATHENS!O1*ATHENS!O2</f>
        <v>38.775510204081634</v>
      </c>
      <c r="K113" s="67">
        <f>19/ATHENS!O1*ATHENS!O2</f>
        <v>38.775510204081634</v>
      </c>
      <c r="L113" s="67">
        <f>19/ATHENS!O1*ATHENS!O2</f>
        <v>38.775510204081634</v>
      </c>
      <c r="M113" s="67">
        <f>19/ATHENS!O1*ATHENS!O2</f>
        <v>38.775510204081634</v>
      </c>
      <c r="N113" s="42"/>
    </row>
    <row r="114" spans="1:14" x14ac:dyDescent="0.2">
      <c r="A114" s="14"/>
      <c r="B114" s="15"/>
      <c r="C114" s="15"/>
      <c r="D114" s="15"/>
      <c r="E114" s="16"/>
      <c r="F114" s="16"/>
      <c r="G114" s="16"/>
      <c r="H114" s="16"/>
      <c r="I114" s="16"/>
      <c r="J114" s="16"/>
      <c r="K114" s="16"/>
      <c r="L114" s="16"/>
      <c r="M114" s="16"/>
      <c r="N114" s="16"/>
    </row>
    <row r="115" spans="1:14" x14ac:dyDescent="0.2">
      <c r="A115" s="14"/>
      <c r="B115" s="15"/>
      <c r="C115" s="15"/>
      <c r="D115" s="15"/>
      <c r="E115" s="16"/>
      <c r="F115" s="16"/>
      <c r="G115" s="16"/>
      <c r="H115" s="16"/>
      <c r="I115" s="16"/>
      <c r="J115" s="16"/>
      <c r="K115" s="16"/>
      <c r="L115" s="16"/>
      <c r="M115" s="16"/>
      <c r="N115" s="16"/>
    </row>
    <row r="116" spans="1:14" x14ac:dyDescent="0.2">
      <c r="A116" s="14"/>
      <c r="B116" s="15"/>
      <c r="C116" s="15"/>
      <c r="D116" s="15"/>
      <c r="E116" s="16"/>
      <c r="F116" s="16"/>
      <c r="G116" s="16"/>
      <c r="H116" s="16"/>
      <c r="I116" s="16"/>
      <c r="J116" s="68"/>
      <c r="K116" s="68"/>
      <c r="L116" s="68"/>
      <c r="M116" s="68"/>
      <c r="N116" s="68"/>
    </row>
    <row r="117" spans="1:14" ht="13.5" thickBot="1" x14ac:dyDescent="0.25">
      <c r="A117" s="14"/>
      <c r="B117" s="15"/>
      <c r="C117" s="15"/>
      <c r="D117" s="15"/>
      <c r="E117" s="16"/>
      <c r="F117" s="16"/>
      <c r="G117" s="16"/>
      <c r="H117" s="16"/>
      <c r="I117" s="16"/>
      <c r="J117" s="16"/>
      <c r="K117" s="16"/>
      <c r="L117" s="16"/>
      <c r="M117" s="16"/>
      <c r="N117" s="16"/>
    </row>
    <row r="118" spans="1:14" x14ac:dyDescent="0.2">
      <c r="A118" s="20"/>
      <c r="B118" s="21"/>
      <c r="C118" s="21"/>
      <c r="D118" s="21"/>
      <c r="E118" s="22"/>
      <c r="F118" s="22"/>
      <c r="G118" s="22"/>
      <c r="H118" s="22"/>
      <c r="I118" s="22"/>
      <c r="J118" s="22"/>
      <c r="K118" s="22"/>
      <c r="L118" s="22"/>
      <c r="M118" s="22"/>
      <c r="N118" s="23"/>
    </row>
    <row r="119" spans="1:14" ht="15" x14ac:dyDescent="0.2">
      <c r="A119" s="24"/>
      <c r="B119" s="413" t="s">
        <v>1467</v>
      </c>
      <c r="C119" s="414"/>
      <c r="D119" s="414"/>
      <c r="E119" s="414"/>
      <c r="F119" s="414"/>
      <c r="G119" s="414"/>
      <c r="H119" s="414"/>
      <c r="I119" s="414"/>
      <c r="J119" s="414"/>
      <c r="K119" s="414"/>
      <c r="L119" s="414"/>
      <c r="M119" s="415"/>
      <c r="N119" s="25" t="s">
        <v>664</v>
      </c>
    </row>
    <row r="120" spans="1:14" x14ac:dyDescent="0.2">
      <c r="A120" s="24"/>
      <c r="B120" s="26" t="s">
        <v>428</v>
      </c>
      <c r="C120" s="15" t="s">
        <v>788</v>
      </c>
      <c r="D120" s="15"/>
      <c r="E120" s="16"/>
      <c r="F120" s="16"/>
      <c r="G120" s="16"/>
      <c r="H120" s="16"/>
      <c r="I120" s="16"/>
      <c r="J120" s="16"/>
      <c r="K120" s="16"/>
      <c r="L120" s="16"/>
      <c r="M120" s="16"/>
      <c r="N120" s="27"/>
    </row>
    <row r="121" spans="1:14" x14ac:dyDescent="0.2">
      <c r="A121" s="24"/>
      <c r="B121" s="26" t="s">
        <v>429</v>
      </c>
      <c r="C121" s="15" t="s">
        <v>865</v>
      </c>
      <c r="D121" s="15"/>
      <c r="E121" s="16"/>
      <c r="F121" s="16"/>
      <c r="G121" s="16"/>
      <c r="H121" s="16"/>
      <c r="I121" s="16"/>
      <c r="J121" s="16"/>
      <c r="K121" s="16"/>
      <c r="L121" s="16"/>
      <c r="M121" s="16"/>
      <c r="N121" s="27"/>
    </row>
    <row r="122" spans="1:14" x14ac:dyDescent="0.2">
      <c r="A122" s="24"/>
      <c r="B122" s="26" t="s">
        <v>427</v>
      </c>
      <c r="C122" s="416" t="s">
        <v>1645</v>
      </c>
      <c r="D122" s="416"/>
      <c r="E122" s="416"/>
      <c r="F122" s="416"/>
      <c r="G122" s="416"/>
      <c r="H122" s="416"/>
      <c r="I122" s="416"/>
      <c r="J122" s="416"/>
      <c r="K122" s="416"/>
      <c r="L122" s="416"/>
      <c r="M122" s="416"/>
      <c r="N122" s="417"/>
    </row>
    <row r="123" spans="1:14" x14ac:dyDescent="0.2">
      <c r="A123" s="24"/>
      <c r="B123" s="15"/>
      <c r="C123" s="416"/>
      <c r="D123" s="416"/>
      <c r="E123" s="416"/>
      <c r="F123" s="416"/>
      <c r="G123" s="416"/>
      <c r="H123" s="416"/>
      <c r="I123" s="416"/>
      <c r="J123" s="416"/>
      <c r="K123" s="416"/>
      <c r="L123" s="416"/>
      <c r="M123" s="416"/>
      <c r="N123" s="417"/>
    </row>
    <row r="124" spans="1:14" x14ac:dyDescent="0.2">
      <c r="A124" s="24"/>
      <c r="B124" s="15"/>
      <c r="C124" s="419"/>
      <c r="D124" s="419"/>
      <c r="E124" s="419"/>
      <c r="F124" s="419"/>
      <c r="G124" s="419"/>
      <c r="H124" s="419"/>
      <c r="I124" s="419"/>
      <c r="J124" s="419"/>
      <c r="K124" s="419"/>
      <c r="L124" s="419"/>
      <c r="M124" s="419"/>
      <c r="N124" s="420"/>
    </row>
    <row r="125" spans="1:14" x14ac:dyDescent="0.2">
      <c r="A125" s="24"/>
      <c r="B125" s="15"/>
      <c r="C125" s="419"/>
      <c r="D125" s="419"/>
      <c r="E125" s="419"/>
      <c r="F125" s="419"/>
      <c r="G125" s="419"/>
      <c r="H125" s="419"/>
      <c r="I125" s="419"/>
      <c r="J125" s="419"/>
      <c r="K125" s="419"/>
      <c r="L125" s="419"/>
      <c r="M125" s="419"/>
      <c r="N125" s="420"/>
    </row>
    <row r="126" spans="1:14" x14ac:dyDescent="0.2">
      <c r="A126" s="24"/>
      <c r="B126" s="26" t="s">
        <v>426</v>
      </c>
      <c r="C126" s="15" t="s">
        <v>1163</v>
      </c>
      <c r="D126" s="15"/>
      <c r="E126" s="16"/>
      <c r="F126" s="16"/>
      <c r="G126" s="16"/>
      <c r="H126" s="16"/>
      <c r="I126" s="16"/>
      <c r="J126" s="16"/>
      <c r="K126" s="16"/>
      <c r="L126" s="16"/>
      <c r="M126" s="16"/>
      <c r="N126" s="27"/>
    </row>
    <row r="127" spans="1:14" ht="13.5" thickBot="1" x14ac:dyDescent="0.25">
      <c r="A127" s="28"/>
      <c r="B127" s="43" t="s">
        <v>430</v>
      </c>
      <c r="C127" s="29"/>
      <c r="D127" s="29"/>
      <c r="E127" s="30"/>
      <c r="F127" s="30"/>
      <c r="G127" s="30"/>
      <c r="H127" s="30"/>
      <c r="I127" s="30"/>
      <c r="J127" s="30"/>
      <c r="K127" s="30"/>
      <c r="L127" s="30"/>
      <c r="M127" s="30"/>
      <c r="N127" s="31"/>
    </row>
    <row r="128" spans="1:14" x14ac:dyDescent="0.2">
      <c r="A128" s="20"/>
      <c r="B128" s="21" t="s">
        <v>263</v>
      </c>
      <c r="C128" s="21"/>
      <c r="D128" s="21"/>
      <c r="E128" s="22"/>
      <c r="F128" s="22"/>
      <c r="G128" s="22"/>
      <c r="H128" s="22"/>
      <c r="I128" s="22"/>
      <c r="J128" s="33" t="s">
        <v>758</v>
      </c>
      <c r="K128" s="33" t="s">
        <v>1399</v>
      </c>
      <c r="L128" s="33"/>
      <c r="M128" s="33"/>
      <c r="N128" s="33"/>
    </row>
    <row r="129" spans="1:15" ht="13.5" thickBot="1" x14ac:dyDescent="0.25">
      <c r="A129" s="28"/>
      <c r="B129" s="29"/>
      <c r="C129" s="29"/>
      <c r="D129" s="29"/>
      <c r="E129" s="30"/>
      <c r="F129" s="30"/>
      <c r="G129" s="30"/>
      <c r="H129" s="30"/>
      <c r="I129" s="30"/>
      <c r="J129" s="36" t="s">
        <v>245</v>
      </c>
      <c r="K129" s="36" t="s">
        <v>482</v>
      </c>
      <c r="L129" s="36" t="s">
        <v>2178</v>
      </c>
      <c r="M129" s="36"/>
      <c r="N129" s="36"/>
    </row>
    <row r="130" spans="1:15" x14ac:dyDescent="0.2">
      <c r="A130" s="20"/>
      <c r="B130" s="412" t="s">
        <v>67</v>
      </c>
      <c r="C130" s="412"/>
      <c r="D130" s="412"/>
      <c r="E130" s="22"/>
      <c r="F130" s="22" t="s">
        <v>1180</v>
      </c>
      <c r="G130" s="22" t="s">
        <v>1484</v>
      </c>
      <c r="H130" s="22" t="s">
        <v>702</v>
      </c>
      <c r="I130" s="22"/>
      <c r="J130" s="66">
        <f>47.5/ATHENS!O1*ATHENS!O2</f>
        <v>96.938775510204081</v>
      </c>
      <c r="K130" s="66">
        <f>69.5/ATHENS!O1*ATHENS!O2</f>
        <v>141.83673469387756</v>
      </c>
      <c r="L130" s="66">
        <f>78.5/ATHENS!O1*ATHENS!O2</f>
        <v>160.20408163265307</v>
      </c>
      <c r="M130" s="40"/>
      <c r="N130" s="38"/>
    </row>
    <row r="131" spans="1:15" x14ac:dyDescent="0.2">
      <c r="A131" s="24"/>
      <c r="B131" s="411" t="s">
        <v>67</v>
      </c>
      <c r="C131" s="411"/>
      <c r="D131" s="411"/>
      <c r="E131" s="16"/>
      <c r="F131" s="16" t="s">
        <v>1181</v>
      </c>
      <c r="G131" s="16" t="s">
        <v>1484</v>
      </c>
      <c r="H131" s="16" t="s">
        <v>702</v>
      </c>
      <c r="I131" s="16"/>
      <c r="J131" s="66">
        <f>25.6/ATHENS!O1*ATHENS!O2</f>
        <v>52.244897959183675</v>
      </c>
      <c r="K131" s="66">
        <f>36.8/ATHENS!O1*ATHENS!O2</f>
        <v>75.102040816326522</v>
      </c>
      <c r="L131" s="66">
        <f>55.9/ATHENS!O1*ATHENS!O2</f>
        <v>114.08163265306122</v>
      </c>
      <c r="M131" s="40"/>
      <c r="N131" s="40"/>
    </row>
    <row r="132" spans="1:15" ht="13.5" thickBot="1" x14ac:dyDescent="0.25">
      <c r="A132" s="28"/>
      <c r="B132" s="418" t="s">
        <v>67</v>
      </c>
      <c r="C132" s="418"/>
      <c r="D132" s="418"/>
      <c r="E132" s="30"/>
      <c r="F132" s="30" t="s">
        <v>1182</v>
      </c>
      <c r="G132" s="30" t="s">
        <v>1484</v>
      </c>
      <c r="H132" s="30" t="s">
        <v>702</v>
      </c>
      <c r="I132" s="30"/>
      <c r="J132" s="67">
        <f>23.5/ATHENS!O1*ATHENS!O2</f>
        <v>47.95918367346939</v>
      </c>
      <c r="K132" s="67">
        <f>33.5/ATHENS!O1*ATHENS!O2</f>
        <v>68.367346938775512</v>
      </c>
      <c r="L132" s="67">
        <f>50.5/ATHENS!O1*ATHENS!O2</f>
        <v>103.06122448979592</v>
      </c>
      <c r="M132" s="42"/>
      <c r="N132" s="42"/>
    </row>
    <row r="133" spans="1:15" x14ac:dyDescent="0.2">
      <c r="A133" s="81"/>
      <c r="O133" s="17"/>
    </row>
    <row r="134" spans="1:15" x14ac:dyDescent="0.2">
      <c r="A134" s="81"/>
      <c r="O134" s="17"/>
    </row>
    <row r="135" spans="1:15" x14ac:dyDescent="0.2">
      <c r="A135" s="81"/>
      <c r="O135" s="17"/>
    </row>
    <row r="136" spans="1:15" x14ac:dyDescent="0.2">
      <c r="A136" s="81"/>
      <c r="O136" s="17"/>
    </row>
    <row r="137" spans="1:15" x14ac:dyDescent="0.2">
      <c r="A137" s="81"/>
      <c r="O137" s="17"/>
    </row>
    <row r="138" spans="1:15" x14ac:dyDescent="0.2">
      <c r="A138" s="81"/>
      <c r="O138" s="17"/>
    </row>
    <row r="139" spans="1:15" x14ac:dyDescent="0.2">
      <c r="A139" s="81"/>
      <c r="O139" s="17"/>
    </row>
    <row r="140" spans="1:15" x14ac:dyDescent="0.2">
      <c r="A140" s="81"/>
      <c r="O140" s="17"/>
    </row>
    <row r="141" spans="1:15" x14ac:dyDescent="0.2">
      <c r="A141" s="81"/>
      <c r="O141" s="17"/>
    </row>
    <row r="142" spans="1:15" x14ac:dyDescent="0.2">
      <c r="A142" s="81"/>
      <c r="O142" s="17"/>
    </row>
    <row r="143" spans="1:15" x14ac:dyDescent="0.2">
      <c r="A143" s="81"/>
      <c r="O143" s="17"/>
    </row>
    <row r="144" spans="1:15" x14ac:dyDescent="0.2">
      <c r="A144" s="81"/>
      <c r="O144" s="17"/>
    </row>
    <row r="145" spans="1:15" x14ac:dyDescent="0.2">
      <c r="A145" s="81"/>
      <c r="O145" s="17"/>
    </row>
    <row r="146" spans="1:15" x14ac:dyDescent="0.2">
      <c r="A146" s="81"/>
      <c r="O146" s="17"/>
    </row>
    <row r="147" spans="1:15" x14ac:dyDescent="0.2">
      <c r="A147" s="81"/>
      <c r="O147" s="17"/>
    </row>
    <row r="148" spans="1:15" x14ac:dyDescent="0.2">
      <c r="A148" s="81"/>
      <c r="O148" s="17"/>
    </row>
    <row r="149" spans="1:15" x14ac:dyDescent="0.2">
      <c r="A149" s="81"/>
      <c r="O149" s="17"/>
    </row>
    <row r="150" spans="1:15" x14ac:dyDescent="0.2">
      <c r="A150" s="81"/>
      <c r="O150" s="17"/>
    </row>
    <row r="151" spans="1:15" x14ac:dyDescent="0.2">
      <c r="A151" s="81"/>
      <c r="O151" s="17"/>
    </row>
    <row r="152" spans="1:15" x14ac:dyDescent="0.2">
      <c r="A152" s="81"/>
      <c r="O152" s="17"/>
    </row>
    <row r="153" spans="1:15" x14ac:dyDescent="0.2">
      <c r="A153" s="81"/>
      <c r="O153" s="17"/>
    </row>
    <row r="154" spans="1:15" x14ac:dyDescent="0.2">
      <c r="A154" s="81"/>
      <c r="O154" s="17"/>
    </row>
    <row r="155" spans="1:15" x14ac:dyDescent="0.2">
      <c r="A155" s="81"/>
      <c r="O155" s="17"/>
    </row>
    <row r="156" spans="1:15" x14ac:dyDescent="0.2">
      <c r="A156" s="81"/>
      <c r="O156" s="17"/>
    </row>
    <row r="157" spans="1:15" x14ac:dyDescent="0.2">
      <c r="A157" s="81"/>
      <c r="O157" s="17"/>
    </row>
    <row r="158" spans="1:15" x14ac:dyDescent="0.2">
      <c r="A158" s="81"/>
      <c r="O158" s="17"/>
    </row>
    <row r="159" spans="1:15" x14ac:dyDescent="0.2">
      <c r="A159" s="81"/>
      <c r="O159" s="17"/>
    </row>
    <row r="160" spans="1:15" x14ac:dyDescent="0.2">
      <c r="A160" s="81"/>
      <c r="O160" s="17"/>
    </row>
    <row r="161" spans="1:15" x14ac:dyDescent="0.2">
      <c r="A161" s="81"/>
      <c r="O161" s="17"/>
    </row>
    <row r="162" spans="1:15" x14ac:dyDescent="0.2">
      <c r="A162" s="81"/>
      <c r="O162" s="17"/>
    </row>
    <row r="163" spans="1:15" x14ac:dyDescent="0.2">
      <c r="A163" s="81"/>
      <c r="O163" s="17"/>
    </row>
    <row r="164" spans="1:15" x14ac:dyDescent="0.2">
      <c r="A164" s="81"/>
      <c r="O164" s="17"/>
    </row>
    <row r="165" spans="1:15" x14ac:dyDescent="0.2">
      <c r="A165" s="81"/>
      <c r="O165" s="17"/>
    </row>
    <row r="166" spans="1:15" x14ac:dyDescent="0.2">
      <c r="A166" s="81"/>
      <c r="O166" s="17"/>
    </row>
    <row r="167" spans="1:15" x14ac:dyDescent="0.2">
      <c r="A167" s="81"/>
      <c r="O167" s="17"/>
    </row>
    <row r="168" spans="1:15" x14ac:dyDescent="0.2">
      <c r="A168" s="81"/>
      <c r="O168" s="17"/>
    </row>
    <row r="169" spans="1:15" x14ac:dyDescent="0.2">
      <c r="A169" s="81"/>
      <c r="O169" s="17"/>
    </row>
    <row r="170" spans="1:15" x14ac:dyDescent="0.2">
      <c r="A170" s="81"/>
      <c r="O170" s="17"/>
    </row>
    <row r="171" spans="1:15" x14ac:dyDescent="0.2">
      <c r="A171" s="81"/>
      <c r="O171" s="17"/>
    </row>
    <row r="172" spans="1:15" x14ac:dyDescent="0.2">
      <c r="A172" s="81"/>
      <c r="O172" s="17"/>
    </row>
    <row r="173" spans="1:15" x14ac:dyDescent="0.2">
      <c r="A173" s="81"/>
      <c r="O173" s="17"/>
    </row>
    <row r="174" spans="1:15" x14ac:dyDescent="0.2">
      <c r="A174" s="81"/>
      <c r="O174" s="17"/>
    </row>
    <row r="175" spans="1:15" x14ac:dyDescent="0.2">
      <c r="A175" s="81"/>
      <c r="O175" s="17"/>
    </row>
    <row r="176" spans="1:15" x14ac:dyDescent="0.2">
      <c r="A176" s="81"/>
      <c r="O176" s="17"/>
    </row>
    <row r="177" spans="1:15" x14ac:dyDescent="0.2">
      <c r="A177" s="81"/>
      <c r="O177" s="17"/>
    </row>
    <row r="178" spans="1:15" x14ac:dyDescent="0.2">
      <c r="A178" s="81"/>
      <c r="O178" s="17"/>
    </row>
    <row r="179" spans="1:15" x14ac:dyDescent="0.2">
      <c r="A179" s="81"/>
      <c r="O179" s="17"/>
    </row>
    <row r="180" spans="1:15" x14ac:dyDescent="0.2">
      <c r="A180" s="81"/>
      <c r="O180" s="17"/>
    </row>
    <row r="181" spans="1:15" x14ac:dyDescent="0.2">
      <c r="A181" s="81"/>
      <c r="O181" s="17"/>
    </row>
    <row r="182" spans="1:15" x14ac:dyDescent="0.2">
      <c r="A182" s="81"/>
      <c r="O182" s="17"/>
    </row>
    <row r="183" spans="1:15" x14ac:dyDescent="0.2">
      <c r="A183" s="81"/>
      <c r="O183" s="17"/>
    </row>
    <row r="184" spans="1:15" x14ac:dyDescent="0.2">
      <c r="A184" s="81"/>
      <c r="O184" s="17"/>
    </row>
    <row r="185" spans="1:15" x14ac:dyDescent="0.2">
      <c r="A185" s="81"/>
      <c r="O185" s="17"/>
    </row>
    <row r="186" spans="1:15" x14ac:dyDescent="0.2">
      <c r="A186" s="81"/>
      <c r="O186" s="17"/>
    </row>
    <row r="187" spans="1:15" x14ac:dyDescent="0.2">
      <c r="A187" s="81"/>
      <c r="O187" s="17"/>
    </row>
    <row r="188" spans="1:15" x14ac:dyDescent="0.2">
      <c r="A188" s="81"/>
      <c r="O188" s="17"/>
    </row>
    <row r="189" spans="1:15" x14ac:dyDescent="0.2">
      <c r="A189" s="81"/>
      <c r="O189" s="17"/>
    </row>
    <row r="190" spans="1:15" x14ac:dyDescent="0.2">
      <c r="A190" s="81"/>
      <c r="O190" s="17"/>
    </row>
    <row r="191" spans="1:15" x14ac:dyDescent="0.2">
      <c r="A191" s="81"/>
      <c r="O191" s="17"/>
    </row>
    <row r="192" spans="1:15" x14ac:dyDescent="0.2">
      <c r="A192" s="81"/>
      <c r="O192" s="17"/>
    </row>
    <row r="193" spans="1:15" x14ac:dyDescent="0.2">
      <c r="A193" s="81"/>
      <c r="O193" s="17"/>
    </row>
    <row r="194" spans="1:15" x14ac:dyDescent="0.2">
      <c r="A194" s="81"/>
      <c r="O194" s="17"/>
    </row>
    <row r="195" spans="1:15" x14ac:dyDescent="0.2">
      <c r="A195" s="81"/>
      <c r="O195" s="17"/>
    </row>
    <row r="196" spans="1:15" x14ac:dyDescent="0.2">
      <c r="A196" s="81"/>
      <c r="O196" s="17"/>
    </row>
    <row r="197" spans="1:15" x14ac:dyDescent="0.2">
      <c r="A197" s="81"/>
      <c r="O197" s="17"/>
    </row>
    <row r="198" spans="1:15" x14ac:dyDescent="0.2">
      <c r="A198" s="81"/>
      <c r="O198" s="17"/>
    </row>
    <row r="199" spans="1:15" x14ac:dyDescent="0.2">
      <c r="A199" s="81"/>
      <c r="O199" s="17"/>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view="pageLayout" topLeftCell="A163">
      <selection activeCell="M51" sqref="M51"/>
      <rowBreaks count="3" manualBreakCount="3">
        <brk id="39" max="16383" man="1"/>
        <brk id="78" max="16383" man="1"/>
        <brk id="114" max="16383" man="1"/>
      </rowBreaks>
      <pageMargins left="0.28125" right="0.25" top="0.6692913385826772" bottom="0.70866141732283472" header="0.23622047244094491" footer="0.47244094488188981"/>
      <printOptions horizontalCentered="1"/>
      <pageSetup paperSize="9" firstPageNumber="29"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45">
    <mergeCell ref="C27:N30"/>
    <mergeCell ref="B36:D36"/>
    <mergeCell ref="B94:D94"/>
    <mergeCell ref="B20:D20"/>
    <mergeCell ref="B38:D38"/>
    <mergeCell ref="B56:D56"/>
    <mergeCell ref="B21:D21"/>
    <mergeCell ref="B55:D55"/>
    <mergeCell ref="B24:M24"/>
    <mergeCell ref="B35:D35"/>
    <mergeCell ref="B77:D77"/>
    <mergeCell ref="B59:D59"/>
    <mergeCell ref="B37:D37"/>
    <mergeCell ref="B54:D54"/>
    <mergeCell ref="B64:M64"/>
    <mergeCell ref="B76:D76"/>
    <mergeCell ref="B2:M2"/>
    <mergeCell ref="B16:D16"/>
    <mergeCell ref="B19:D19"/>
    <mergeCell ref="B17:D17"/>
    <mergeCell ref="B18:D18"/>
    <mergeCell ref="C5:N9"/>
    <mergeCell ref="B75:D75"/>
    <mergeCell ref="B41:M41"/>
    <mergeCell ref="C44:N50"/>
    <mergeCell ref="B57:D57"/>
    <mergeCell ref="B58:D58"/>
    <mergeCell ref="C67:N70"/>
    <mergeCell ref="B74:D74"/>
    <mergeCell ref="B60:D60"/>
    <mergeCell ref="B131:D131"/>
    <mergeCell ref="B132:D132"/>
    <mergeCell ref="C122:N125"/>
    <mergeCell ref="B119:M119"/>
    <mergeCell ref="C101:N105"/>
    <mergeCell ref="B110:D110"/>
    <mergeCell ref="B130:D130"/>
    <mergeCell ref="B113:D113"/>
    <mergeCell ref="B111:D111"/>
    <mergeCell ref="B112:D112"/>
    <mergeCell ref="B82:M82"/>
    <mergeCell ref="C85:N86"/>
    <mergeCell ref="B91:D91"/>
    <mergeCell ref="B92:D92"/>
    <mergeCell ref="B98:M98"/>
  </mergeCells>
  <phoneticPr fontId="0" type="noConversion"/>
  <hyperlinks>
    <hyperlink ref="B2:M2" r:id="rId3" display=" Aquis Corfu Holidays Palace" xr:uid="{00000000-0004-0000-0B00-000000000000}"/>
    <hyperlink ref="B24:M24" r:id="rId4" display="Corfu Palace" xr:uid="{00000000-0004-0000-0B00-000001000000}"/>
    <hyperlink ref="B41:M41" r:id="rId5" display="Kontokali Bay" xr:uid="{00000000-0004-0000-0B00-000002000000}"/>
    <hyperlink ref="B64:M64" r:id="rId6" display="Melia Marbella Corfu" xr:uid="{00000000-0004-0000-0B00-000003000000}"/>
    <hyperlink ref="B98:M98" r:id="rId7" display=" Nissaki Beach" xr:uid="{00000000-0004-0000-0B00-000004000000}"/>
    <hyperlink ref="B119:M119" r:id="rId8" display="Livadi Nafsika" xr:uid="{00000000-0004-0000-0B00-000005000000}"/>
    <hyperlink ref="B82:M82" r:id="rId9" display="Elea Beach" xr:uid="{00000000-0004-0000-0B00-000006000000}"/>
  </hyperlinks>
  <printOptions horizontalCentered="1"/>
  <pageMargins left="0.28125" right="0.25" top="0.6692913385826772" bottom="0.70866141732283472" header="0.23622047244094491" footer="0.47244094488188981"/>
  <pageSetup paperSize="9" firstPageNumber="29" orientation="portrait" useFirstPageNumber="1" horizontalDpi="300" verticalDpi="300" r:id="rId10"/>
  <headerFooter scaleWithDoc="0" alignWithMargins="0">
    <oddHeader xml:space="preserve">&amp;C TARIFF 2026
 (EURO)
</oddHeader>
    <oddFooter>&amp;LAll rates are in EURO&amp;C
TARIFF 2026
&amp;RPage &amp;P</oddFooter>
  </headerFooter>
  <rowBreaks count="3" manualBreakCount="3">
    <brk id="39" max="16383" man="1"/>
    <brk id="78" max="16383" man="1"/>
    <brk id="114"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dimension ref="A1:IV490"/>
  <sheetViews>
    <sheetView showGridLines="0" view="pageLayout" topLeftCell="A46" zoomScaleNormal="100" workbookViewId="0">
      <selection activeCell="L114" sqref="L114"/>
    </sheetView>
  </sheetViews>
  <sheetFormatPr defaultRowHeight="12.75" x14ac:dyDescent="0.2"/>
  <cols>
    <col min="1" max="1" width="1.85546875" style="17" customWidth="1"/>
    <col min="2" max="3" width="10.7109375" style="17" customWidth="1"/>
    <col min="4" max="9" width="3.7109375" style="17" customWidth="1"/>
    <col min="10" max="14" width="10.7109375" style="17" customWidth="1"/>
    <col min="15" max="15" width="9.5703125" style="17" customWidth="1"/>
    <col min="16" max="16" width="2.7109375" style="17" customWidth="1"/>
    <col min="17" max="17" width="4.140625" style="17" customWidth="1"/>
    <col min="18" max="18" width="4.7109375" style="17" customWidth="1"/>
    <col min="19" max="19" width="3.85546875" style="17" customWidth="1"/>
    <col min="20" max="20" width="4" style="17" customWidth="1"/>
    <col min="21" max="21" width="4.7109375" style="17" customWidth="1"/>
    <col min="22" max="22" width="4.28515625" style="17" customWidth="1"/>
    <col min="23" max="27" width="2.7109375" style="17" customWidth="1"/>
    <col min="28" max="16384" width="9.140625" style="17"/>
  </cols>
  <sheetData>
    <row r="1" spans="1:14" x14ac:dyDescent="0.2">
      <c r="A1" s="20"/>
      <c r="B1" s="21"/>
      <c r="C1" s="21"/>
      <c r="D1" s="21"/>
      <c r="E1" s="22"/>
      <c r="F1" s="22"/>
      <c r="G1" s="22"/>
      <c r="H1" s="22"/>
      <c r="I1" s="22"/>
      <c r="J1" s="22"/>
      <c r="K1" s="22"/>
      <c r="L1" s="22"/>
      <c r="M1" s="22"/>
      <c r="N1" s="23"/>
    </row>
    <row r="2" spans="1:14" ht="15" x14ac:dyDescent="0.2">
      <c r="A2" s="24"/>
      <c r="B2" s="413" t="s">
        <v>1141</v>
      </c>
      <c r="C2" s="414"/>
      <c r="D2" s="414"/>
      <c r="E2" s="414"/>
      <c r="F2" s="414"/>
      <c r="G2" s="414"/>
      <c r="H2" s="414"/>
      <c r="I2" s="414"/>
      <c r="J2" s="414"/>
      <c r="K2" s="414"/>
      <c r="L2" s="414"/>
      <c r="M2" s="415"/>
      <c r="N2" s="25" t="s">
        <v>1104</v>
      </c>
    </row>
    <row r="3" spans="1:14" x14ac:dyDescent="0.2">
      <c r="A3" s="24"/>
      <c r="B3" s="26" t="s">
        <v>428</v>
      </c>
      <c r="C3" s="15" t="s">
        <v>139</v>
      </c>
      <c r="D3" s="15"/>
      <c r="E3" s="16"/>
      <c r="F3" s="16"/>
      <c r="G3" s="16"/>
      <c r="H3" s="16"/>
      <c r="I3" s="16"/>
      <c r="J3" s="16"/>
      <c r="K3" s="16"/>
      <c r="L3" s="16"/>
      <c r="M3" s="16"/>
      <c r="N3" s="27"/>
    </row>
    <row r="4" spans="1:14" x14ac:dyDescent="0.2">
      <c r="A4" s="24"/>
      <c r="B4" s="26" t="s">
        <v>429</v>
      </c>
      <c r="C4" s="15" t="s">
        <v>140</v>
      </c>
      <c r="D4" s="15"/>
      <c r="E4" s="16"/>
      <c r="F4" s="16"/>
      <c r="G4" s="16"/>
      <c r="H4" s="16"/>
      <c r="I4" s="16"/>
      <c r="J4" s="16"/>
      <c r="K4" s="16"/>
      <c r="L4" s="16"/>
      <c r="M4" s="16"/>
      <c r="N4" s="27"/>
    </row>
    <row r="5" spans="1:14" x14ac:dyDescent="0.2">
      <c r="A5" s="24"/>
      <c r="B5" s="26" t="s">
        <v>427</v>
      </c>
      <c r="C5" s="416" t="s">
        <v>1648</v>
      </c>
      <c r="D5" s="416"/>
      <c r="E5" s="416"/>
      <c r="F5" s="416"/>
      <c r="G5" s="416"/>
      <c r="H5" s="416"/>
      <c r="I5" s="416"/>
      <c r="J5" s="416"/>
      <c r="K5" s="416"/>
      <c r="L5" s="416"/>
      <c r="M5" s="416"/>
      <c r="N5" s="417"/>
    </row>
    <row r="6" spans="1:14" x14ac:dyDescent="0.2">
      <c r="A6" s="24"/>
      <c r="B6" s="26"/>
      <c r="C6" s="416"/>
      <c r="D6" s="416"/>
      <c r="E6" s="416"/>
      <c r="F6" s="416"/>
      <c r="G6" s="416"/>
      <c r="H6" s="416"/>
      <c r="I6" s="416"/>
      <c r="J6" s="416"/>
      <c r="K6" s="416"/>
      <c r="L6" s="416"/>
      <c r="M6" s="416"/>
      <c r="N6" s="417"/>
    </row>
    <row r="7" spans="1:14" x14ac:dyDescent="0.2">
      <c r="A7" s="24"/>
      <c r="B7" s="26"/>
      <c r="C7" s="416"/>
      <c r="D7" s="416"/>
      <c r="E7" s="416"/>
      <c r="F7" s="416"/>
      <c r="G7" s="416"/>
      <c r="H7" s="416"/>
      <c r="I7" s="416"/>
      <c r="J7" s="416"/>
      <c r="K7" s="416"/>
      <c r="L7" s="416"/>
      <c r="M7" s="416"/>
      <c r="N7" s="417"/>
    </row>
    <row r="8" spans="1:14" x14ac:dyDescent="0.2">
      <c r="A8" s="24"/>
      <c r="B8" s="26"/>
      <c r="C8" s="416"/>
      <c r="D8" s="416"/>
      <c r="E8" s="416"/>
      <c r="F8" s="416"/>
      <c r="G8" s="416"/>
      <c r="H8" s="416"/>
      <c r="I8" s="416"/>
      <c r="J8" s="416"/>
      <c r="K8" s="416"/>
      <c r="L8" s="416"/>
      <c r="M8" s="416"/>
      <c r="N8" s="417"/>
    </row>
    <row r="9" spans="1:14" x14ac:dyDescent="0.2">
      <c r="A9" s="24"/>
      <c r="B9" s="26"/>
      <c r="C9" s="419"/>
      <c r="D9" s="419"/>
      <c r="E9" s="419"/>
      <c r="F9" s="419"/>
      <c r="G9" s="419"/>
      <c r="H9" s="419"/>
      <c r="I9" s="419"/>
      <c r="J9" s="419"/>
      <c r="K9" s="419"/>
      <c r="L9" s="419"/>
      <c r="M9" s="419"/>
      <c r="N9" s="420"/>
    </row>
    <row r="10" spans="1:14" x14ac:dyDescent="0.2">
      <c r="A10" s="24"/>
      <c r="B10" s="26"/>
      <c r="C10" s="419"/>
      <c r="D10" s="419"/>
      <c r="E10" s="419"/>
      <c r="F10" s="419"/>
      <c r="G10" s="419"/>
      <c r="H10" s="419"/>
      <c r="I10" s="419"/>
      <c r="J10" s="419"/>
      <c r="K10" s="419"/>
      <c r="L10" s="419"/>
      <c r="M10" s="419"/>
      <c r="N10" s="420"/>
    </row>
    <row r="11" spans="1:14" x14ac:dyDescent="0.2">
      <c r="A11" s="24"/>
      <c r="B11" s="26" t="s">
        <v>426</v>
      </c>
      <c r="C11" s="15" t="s">
        <v>1490</v>
      </c>
      <c r="D11" s="15"/>
      <c r="E11" s="16"/>
      <c r="F11" s="16"/>
      <c r="G11" s="16"/>
      <c r="H11" s="16"/>
      <c r="I11" s="16"/>
      <c r="J11" s="16"/>
      <c r="K11" s="16"/>
      <c r="L11" s="16"/>
      <c r="M11" s="16"/>
      <c r="N11" s="27"/>
    </row>
    <row r="12" spans="1:14" x14ac:dyDescent="0.2">
      <c r="A12" s="24"/>
      <c r="B12" s="26" t="s">
        <v>430</v>
      </c>
      <c r="C12" s="15" t="s">
        <v>1491</v>
      </c>
      <c r="D12" s="15"/>
      <c r="E12" s="16"/>
      <c r="F12" s="16"/>
      <c r="G12" s="16"/>
      <c r="H12" s="16"/>
      <c r="I12" s="16"/>
      <c r="J12" s="16"/>
      <c r="K12" s="16"/>
      <c r="L12" s="16"/>
      <c r="M12" s="16"/>
      <c r="N12" s="27"/>
    </row>
    <row r="13" spans="1:14" ht="13.5" thickBot="1" x14ac:dyDescent="0.25">
      <c r="A13" s="28"/>
      <c r="B13" s="29"/>
      <c r="C13" s="29" t="s">
        <v>1492</v>
      </c>
      <c r="D13" s="29"/>
      <c r="E13" s="30"/>
      <c r="F13" s="30"/>
      <c r="G13" s="30"/>
      <c r="H13" s="30"/>
      <c r="I13" s="30"/>
      <c r="J13" s="30"/>
      <c r="K13" s="30"/>
      <c r="L13" s="30"/>
      <c r="M13" s="30"/>
      <c r="N13" s="31"/>
    </row>
    <row r="14" spans="1:14" x14ac:dyDescent="0.2">
      <c r="A14" s="20"/>
      <c r="B14" s="21" t="s">
        <v>263</v>
      </c>
      <c r="C14" s="21"/>
      <c r="D14" s="21"/>
      <c r="E14" s="22"/>
      <c r="F14" s="22"/>
      <c r="G14" s="22"/>
      <c r="H14" s="22"/>
      <c r="I14" s="22"/>
      <c r="J14" s="82" t="s">
        <v>2131</v>
      </c>
      <c r="K14" s="33" t="s">
        <v>2133</v>
      </c>
      <c r="L14" s="33" t="s">
        <v>2134</v>
      </c>
      <c r="M14" s="33"/>
      <c r="N14" s="33"/>
    </row>
    <row r="15" spans="1:14" ht="13.5" thickBot="1" x14ac:dyDescent="0.25">
      <c r="A15" s="28"/>
      <c r="B15" s="29"/>
      <c r="C15" s="29"/>
      <c r="D15" s="29"/>
      <c r="E15" s="30"/>
      <c r="F15" s="30"/>
      <c r="G15" s="30"/>
      <c r="H15" s="30"/>
      <c r="I15" s="30"/>
      <c r="J15" s="44" t="s">
        <v>2132</v>
      </c>
      <c r="K15" s="83" t="s">
        <v>509</v>
      </c>
      <c r="L15" s="83" t="s">
        <v>1576</v>
      </c>
      <c r="M15" s="83" t="s">
        <v>1577</v>
      </c>
      <c r="N15" s="36"/>
    </row>
    <row r="16" spans="1:14" x14ac:dyDescent="0.2">
      <c r="A16" s="20"/>
      <c r="B16" s="412" t="s">
        <v>594</v>
      </c>
      <c r="C16" s="412"/>
      <c r="D16" s="412"/>
      <c r="E16" s="22"/>
      <c r="F16" s="22" t="s">
        <v>1504</v>
      </c>
      <c r="G16" s="22" t="s">
        <v>1484</v>
      </c>
      <c r="H16" s="22" t="s">
        <v>702</v>
      </c>
      <c r="I16" s="22"/>
      <c r="J16" s="65">
        <f>66.7/ATHENS!O1*ATHENS!O2</f>
        <v>136.12244897959184</v>
      </c>
      <c r="K16" s="65">
        <v>112.5</v>
      </c>
      <c r="L16" s="65">
        <f>136.5/ATHENS!O1*ATHENS!O2</f>
        <v>278.57142857142856</v>
      </c>
      <c r="M16" s="65">
        <f>185.5/ATHENS!O1*ATHENS!O2</f>
        <v>378.57142857142856</v>
      </c>
      <c r="N16" s="38"/>
    </row>
    <row r="17" spans="1:14" x14ac:dyDescent="0.2">
      <c r="A17" s="24"/>
      <c r="B17" s="411" t="s">
        <v>594</v>
      </c>
      <c r="C17" s="411"/>
      <c r="D17" s="411"/>
      <c r="E17" s="16"/>
      <c r="F17" s="16" t="s">
        <v>1505</v>
      </c>
      <c r="G17" s="16" t="s">
        <v>1484</v>
      </c>
      <c r="H17" s="16" t="s">
        <v>702</v>
      </c>
      <c r="I17" s="16"/>
      <c r="J17" s="66">
        <f>51.6/ATHENS!O1*ATHENS!O2</f>
        <v>105.30612244897959</v>
      </c>
      <c r="K17" s="66">
        <f>70.5/ATHENS!O1*ATHENS!O2</f>
        <v>143.87755102040816</v>
      </c>
      <c r="L17" s="66">
        <f>85.5/ATHENS!O1*ATHENS!O2</f>
        <v>174.48979591836735</v>
      </c>
      <c r="M17" s="66">
        <f>115.9/ATHENS!O1*ATHENS!O2</f>
        <v>236.53061224489798</v>
      </c>
      <c r="N17" s="40"/>
    </row>
    <row r="18" spans="1:14" x14ac:dyDescent="0.2">
      <c r="A18" s="24"/>
      <c r="B18" s="411" t="s">
        <v>594</v>
      </c>
      <c r="C18" s="411"/>
      <c r="D18" s="411"/>
      <c r="E18" s="16"/>
      <c r="F18" s="16" t="s">
        <v>1506</v>
      </c>
      <c r="G18" s="16" t="s">
        <v>1484</v>
      </c>
      <c r="H18" s="16" t="s">
        <v>702</v>
      </c>
      <c r="I18" s="16"/>
      <c r="J18" s="66">
        <f>46.5/ATHENS!O1*ATHENS!O2</f>
        <v>94.897959183673464</v>
      </c>
      <c r="K18" s="66">
        <f>63.5/ATHENS!O1*ATHENS!O2</f>
        <v>129.59183673469389</v>
      </c>
      <c r="L18" s="66">
        <f>77.5/ATHENS!O1*ATHENS!O2</f>
        <v>158.16326530612244</v>
      </c>
      <c r="M18" s="66">
        <f>104.5/ATHENS!O1*ATHENS!O2</f>
        <v>213.26530612244898</v>
      </c>
      <c r="N18" s="40"/>
    </row>
    <row r="19" spans="1:14" x14ac:dyDescent="0.2">
      <c r="A19" s="24"/>
      <c r="B19" s="411" t="s">
        <v>1493</v>
      </c>
      <c r="C19" s="411"/>
      <c r="D19" s="411"/>
      <c r="E19" s="16"/>
      <c r="F19" s="16" t="s">
        <v>1504</v>
      </c>
      <c r="G19" s="16" t="s">
        <v>1484</v>
      </c>
      <c r="H19" s="16" t="s">
        <v>702</v>
      </c>
      <c r="I19" s="16"/>
      <c r="J19" s="66">
        <f>73.5/ATHENS!O1*ATHENS!O2</f>
        <v>150</v>
      </c>
      <c r="K19" s="66">
        <f>128.5/ATHENS!O1*ATHENS!O2</f>
        <v>262.24489795918367</v>
      </c>
      <c r="L19" s="66">
        <f>151.5/ATHENS!O1*ATHENS!O2</f>
        <v>309.18367346938777</v>
      </c>
      <c r="M19" s="66">
        <f>203.5/ATHENS!O1*ATHENS!O2</f>
        <v>415.30612244897958</v>
      </c>
      <c r="N19" s="40"/>
    </row>
    <row r="20" spans="1:14" x14ac:dyDescent="0.2">
      <c r="A20" s="24"/>
      <c r="B20" s="411" t="s">
        <v>1493</v>
      </c>
      <c r="C20" s="411"/>
      <c r="D20" s="411"/>
      <c r="E20" s="16"/>
      <c r="F20" s="16" t="s">
        <v>1505</v>
      </c>
      <c r="G20" s="16" t="s">
        <v>1484</v>
      </c>
      <c r="H20" s="16" t="s">
        <v>702</v>
      </c>
      <c r="I20" s="16"/>
      <c r="J20" s="66">
        <f>55.8/ATHENS!O1*ATHENS!O2</f>
        <v>113.87755102040816</v>
      </c>
      <c r="K20" s="66">
        <f>79.8/ATHENS!O1*ATHENS!O2</f>
        <v>162.85714285714286</v>
      </c>
      <c r="L20" s="66">
        <f>94.9/ATHENS!O1*ATHENS!O2</f>
        <v>193.67346938775512</v>
      </c>
      <c r="M20" s="66">
        <f>126.96/ATHENS!O1*ATHENS!O2</f>
        <v>259.10204081632651</v>
      </c>
      <c r="N20" s="40"/>
    </row>
    <row r="21" spans="1:14" ht="13.5" thickBot="1" x14ac:dyDescent="0.25">
      <c r="A21" s="28"/>
      <c r="B21" s="418" t="s">
        <v>1493</v>
      </c>
      <c r="C21" s="418"/>
      <c r="D21" s="418"/>
      <c r="E21" s="30"/>
      <c r="F21" s="30" t="s">
        <v>1506</v>
      </c>
      <c r="G21" s="30" t="s">
        <v>1484</v>
      </c>
      <c r="H21" s="30" t="s">
        <v>702</v>
      </c>
      <c r="I21" s="30"/>
      <c r="J21" s="67">
        <f>50.5/ATHENS!O1*ATHENS!O2</f>
        <v>103.06122448979592</v>
      </c>
      <c r="K21" s="67">
        <f>71.9/ATHENS!O1*ATHENS!O2</f>
        <v>146.73469387755102</v>
      </c>
      <c r="L21" s="67">
        <f>85.5/ATHENS!O1*ATHENS!O2</f>
        <v>174.48979591836735</v>
      </c>
      <c r="M21" s="67">
        <f>114.5/ATHENS!O1*ATHENS!O2</f>
        <v>233.67346938775512</v>
      </c>
      <c r="N21" s="42"/>
    </row>
    <row r="22" spans="1:14" x14ac:dyDescent="0.2">
      <c r="A22" s="14" t="s">
        <v>1421</v>
      </c>
      <c r="B22" s="15"/>
      <c r="C22" s="15"/>
      <c r="D22" s="15"/>
      <c r="E22" s="16"/>
      <c r="F22" s="16"/>
      <c r="G22" s="16"/>
      <c r="H22" s="16"/>
      <c r="I22" s="16"/>
      <c r="J22" s="68"/>
      <c r="K22" s="68"/>
      <c r="L22" s="68"/>
      <c r="M22" s="68"/>
      <c r="N22" s="47"/>
    </row>
    <row r="23" spans="1:14" ht="13.5" thickBot="1" x14ac:dyDescent="0.25">
      <c r="A23" s="14"/>
      <c r="B23" s="15"/>
      <c r="C23" s="15"/>
      <c r="D23" s="15"/>
      <c r="E23" s="16"/>
      <c r="F23" s="16"/>
      <c r="G23" s="16"/>
      <c r="H23" s="16"/>
      <c r="I23" s="16"/>
      <c r="J23" s="16"/>
      <c r="K23" s="16"/>
      <c r="L23" s="16"/>
      <c r="M23" s="16"/>
      <c r="N23" s="16"/>
    </row>
    <row r="24" spans="1:14" x14ac:dyDescent="0.2">
      <c r="A24" s="20"/>
      <c r="B24" s="21"/>
      <c r="C24" s="21"/>
      <c r="D24" s="21"/>
      <c r="E24" s="22"/>
      <c r="F24" s="22"/>
      <c r="G24" s="22"/>
      <c r="H24" s="22"/>
      <c r="I24" s="22"/>
      <c r="J24" s="22"/>
      <c r="K24" s="22"/>
      <c r="L24" s="22"/>
      <c r="M24" s="22"/>
      <c r="N24" s="23"/>
    </row>
    <row r="25" spans="1:14" ht="15" x14ac:dyDescent="0.2">
      <c r="A25" s="24"/>
      <c r="B25" s="413" t="s">
        <v>207</v>
      </c>
      <c r="C25" s="414"/>
      <c r="D25" s="414"/>
      <c r="E25" s="414"/>
      <c r="F25" s="414"/>
      <c r="G25" s="414"/>
      <c r="H25" s="414"/>
      <c r="I25" s="414"/>
      <c r="J25" s="414"/>
      <c r="K25" s="414"/>
      <c r="L25" s="414"/>
      <c r="M25" s="415"/>
      <c r="N25" s="25" t="s">
        <v>1104</v>
      </c>
    </row>
    <row r="26" spans="1:14" x14ac:dyDescent="0.2">
      <c r="A26" s="24"/>
      <c r="B26" s="26" t="s">
        <v>428</v>
      </c>
      <c r="C26" s="15" t="s">
        <v>139</v>
      </c>
      <c r="D26" s="15"/>
      <c r="E26" s="16"/>
      <c r="F26" s="16"/>
      <c r="G26" s="16"/>
      <c r="H26" s="16"/>
      <c r="I26" s="16"/>
      <c r="J26" s="16"/>
      <c r="K26" s="16"/>
      <c r="L26" s="16"/>
      <c r="M26" s="16"/>
      <c r="N26" s="27"/>
    </row>
    <row r="27" spans="1:14" x14ac:dyDescent="0.2">
      <c r="A27" s="24"/>
      <c r="B27" s="26" t="s">
        <v>429</v>
      </c>
      <c r="C27" s="15" t="s">
        <v>141</v>
      </c>
      <c r="D27" s="15"/>
      <c r="E27" s="16"/>
      <c r="F27" s="16"/>
      <c r="G27" s="16"/>
      <c r="H27" s="16"/>
      <c r="I27" s="16"/>
      <c r="J27" s="16"/>
      <c r="K27" s="16"/>
      <c r="L27" s="16"/>
      <c r="M27" s="16"/>
      <c r="N27" s="27"/>
    </row>
    <row r="28" spans="1:14" x14ac:dyDescent="0.2">
      <c r="A28" s="24"/>
      <c r="B28" s="26" t="s">
        <v>427</v>
      </c>
      <c r="C28" s="416" t="s">
        <v>1649</v>
      </c>
      <c r="D28" s="416"/>
      <c r="E28" s="416"/>
      <c r="F28" s="416"/>
      <c r="G28" s="416"/>
      <c r="H28" s="416"/>
      <c r="I28" s="416"/>
      <c r="J28" s="416"/>
      <c r="K28" s="416"/>
      <c r="L28" s="416"/>
      <c r="M28" s="416"/>
      <c r="N28" s="417"/>
    </row>
    <row r="29" spans="1:14" x14ac:dyDescent="0.2">
      <c r="A29" s="24"/>
      <c r="B29" s="26"/>
      <c r="C29" s="416"/>
      <c r="D29" s="416"/>
      <c r="E29" s="416"/>
      <c r="F29" s="416"/>
      <c r="G29" s="416"/>
      <c r="H29" s="416"/>
      <c r="I29" s="416"/>
      <c r="J29" s="416"/>
      <c r="K29" s="416"/>
      <c r="L29" s="416"/>
      <c r="M29" s="416"/>
      <c r="N29" s="417"/>
    </row>
    <row r="30" spans="1:14" x14ac:dyDescent="0.2">
      <c r="A30" s="24"/>
      <c r="B30" s="26"/>
      <c r="C30" s="416"/>
      <c r="D30" s="416"/>
      <c r="E30" s="416"/>
      <c r="F30" s="416"/>
      <c r="G30" s="416"/>
      <c r="H30" s="416"/>
      <c r="I30" s="416"/>
      <c r="J30" s="416"/>
      <c r="K30" s="416"/>
      <c r="L30" s="416"/>
      <c r="M30" s="416"/>
      <c r="N30" s="417"/>
    </row>
    <row r="31" spans="1:14" x14ac:dyDescent="0.2">
      <c r="A31" s="24"/>
      <c r="B31" s="26"/>
      <c r="C31" s="416"/>
      <c r="D31" s="416"/>
      <c r="E31" s="416"/>
      <c r="F31" s="416"/>
      <c r="G31" s="416"/>
      <c r="H31" s="416"/>
      <c r="I31" s="416"/>
      <c r="J31" s="416"/>
      <c r="K31" s="416"/>
      <c r="L31" s="416"/>
      <c r="M31" s="416"/>
      <c r="N31" s="417"/>
    </row>
    <row r="32" spans="1:14" x14ac:dyDescent="0.2">
      <c r="A32" s="24"/>
      <c r="B32" s="26"/>
      <c r="C32" s="419"/>
      <c r="D32" s="419"/>
      <c r="E32" s="419"/>
      <c r="F32" s="419"/>
      <c r="G32" s="419"/>
      <c r="H32" s="419"/>
      <c r="I32" s="419"/>
      <c r="J32" s="419"/>
      <c r="K32" s="419"/>
      <c r="L32" s="419"/>
      <c r="M32" s="419"/>
      <c r="N32" s="420"/>
    </row>
    <row r="33" spans="1:14" x14ac:dyDescent="0.2">
      <c r="A33" s="24"/>
      <c r="B33" s="26"/>
      <c r="C33" s="419"/>
      <c r="D33" s="419"/>
      <c r="E33" s="419"/>
      <c r="F33" s="419"/>
      <c r="G33" s="419"/>
      <c r="H33" s="419"/>
      <c r="I33" s="419"/>
      <c r="J33" s="419"/>
      <c r="K33" s="419"/>
      <c r="L33" s="419"/>
      <c r="M33" s="419"/>
      <c r="N33" s="420"/>
    </row>
    <row r="34" spans="1:14" x14ac:dyDescent="0.2">
      <c r="A34" s="24"/>
      <c r="B34" s="26"/>
      <c r="C34" s="419"/>
      <c r="D34" s="419"/>
      <c r="E34" s="419"/>
      <c r="F34" s="419"/>
      <c r="G34" s="419"/>
      <c r="H34" s="419"/>
      <c r="I34" s="419"/>
      <c r="J34" s="419"/>
      <c r="K34" s="419"/>
      <c r="L34" s="419"/>
      <c r="M34" s="419"/>
      <c r="N34" s="420"/>
    </row>
    <row r="35" spans="1:14" x14ac:dyDescent="0.2">
      <c r="A35" s="24"/>
      <c r="B35" s="26"/>
      <c r="C35" s="419"/>
      <c r="D35" s="419"/>
      <c r="E35" s="419"/>
      <c r="F35" s="419"/>
      <c r="G35" s="419"/>
      <c r="H35" s="419"/>
      <c r="I35" s="419"/>
      <c r="J35" s="419"/>
      <c r="K35" s="419"/>
      <c r="L35" s="419"/>
      <c r="M35" s="419"/>
      <c r="N35" s="420"/>
    </row>
    <row r="36" spans="1:14" x14ac:dyDescent="0.2">
      <c r="A36" s="24"/>
      <c r="B36" s="26"/>
      <c r="C36" s="419"/>
      <c r="D36" s="419"/>
      <c r="E36" s="419"/>
      <c r="F36" s="419"/>
      <c r="G36" s="419"/>
      <c r="H36" s="419"/>
      <c r="I36" s="419"/>
      <c r="J36" s="419"/>
      <c r="K36" s="419"/>
      <c r="L36" s="419"/>
      <c r="M36" s="419"/>
      <c r="N36" s="420"/>
    </row>
    <row r="37" spans="1:14" x14ac:dyDescent="0.2">
      <c r="A37" s="24"/>
      <c r="B37" s="26" t="s">
        <v>426</v>
      </c>
      <c r="C37" s="15" t="s">
        <v>871</v>
      </c>
      <c r="D37" s="15"/>
      <c r="E37" s="16"/>
      <c r="F37" s="16"/>
      <c r="G37" s="16"/>
      <c r="H37" s="16"/>
      <c r="I37" s="16"/>
      <c r="J37" s="16"/>
      <c r="K37" s="16"/>
      <c r="L37" s="16"/>
      <c r="M37" s="16"/>
      <c r="N37" s="27"/>
    </row>
    <row r="38" spans="1:14" x14ac:dyDescent="0.2">
      <c r="A38" s="24"/>
      <c r="B38" s="26" t="s">
        <v>430</v>
      </c>
      <c r="C38" s="15" t="s">
        <v>872</v>
      </c>
      <c r="D38" s="15"/>
      <c r="E38" s="16"/>
      <c r="F38" s="16"/>
      <c r="G38" s="16"/>
      <c r="H38" s="16"/>
      <c r="I38" s="16"/>
      <c r="J38" s="16"/>
      <c r="K38" s="16"/>
      <c r="L38" s="16"/>
      <c r="M38" s="16"/>
      <c r="N38" s="27"/>
    </row>
    <row r="39" spans="1:14" ht="13.5" thickBot="1" x14ac:dyDescent="0.25">
      <c r="A39" s="28"/>
      <c r="B39" s="29"/>
      <c r="C39" s="29" t="s">
        <v>873</v>
      </c>
      <c r="D39" s="29"/>
      <c r="E39" s="30"/>
      <c r="F39" s="30"/>
      <c r="G39" s="30"/>
      <c r="H39" s="30"/>
      <c r="I39" s="30"/>
      <c r="J39" s="30"/>
      <c r="K39" s="30"/>
      <c r="L39" s="30"/>
      <c r="M39" s="30"/>
      <c r="N39" s="31"/>
    </row>
    <row r="40" spans="1:14" x14ac:dyDescent="0.2">
      <c r="A40" s="20"/>
      <c r="B40" s="21" t="s">
        <v>263</v>
      </c>
      <c r="C40" s="21"/>
      <c r="D40" s="21"/>
      <c r="E40" s="22"/>
      <c r="F40" s="22"/>
      <c r="G40" s="22"/>
      <c r="H40" s="22"/>
      <c r="I40" s="22"/>
      <c r="J40" s="82" t="s">
        <v>2135</v>
      </c>
      <c r="K40" s="33" t="s">
        <v>2133</v>
      </c>
      <c r="L40" s="33" t="s">
        <v>2134</v>
      </c>
      <c r="M40" s="33"/>
      <c r="N40" s="33"/>
    </row>
    <row r="41" spans="1:14" ht="13.5" thickBot="1" x14ac:dyDescent="0.25">
      <c r="A41" s="28"/>
      <c r="B41" s="29"/>
      <c r="C41" s="29"/>
      <c r="D41" s="29"/>
      <c r="E41" s="30"/>
      <c r="F41" s="30"/>
      <c r="G41" s="30"/>
      <c r="H41" s="30"/>
      <c r="I41" s="30"/>
      <c r="J41" s="44" t="s">
        <v>2132</v>
      </c>
      <c r="K41" s="83" t="s">
        <v>509</v>
      </c>
      <c r="L41" s="83" t="s">
        <v>1576</v>
      </c>
      <c r="M41" s="83" t="s">
        <v>1577</v>
      </c>
      <c r="N41" s="36"/>
    </row>
    <row r="42" spans="1:14" x14ac:dyDescent="0.2">
      <c r="A42" s="20"/>
      <c r="B42" s="412" t="s">
        <v>594</v>
      </c>
      <c r="C42" s="412"/>
      <c r="D42" s="412"/>
      <c r="E42" s="22"/>
      <c r="F42" s="22" t="s">
        <v>1504</v>
      </c>
      <c r="G42" s="22" t="s">
        <v>1484</v>
      </c>
      <c r="H42" s="22" t="s">
        <v>702</v>
      </c>
      <c r="I42" s="22"/>
      <c r="J42" s="65">
        <f>76.5/ATHENS!O1*ATHENS!O2</f>
        <v>156.12244897959184</v>
      </c>
      <c r="K42" s="65">
        <f>109.9/ATHENS!O1*ATHENS!O2</f>
        <v>224.28571428571431</v>
      </c>
      <c r="L42" s="65">
        <f>147.5/ATHENS!O1*ATHENS!O2</f>
        <v>301.0204081632653</v>
      </c>
      <c r="M42" s="65">
        <f>198/ATHENS!O1*ATHENS!O2</f>
        <v>404.08163265306121</v>
      </c>
      <c r="N42" s="38"/>
    </row>
    <row r="43" spans="1:14" x14ac:dyDescent="0.2">
      <c r="A43" s="24"/>
      <c r="B43" s="411" t="s">
        <v>594</v>
      </c>
      <c r="C43" s="411"/>
      <c r="D43" s="411"/>
      <c r="E43" s="16"/>
      <c r="F43" s="16" t="s">
        <v>1505</v>
      </c>
      <c r="G43" s="16" t="s">
        <v>1484</v>
      </c>
      <c r="H43" s="16" t="s">
        <v>702</v>
      </c>
      <c r="I43" s="16"/>
      <c r="J43" s="66">
        <f>58.5/ATHENS!O1*ATHENS!O2</f>
        <v>119.38775510204081</v>
      </c>
      <c r="K43" s="66">
        <f>78.5/ATHENS!O1*ATHENS!O2</f>
        <v>160.20408163265307</v>
      </c>
      <c r="L43" s="66">
        <f>98.5/ATHENS!O1*ATHENS!O2</f>
        <v>201.0204081632653</v>
      </c>
      <c r="M43" s="66">
        <f>132/ATHENS!O1*ATHENS!O2</f>
        <v>269.38775510204084</v>
      </c>
      <c r="N43" s="40"/>
    </row>
    <row r="44" spans="1:14" x14ac:dyDescent="0.2">
      <c r="A44" s="24"/>
      <c r="B44" s="411" t="s">
        <v>1493</v>
      </c>
      <c r="C44" s="411"/>
      <c r="D44" s="411"/>
      <c r="E44" s="16"/>
      <c r="F44" s="16" t="s">
        <v>1505</v>
      </c>
      <c r="G44" s="16" t="s">
        <v>1484</v>
      </c>
      <c r="H44" s="16" t="s">
        <v>702</v>
      </c>
      <c r="I44" s="16"/>
      <c r="J44" s="66">
        <f>68.9/ATHENS!O1*ATHENS!O2</f>
        <v>140.61224489795919</v>
      </c>
      <c r="K44" s="66">
        <f>93.5/ATHENS!O1*ATHENS!O2</f>
        <v>190.81632653061226</v>
      </c>
      <c r="L44" s="66">
        <f>113.5/ATHENS!O1*ATHENS!O2</f>
        <v>231.63265306122449</v>
      </c>
      <c r="M44" s="66">
        <f>156.5/ATHENS!O1*ATHENS!O2</f>
        <v>319.38775510204084</v>
      </c>
      <c r="N44" s="40"/>
    </row>
    <row r="45" spans="1:14" x14ac:dyDescent="0.2">
      <c r="A45" s="14" t="s">
        <v>1421</v>
      </c>
      <c r="B45" s="15"/>
      <c r="C45" s="15"/>
      <c r="D45" s="15"/>
      <c r="E45" s="16"/>
      <c r="F45" s="16"/>
      <c r="G45" s="16"/>
      <c r="H45" s="16"/>
      <c r="I45" s="16"/>
      <c r="J45" s="16"/>
      <c r="K45" s="16"/>
      <c r="L45" s="16"/>
      <c r="M45" s="16"/>
      <c r="N45" s="16"/>
    </row>
    <row r="46" spans="1:14" x14ac:dyDescent="0.2">
      <c r="A46" s="14"/>
      <c r="B46" s="15"/>
      <c r="C46" s="15"/>
      <c r="D46" s="15"/>
      <c r="E46" s="16"/>
      <c r="F46" s="16"/>
      <c r="G46" s="16"/>
      <c r="H46" s="16"/>
      <c r="I46" s="16"/>
      <c r="J46" s="16"/>
      <c r="K46" s="16"/>
      <c r="L46" s="16"/>
      <c r="M46" s="16"/>
      <c r="N46" s="16"/>
    </row>
    <row r="47" spans="1:14" x14ac:dyDescent="0.2">
      <c r="A47" s="14"/>
      <c r="B47" s="15"/>
      <c r="C47" s="15"/>
      <c r="D47" s="15"/>
      <c r="E47" s="16"/>
      <c r="F47" s="16"/>
      <c r="G47" s="16"/>
      <c r="H47" s="16"/>
      <c r="I47" s="16"/>
      <c r="J47" s="16"/>
      <c r="K47" s="16"/>
      <c r="L47" s="16"/>
      <c r="M47" s="16"/>
      <c r="N47" s="16"/>
    </row>
    <row r="48" spans="1:14" x14ac:dyDescent="0.2">
      <c r="A48" s="14"/>
      <c r="B48" s="15"/>
      <c r="C48" s="15"/>
      <c r="D48" s="15"/>
      <c r="E48" s="16"/>
      <c r="F48" s="16"/>
      <c r="G48" s="16"/>
      <c r="H48" s="16"/>
      <c r="I48" s="16"/>
      <c r="J48" s="16"/>
      <c r="K48" s="16"/>
      <c r="L48" s="16"/>
      <c r="M48" s="16"/>
      <c r="N48" s="16"/>
    </row>
    <row r="49" spans="1:14" x14ac:dyDescent="0.2">
      <c r="A49" s="14"/>
      <c r="B49" s="15"/>
      <c r="C49" s="15"/>
      <c r="D49" s="15"/>
      <c r="E49" s="16"/>
      <c r="F49" s="16"/>
      <c r="G49" s="16"/>
      <c r="H49" s="16"/>
      <c r="I49" s="16"/>
      <c r="J49" s="16"/>
      <c r="K49" s="16"/>
      <c r="L49" s="16"/>
      <c r="M49" s="16"/>
      <c r="N49" s="16"/>
    </row>
    <row r="50" spans="1:14" x14ac:dyDescent="0.2">
      <c r="A50" s="14"/>
      <c r="B50" s="15"/>
      <c r="C50" s="15"/>
      <c r="D50" s="15"/>
      <c r="E50" s="16"/>
      <c r="F50" s="16"/>
      <c r="G50" s="16"/>
      <c r="H50" s="16"/>
      <c r="I50" s="16"/>
      <c r="J50" s="16"/>
      <c r="K50" s="16"/>
      <c r="L50" s="16"/>
      <c r="M50" s="16"/>
      <c r="N50" s="16"/>
    </row>
    <row r="51" spans="1:14" ht="12.75" customHeight="1" x14ac:dyDescent="0.2">
      <c r="A51" s="14"/>
      <c r="B51" s="15"/>
      <c r="C51" s="15"/>
      <c r="D51" s="15"/>
      <c r="E51" s="16"/>
      <c r="F51" s="16"/>
      <c r="G51" s="16"/>
      <c r="H51" s="16"/>
      <c r="I51" s="16"/>
      <c r="J51" s="16"/>
      <c r="K51" s="16"/>
      <c r="L51" s="16"/>
      <c r="M51" s="16"/>
      <c r="N51" s="16"/>
    </row>
    <row r="52" spans="1:14" x14ac:dyDescent="0.2">
      <c r="A52" s="14"/>
      <c r="B52" s="15"/>
      <c r="C52" s="15"/>
      <c r="D52" s="15"/>
      <c r="E52" s="16"/>
      <c r="F52" s="16"/>
      <c r="G52" s="16"/>
      <c r="H52" s="16"/>
      <c r="I52" s="16"/>
      <c r="J52" s="16"/>
      <c r="K52" s="16"/>
      <c r="L52" s="16"/>
      <c r="M52" s="16"/>
      <c r="N52" s="16"/>
    </row>
    <row r="53" spans="1:14" x14ac:dyDescent="0.2">
      <c r="A53" s="14"/>
      <c r="B53" s="15"/>
      <c r="C53" s="15"/>
      <c r="D53" s="15"/>
      <c r="E53" s="16"/>
      <c r="F53" s="16"/>
      <c r="G53" s="16"/>
      <c r="H53" s="16"/>
      <c r="I53" s="16"/>
      <c r="J53" s="16"/>
      <c r="K53" s="16"/>
      <c r="L53" s="16"/>
      <c r="M53" s="16"/>
      <c r="N53" s="16"/>
    </row>
    <row r="54" spans="1:14" x14ac:dyDescent="0.2">
      <c r="A54" s="14"/>
      <c r="B54" s="15"/>
      <c r="C54" s="15"/>
      <c r="D54" s="15"/>
      <c r="E54" s="16"/>
      <c r="F54" s="16"/>
      <c r="G54" s="16"/>
      <c r="H54" s="16"/>
      <c r="I54" s="16"/>
      <c r="J54" s="16"/>
      <c r="K54" s="16"/>
      <c r="L54" s="16"/>
      <c r="M54" s="16"/>
      <c r="N54" s="16"/>
    </row>
    <row r="55" spans="1:14" x14ac:dyDescent="0.2">
      <c r="A55" s="14"/>
      <c r="B55" s="15"/>
      <c r="C55" s="15"/>
      <c r="D55" s="15"/>
      <c r="E55" s="16"/>
      <c r="F55" s="16"/>
      <c r="G55" s="16"/>
      <c r="H55" s="16"/>
      <c r="I55" s="16"/>
      <c r="J55" s="16"/>
      <c r="K55" s="16"/>
      <c r="L55" s="16"/>
      <c r="M55" s="16"/>
      <c r="N55" s="16"/>
    </row>
    <row r="56" spans="1:14" x14ac:dyDescent="0.2">
      <c r="A56" s="14"/>
      <c r="B56" s="15"/>
      <c r="C56" s="15"/>
      <c r="D56" s="15"/>
      <c r="E56" s="16"/>
      <c r="F56" s="16"/>
      <c r="G56" s="16"/>
      <c r="H56" s="16"/>
      <c r="I56" s="16"/>
      <c r="J56" s="16"/>
      <c r="K56" s="16"/>
      <c r="L56" s="16"/>
      <c r="M56" s="16"/>
      <c r="N56" s="16"/>
    </row>
    <row r="57" spans="1:14" x14ac:dyDescent="0.2">
      <c r="A57" s="14"/>
      <c r="B57" s="15"/>
      <c r="C57" s="15"/>
      <c r="D57" s="15"/>
      <c r="E57" s="16"/>
      <c r="F57" s="16"/>
      <c r="G57" s="16"/>
      <c r="H57" s="16"/>
      <c r="I57" s="16"/>
      <c r="J57" s="16"/>
      <c r="K57" s="16"/>
      <c r="L57" s="16"/>
      <c r="M57" s="16"/>
      <c r="N57" s="16"/>
    </row>
    <row r="58" spans="1:14" x14ac:dyDescent="0.2">
      <c r="A58" s="14"/>
      <c r="B58" s="15"/>
      <c r="C58" s="15"/>
      <c r="D58" s="15"/>
      <c r="E58" s="16"/>
      <c r="F58" s="16"/>
      <c r="G58" s="16"/>
      <c r="H58" s="16"/>
      <c r="I58" s="16"/>
      <c r="J58" s="16"/>
      <c r="K58" s="16"/>
      <c r="L58" s="16"/>
      <c r="M58" s="16"/>
      <c r="N58" s="16"/>
    </row>
    <row r="59" spans="1:14" x14ac:dyDescent="0.2">
      <c r="A59" s="14"/>
      <c r="B59" s="15"/>
      <c r="C59" s="15"/>
      <c r="D59" s="15"/>
      <c r="E59" s="16"/>
      <c r="F59" s="16"/>
      <c r="G59" s="16"/>
      <c r="H59" s="16"/>
      <c r="I59" s="16"/>
      <c r="J59" s="16"/>
      <c r="K59" s="16"/>
      <c r="L59" s="16"/>
      <c r="M59" s="16"/>
      <c r="N59" s="16"/>
    </row>
    <row r="60" spans="1:14" x14ac:dyDescent="0.2">
      <c r="A60" s="14"/>
      <c r="B60" s="15"/>
      <c r="C60" s="15"/>
      <c r="D60" s="15"/>
      <c r="E60" s="16"/>
      <c r="F60" s="16"/>
      <c r="G60" s="16"/>
      <c r="H60" s="16"/>
      <c r="I60" s="16"/>
      <c r="J60" s="16"/>
      <c r="K60" s="16"/>
      <c r="L60" s="16"/>
      <c r="M60" s="16"/>
      <c r="N60" s="16"/>
    </row>
    <row r="61" spans="1:14" x14ac:dyDescent="0.2">
      <c r="A61" s="14"/>
      <c r="B61" s="15"/>
      <c r="C61" s="15"/>
      <c r="D61" s="15"/>
      <c r="E61" s="16"/>
      <c r="F61" s="16"/>
      <c r="G61" s="16"/>
      <c r="H61" s="16"/>
      <c r="I61" s="16"/>
      <c r="J61" s="16"/>
      <c r="K61" s="16"/>
      <c r="L61" s="16"/>
      <c r="M61" s="16"/>
      <c r="N61" s="16"/>
    </row>
    <row r="62" spans="1:14" x14ac:dyDescent="0.2">
      <c r="A62" s="14"/>
      <c r="B62" s="15"/>
      <c r="C62" s="15"/>
      <c r="D62" s="15"/>
      <c r="E62" s="16"/>
      <c r="F62" s="16"/>
      <c r="G62" s="16"/>
      <c r="H62" s="16"/>
      <c r="I62" s="16"/>
      <c r="J62" s="16"/>
      <c r="K62" s="16"/>
      <c r="L62" s="16"/>
      <c r="M62" s="16"/>
      <c r="N62" s="16"/>
    </row>
    <row r="63" spans="1:14" x14ac:dyDescent="0.2">
      <c r="A63" s="14"/>
      <c r="B63" s="15"/>
      <c r="C63" s="15"/>
      <c r="D63" s="15"/>
      <c r="E63" s="16"/>
      <c r="F63" s="16"/>
      <c r="G63" s="16"/>
      <c r="H63" s="16"/>
      <c r="I63" s="16"/>
      <c r="J63" s="16"/>
      <c r="K63" s="16"/>
      <c r="L63" s="16"/>
      <c r="M63" s="16"/>
      <c r="N63" s="16"/>
    </row>
    <row r="64" spans="1:14" ht="13.5" thickBot="1" x14ac:dyDescent="0.25">
      <c r="A64" s="14"/>
      <c r="B64" s="15"/>
      <c r="C64" s="15"/>
      <c r="D64" s="15"/>
      <c r="E64" s="16"/>
      <c r="F64" s="16"/>
      <c r="G64" s="16"/>
      <c r="H64" s="16"/>
      <c r="I64" s="16"/>
      <c r="J64" s="16"/>
      <c r="K64" s="16"/>
      <c r="L64" s="16"/>
      <c r="M64" s="16"/>
      <c r="N64" s="16"/>
    </row>
    <row r="65" spans="1:14" x14ac:dyDescent="0.2">
      <c r="A65" s="20"/>
      <c r="B65" s="21"/>
      <c r="C65" s="21"/>
      <c r="D65" s="21"/>
      <c r="E65" s="22"/>
      <c r="F65" s="22"/>
      <c r="G65" s="22"/>
      <c r="H65" s="22"/>
      <c r="I65" s="22"/>
      <c r="J65" s="22"/>
      <c r="K65" s="22"/>
      <c r="L65" s="22"/>
      <c r="M65" s="22"/>
      <c r="N65" s="23"/>
    </row>
    <row r="66" spans="1:14" ht="15" x14ac:dyDescent="0.2">
      <c r="A66" s="24"/>
      <c r="B66" s="413" t="s">
        <v>1712</v>
      </c>
      <c r="C66" s="414"/>
      <c r="D66" s="414"/>
      <c r="E66" s="414"/>
      <c r="F66" s="414"/>
      <c r="G66" s="414"/>
      <c r="H66" s="414"/>
      <c r="I66" s="414"/>
      <c r="J66" s="414"/>
      <c r="K66" s="414"/>
      <c r="L66" s="414"/>
      <c r="M66" s="415"/>
      <c r="N66" s="25" t="s">
        <v>91</v>
      </c>
    </row>
    <row r="67" spans="1:14" x14ac:dyDescent="0.2">
      <c r="A67" s="24"/>
      <c r="B67" s="26" t="s">
        <v>428</v>
      </c>
      <c r="C67" s="15" t="s">
        <v>1727</v>
      </c>
      <c r="D67" s="15"/>
      <c r="E67" s="16"/>
      <c r="F67" s="16"/>
      <c r="G67" s="16"/>
      <c r="H67" s="16"/>
      <c r="I67" s="16"/>
      <c r="J67" s="16"/>
      <c r="K67" s="16"/>
      <c r="L67" s="16"/>
      <c r="M67" s="16"/>
      <c r="N67" s="27"/>
    </row>
    <row r="68" spans="1:14" x14ac:dyDescent="0.2">
      <c r="A68" s="24"/>
      <c r="B68" s="26" t="s">
        <v>429</v>
      </c>
      <c r="C68" s="15" t="s">
        <v>1728</v>
      </c>
      <c r="D68" s="15"/>
      <c r="E68" s="16"/>
      <c r="F68" s="16"/>
      <c r="G68" s="16"/>
      <c r="H68" s="16"/>
      <c r="I68" s="16"/>
      <c r="J68" s="16"/>
      <c r="K68" s="16"/>
      <c r="L68" s="16"/>
      <c r="M68" s="16"/>
      <c r="N68" s="27"/>
    </row>
    <row r="69" spans="1:14" x14ac:dyDescent="0.2">
      <c r="A69" s="24"/>
      <c r="B69" s="26" t="s">
        <v>427</v>
      </c>
      <c r="C69" s="416" t="s">
        <v>1729</v>
      </c>
      <c r="D69" s="416"/>
      <c r="E69" s="416"/>
      <c r="F69" s="416"/>
      <c r="G69" s="416"/>
      <c r="H69" s="416"/>
      <c r="I69" s="416"/>
      <c r="J69" s="416"/>
      <c r="K69" s="416"/>
      <c r="L69" s="416"/>
      <c r="M69" s="416"/>
      <c r="N69" s="417"/>
    </row>
    <row r="70" spans="1:14" x14ac:dyDescent="0.2">
      <c r="A70" s="24"/>
      <c r="B70" s="15"/>
      <c r="C70" s="416"/>
      <c r="D70" s="416"/>
      <c r="E70" s="416"/>
      <c r="F70" s="416"/>
      <c r="G70" s="416"/>
      <c r="H70" s="416"/>
      <c r="I70" s="416"/>
      <c r="J70" s="416"/>
      <c r="K70" s="416"/>
      <c r="L70" s="416"/>
      <c r="M70" s="416"/>
      <c r="N70" s="417"/>
    </row>
    <row r="71" spans="1:14" x14ac:dyDescent="0.2">
      <c r="A71" s="24"/>
      <c r="B71" s="26" t="s">
        <v>426</v>
      </c>
      <c r="C71" s="15"/>
      <c r="D71" s="15"/>
      <c r="E71" s="16"/>
      <c r="F71" s="16"/>
      <c r="G71" s="16"/>
      <c r="H71" s="16"/>
      <c r="I71" s="16"/>
      <c r="J71" s="16"/>
      <c r="K71" s="16"/>
      <c r="L71" s="16"/>
      <c r="M71" s="16"/>
      <c r="N71" s="27"/>
    </row>
    <row r="72" spans="1:14" ht="13.5" thickBot="1" x14ac:dyDescent="0.25">
      <c r="A72" s="28"/>
      <c r="B72" s="26" t="s">
        <v>430</v>
      </c>
      <c r="C72" s="29"/>
      <c r="D72" s="29"/>
      <c r="E72" s="30"/>
      <c r="F72" s="30"/>
      <c r="G72" s="30"/>
      <c r="H72" s="30"/>
      <c r="I72" s="30"/>
      <c r="J72" s="30"/>
      <c r="K72" s="30"/>
      <c r="L72" s="30"/>
      <c r="M72" s="30"/>
      <c r="N72" s="31"/>
    </row>
    <row r="73" spans="1:14" x14ac:dyDescent="0.2">
      <c r="A73" s="24"/>
      <c r="B73" s="21" t="s">
        <v>263</v>
      </c>
      <c r="C73" s="15"/>
      <c r="D73" s="15"/>
      <c r="E73" s="16"/>
      <c r="F73" s="16"/>
      <c r="G73" s="16"/>
      <c r="H73" s="16"/>
      <c r="I73" s="16"/>
      <c r="J73" s="58" t="s">
        <v>908</v>
      </c>
      <c r="K73" s="55"/>
      <c r="L73" s="55"/>
      <c r="M73" s="55"/>
      <c r="N73" s="55"/>
    </row>
    <row r="74" spans="1:14" ht="13.5" thickBot="1" x14ac:dyDescent="0.25">
      <c r="A74" s="28"/>
      <c r="B74" s="29"/>
      <c r="C74" s="29"/>
      <c r="D74" s="29"/>
      <c r="E74" s="30"/>
      <c r="F74" s="30"/>
      <c r="G74" s="30"/>
      <c r="H74" s="30"/>
      <c r="I74" s="30"/>
      <c r="J74" s="44" t="s">
        <v>612</v>
      </c>
      <c r="K74" s="36" t="s">
        <v>514</v>
      </c>
      <c r="L74" s="36"/>
      <c r="M74" s="36"/>
      <c r="N74" s="36"/>
    </row>
    <row r="75" spans="1:14" x14ac:dyDescent="0.2">
      <c r="A75" s="20"/>
      <c r="B75" s="412" t="s">
        <v>67</v>
      </c>
      <c r="C75" s="412"/>
      <c r="D75" s="412"/>
      <c r="E75" s="22"/>
      <c r="F75" s="22" t="s">
        <v>1180</v>
      </c>
      <c r="G75" s="22" t="s">
        <v>68</v>
      </c>
      <c r="H75" s="22" t="s">
        <v>702</v>
      </c>
      <c r="I75" s="16"/>
      <c r="J75" s="66">
        <f>74.7/ATHENS!O1*ATHENS!O2</f>
        <v>152.44897959183675</v>
      </c>
      <c r="K75" s="66">
        <f>85.9/ATHENS!O1*ATHENS!O2</f>
        <v>175.30612244897961</v>
      </c>
      <c r="L75" s="40"/>
      <c r="M75" s="38"/>
      <c r="N75" s="38"/>
    </row>
    <row r="76" spans="1:14" ht="12.75" customHeight="1" x14ac:dyDescent="0.2">
      <c r="A76" s="24"/>
      <c r="B76" s="411" t="s">
        <v>67</v>
      </c>
      <c r="C76" s="411"/>
      <c r="D76" s="411"/>
      <c r="E76" s="16"/>
      <c r="F76" s="16" t="s">
        <v>1181</v>
      </c>
      <c r="G76" s="16" t="s">
        <v>68</v>
      </c>
      <c r="H76" s="16" t="s">
        <v>702</v>
      </c>
      <c r="I76" s="16"/>
      <c r="J76" s="66">
        <f>44.8/ATHENS!O1*ATHENS!O2</f>
        <v>91.428571428571431</v>
      </c>
      <c r="K76" s="66">
        <f>51.9/ATHENS!O1*ATHENS!O2</f>
        <v>105.91836734693878</v>
      </c>
      <c r="L76" s="40"/>
      <c r="M76" s="40"/>
      <c r="N76" s="40"/>
    </row>
    <row r="77" spans="1:14" x14ac:dyDescent="0.2">
      <c r="A77" s="24"/>
      <c r="B77" s="59" t="s">
        <v>67</v>
      </c>
      <c r="C77" s="15"/>
      <c r="D77" s="15"/>
      <c r="E77" s="16"/>
      <c r="F77" s="16" t="s">
        <v>1182</v>
      </c>
      <c r="G77" s="16" t="s">
        <v>68</v>
      </c>
      <c r="H77" s="16" t="s">
        <v>702</v>
      </c>
      <c r="I77" s="16"/>
      <c r="J77" s="66">
        <f>37.5/ATHENS!O1*ATHENS!O2</f>
        <v>76.530612244897966</v>
      </c>
      <c r="K77" s="66">
        <f>43.5/ATHENS!O1*ATHENS!O2</f>
        <v>88.775510204081641</v>
      </c>
      <c r="L77" s="40"/>
      <c r="M77" s="40"/>
      <c r="N77" s="40"/>
    </row>
    <row r="78" spans="1:14" ht="13.5" thickBot="1" x14ac:dyDescent="0.25">
      <c r="A78" s="28"/>
      <c r="B78" s="418" t="s">
        <v>902</v>
      </c>
      <c r="C78" s="418"/>
      <c r="D78" s="418"/>
      <c r="E78" s="30"/>
      <c r="F78" s="80"/>
      <c r="G78" s="80"/>
      <c r="H78" s="30" t="s">
        <v>702</v>
      </c>
      <c r="I78" s="30"/>
      <c r="J78" s="67">
        <f>15/ATHENS!O1*ATHENS!O2</f>
        <v>30.612244897959183</v>
      </c>
      <c r="K78" s="67">
        <f>15/ATHENS!O1*ATHENS!O2</f>
        <v>30.612244897959183</v>
      </c>
      <c r="L78" s="42"/>
      <c r="M78" s="42"/>
      <c r="N78" s="42"/>
    </row>
    <row r="79" spans="1:14" ht="13.5" thickBot="1" x14ac:dyDescent="0.25">
      <c r="A79" s="14"/>
      <c r="B79" s="15"/>
      <c r="C79" s="15"/>
      <c r="D79" s="15"/>
      <c r="E79" s="16"/>
      <c r="F79" s="16"/>
      <c r="G79" s="16"/>
      <c r="H79" s="16"/>
      <c r="I79" s="16"/>
      <c r="J79" s="16"/>
      <c r="K79" s="16"/>
      <c r="L79" s="16"/>
      <c r="M79" s="16"/>
      <c r="N79" s="16"/>
    </row>
    <row r="80" spans="1:14" x14ac:dyDescent="0.2">
      <c r="A80" s="20"/>
      <c r="B80" s="21"/>
      <c r="C80" s="21"/>
      <c r="D80" s="21"/>
      <c r="E80" s="22"/>
      <c r="F80" s="22"/>
      <c r="G80" s="22"/>
      <c r="H80" s="22"/>
      <c r="I80" s="22"/>
      <c r="J80" s="22"/>
      <c r="K80" s="22"/>
      <c r="L80" s="22"/>
      <c r="M80" s="22"/>
      <c r="N80" s="23"/>
    </row>
    <row r="81" spans="1:14" ht="15" x14ac:dyDescent="0.2">
      <c r="A81" s="24"/>
      <c r="B81" s="413" t="s">
        <v>442</v>
      </c>
      <c r="C81" s="414"/>
      <c r="D81" s="414"/>
      <c r="E81" s="414"/>
      <c r="F81" s="414"/>
      <c r="G81" s="414"/>
      <c r="H81" s="414"/>
      <c r="I81" s="414"/>
      <c r="J81" s="414"/>
      <c r="K81" s="414"/>
      <c r="L81" s="414"/>
      <c r="M81" s="415"/>
      <c r="N81" s="25" t="s">
        <v>1104</v>
      </c>
    </row>
    <row r="82" spans="1:14" x14ac:dyDescent="0.2">
      <c r="A82" s="24"/>
      <c r="B82" s="26" t="s">
        <v>428</v>
      </c>
      <c r="C82" s="15" t="s">
        <v>443</v>
      </c>
      <c r="D82" s="15"/>
      <c r="E82" s="16"/>
      <c r="F82" s="16"/>
      <c r="G82" s="16"/>
      <c r="H82" s="16"/>
      <c r="I82" s="16"/>
      <c r="J82" s="16"/>
      <c r="K82" s="16"/>
      <c r="L82" s="16"/>
      <c r="M82" s="16"/>
      <c r="N82" s="27"/>
    </row>
    <row r="83" spans="1:14" x14ac:dyDescent="0.2">
      <c r="A83" s="24"/>
      <c r="B83" s="26" t="s">
        <v>429</v>
      </c>
      <c r="C83" s="15" t="s">
        <v>142</v>
      </c>
      <c r="D83" s="15"/>
      <c r="E83" s="16"/>
      <c r="F83" s="16"/>
      <c r="G83" s="16"/>
      <c r="H83" s="16"/>
      <c r="I83" s="16"/>
      <c r="J83" s="16"/>
      <c r="K83" s="16"/>
      <c r="L83" s="16"/>
      <c r="M83" s="16"/>
      <c r="N83" s="27"/>
    </row>
    <row r="84" spans="1:14" x14ac:dyDescent="0.2">
      <c r="A84" s="24"/>
      <c r="B84" s="26" t="s">
        <v>427</v>
      </c>
      <c r="C84" s="416" t="s">
        <v>1650</v>
      </c>
      <c r="D84" s="416"/>
      <c r="E84" s="416"/>
      <c r="F84" s="416"/>
      <c r="G84" s="416"/>
      <c r="H84" s="416"/>
      <c r="I84" s="416"/>
      <c r="J84" s="416"/>
      <c r="K84" s="416"/>
      <c r="L84" s="416"/>
      <c r="M84" s="416"/>
      <c r="N84" s="417"/>
    </row>
    <row r="85" spans="1:14" x14ac:dyDescent="0.2">
      <c r="A85" s="24"/>
      <c r="B85" s="15"/>
      <c r="C85" s="416"/>
      <c r="D85" s="416"/>
      <c r="E85" s="416"/>
      <c r="F85" s="416"/>
      <c r="G85" s="416"/>
      <c r="H85" s="416"/>
      <c r="I85" s="416"/>
      <c r="J85" s="416"/>
      <c r="K85" s="416"/>
      <c r="L85" s="416"/>
      <c r="M85" s="416"/>
      <c r="N85" s="417"/>
    </row>
    <row r="86" spans="1:14" x14ac:dyDescent="0.2">
      <c r="A86" s="24"/>
      <c r="B86" s="15"/>
      <c r="C86" s="419"/>
      <c r="D86" s="419"/>
      <c r="E86" s="419"/>
      <c r="F86" s="419"/>
      <c r="G86" s="419"/>
      <c r="H86" s="419"/>
      <c r="I86" s="419"/>
      <c r="J86" s="419"/>
      <c r="K86" s="419"/>
      <c r="L86" s="419"/>
      <c r="M86" s="419"/>
      <c r="N86" s="420"/>
    </row>
    <row r="87" spans="1:14" x14ac:dyDescent="0.2">
      <c r="A87" s="24"/>
      <c r="B87" s="26" t="s">
        <v>426</v>
      </c>
      <c r="C87" s="15" t="s">
        <v>395</v>
      </c>
      <c r="D87" s="15"/>
      <c r="E87" s="16"/>
      <c r="F87" s="16"/>
      <c r="G87" s="16"/>
      <c r="H87" s="16"/>
      <c r="I87" s="16"/>
      <c r="J87" s="16"/>
      <c r="K87" s="16"/>
      <c r="L87" s="16"/>
      <c r="M87" s="16"/>
      <c r="N87" s="27"/>
    </row>
    <row r="88" spans="1:14" ht="13.5" thickBot="1" x14ac:dyDescent="0.25">
      <c r="A88" s="28"/>
      <c r="B88" s="26" t="s">
        <v>430</v>
      </c>
      <c r="C88" s="29"/>
      <c r="D88" s="29"/>
      <c r="E88" s="30"/>
      <c r="F88" s="30"/>
      <c r="G88" s="30"/>
      <c r="H88" s="30"/>
      <c r="I88" s="30"/>
      <c r="J88" s="30"/>
      <c r="K88" s="30"/>
      <c r="L88" s="30"/>
      <c r="M88" s="30"/>
      <c r="N88" s="31"/>
    </row>
    <row r="89" spans="1:14" x14ac:dyDescent="0.2">
      <c r="A89" s="20"/>
      <c r="B89" s="21" t="s">
        <v>263</v>
      </c>
      <c r="C89" s="21"/>
      <c r="D89" s="21"/>
      <c r="E89" s="22"/>
      <c r="F89" s="22"/>
      <c r="G89" s="22"/>
      <c r="H89" s="22"/>
      <c r="I89" s="22"/>
      <c r="J89" s="32" t="s">
        <v>2151</v>
      </c>
      <c r="K89" s="32" t="s">
        <v>2153</v>
      </c>
      <c r="L89" s="33" t="s">
        <v>1579</v>
      </c>
      <c r="M89" s="33"/>
      <c r="N89" s="33"/>
    </row>
    <row r="90" spans="1:14" ht="13.5" thickBot="1" x14ac:dyDescent="0.25">
      <c r="A90" s="28"/>
      <c r="B90" s="29"/>
      <c r="C90" s="29"/>
      <c r="D90" s="29"/>
      <c r="E90" s="30"/>
      <c r="F90" s="30"/>
      <c r="G90" s="30"/>
      <c r="H90" s="30"/>
      <c r="I90" s="30"/>
      <c r="J90" s="35" t="s">
        <v>2152</v>
      </c>
      <c r="K90" s="36" t="s">
        <v>1812</v>
      </c>
      <c r="L90" s="36" t="s">
        <v>433</v>
      </c>
      <c r="M90" s="36" t="s">
        <v>1580</v>
      </c>
      <c r="N90" s="36"/>
    </row>
    <row r="91" spans="1:14" x14ac:dyDescent="0.2">
      <c r="A91" s="20"/>
      <c r="B91" s="412" t="s">
        <v>67</v>
      </c>
      <c r="C91" s="412"/>
      <c r="D91" s="412"/>
      <c r="E91" s="22"/>
      <c r="F91" s="22" t="s">
        <v>1504</v>
      </c>
      <c r="G91" s="22" t="s">
        <v>68</v>
      </c>
      <c r="H91" s="22" t="s">
        <v>702</v>
      </c>
      <c r="I91" s="22"/>
      <c r="J91" s="65">
        <f>206.8/ATHENS!O1*ATHENS!O2</f>
        <v>422.04081632653066</v>
      </c>
      <c r="K91" s="65">
        <f>250.5/ATHENS!O1*ATHENS!O2</f>
        <v>511.22448979591837</v>
      </c>
      <c r="L91" s="68">
        <f>314.8/ATHENS!O1*ATHENS!O2</f>
        <v>642.44897959183675</v>
      </c>
      <c r="M91" s="65">
        <f>350.5/ATHENS!O1*ATHENS!O2</f>
        <v>715.30612244897964</v>
      </c>
      <c r="N91" s="38"/>
    </row>
    <row r="92" spans="1:14" x14ac:dyDescent="0.2">
      <c r="A92" s="24"/>
      <c r="B92" s="411" t="s">
        <v>67</v>
      </c>
      <c r="C92" s="411"/>
      <c r="D92" s="411"/>
      <c r="E92" s="16"/>
      <c r="F92" s="16" t="s">
        <v>1505</v>
      </c>
      <c r="G92" s="16" t="s">
        <v>68</v>
      </c>
      <c r="H92" s="16" t="s">
        <v>702</v>
      </c>
      <c r="I92" s="16"/>
      <c r="J92" s="66">
        <f>129.5/ATHENS!O1*ATHENS!O2</f>
        <v>264.28571428571428</v>
      </c>
      <c r="K92" s="66">
        <f>156.5/ATHENS!O1*ATHENS!O2</f>
        <v>319.38775510204084</v>
      </c>
      <c r="L92" s="66">
        <f>196.9/ATHENS!O1*ATHENS!O2</f>
        <v>401.83673469387759</v>
      </c>
      <c r="M92" s="66">
        <f>218.5/ATHENS!O1*ATHENS!O2</f>
        <v>445.91836734693879</v>
      </c>
      <c r="N92" s="40"/>
    </row>
    <row r="93" spans="1:14" x14ac:dyDescent="0.2">
      <c r="A93" s="24"/>
      <c r="B93" s="411" t="s">
        <v>67</v>
      </c>
      <c r="C93" s="411"/>
      <c r="D93" s="411"/>
      <c r="E93" s="16"/>
      <c r="F93" s="16" t="s">
        <v>1506</v>
      </c>
      <c r="G93" s="16" t="s">
        <v>68</v>
      </c>
      <c r="H93" s="16" t="s">
        <v>702</v>
      </c>
      <c r="I93" s="16"/>
      <c r="J93" s="66">
        <f>97.5/ATHENS!O1*ATHENS!O2</f>
        <v>198.9795918367347</v>
      </c>
      <c r="K93" s="66">
        <f>124.5/ATHENS!O1*ATHENS!O2</f>
        <v>254.08163265306123</v>
      </c>
      <c r="L93" s="66">
        <f>151.6/ATHENS!O1*ATHENS!O2</f>
        <v>309.38775510204079</v>
      </c>
      <c r="M93" s="66">
        <f>165.9/ATHENS!O1*ATHENS!O2</f>
        <v>338.57142857142861</v>
      </c>
      <c r="N93" s="40"/>
    </row>
    <row r="94" spans="1:14" ht="13.5" thickBot="1" x14ac:dyDescent="0.25">
      <c r="A94" s="28"/>
      <c r="B94" s="29" t="s">
        <v>902</v>
      </c>
      <c r="C94" s="29"/>
      <c r="D94" s="29"/>
      <c r="E94" s="30"/>
      <c r="F94" s="30"/>
      <c r="G94" s="30"/>
      <c r="H94" s="30" t="s">
        <v>702</v>
      </c>
      <c r="I94" s="30"/>
      <c r="J94" s="67">
        <f>40/ATHENS!O1*ATHENS!O2</f>
        <v>81.632653061224488</v>
      </c>
      <c r="K94" s="67">
        <f>40/ATHENS!O1*ATHENS!O2</f>
        <v>81.632653061224488</v>
      </c>
      <c r="L94" s="67">
        <f>40/ATHENS!O1*ATHENS!O2</f>
        <v>81.632653061224488</v>
      </c>
      <c r="M94" s="67">
        <f>40/ATHENS!O1*ATHENS!O2</f>
        <v>81.632653061224488</v>
      </c>
      <c r="N94" s="42"/>
    </row>
    <row r="95" spans="1:14" x14ac:dyDescent="0.2">
      <c r="A95" s="14"/>
      <c r="B95" s="15"/>
      <c r="C95" s="15"/>
      <c r="D95" s="15"/>
      <c r="E95" s="16"/>
      <c r="F95" s="16"/>
      <c r="G95" s="16"/>
      <c r="H95" s="16"/>
      <c r="I95" s="16"/>
      <c r="J95" s="16"/>
      <c r="K95" s="16"/>
      <c r="L95" s="16"/>
      <c r="M95" s="16"/>
      <c r="N95" s="16"/>
    </row>
    <row r="96" spans="1:14" x14ac:dyDescent="0.2">
      <c r="A96" s="14"/>
      <c r="B96" s="15"/>
      <c r="C96" s="15"/>
      <c r="D96" s="15"/>
      <c r="E96" s="16"/>
      <c r="F96" s="16"/>
      <c r="G96" s="16"/>
      <c r="H96" s="16"/>
      <c r="I96" s="16"/>
      <c r="J96" s="16"/>
      <c r="K96" s="16"/>
      <c r="L96" s="16"/>
      <c r="M96" s="16"/>
      <c r="N96" s="16"/>
    </row>
    <row r="97" spans="1:14" x14ac:dyDescent="0.2">
      <c r="A97" s="14"/>
      <c r="B97" s="15"/>
      <c r="C97" s="15"/>
      <c r="D97" s="15"/>
      <c r="E97" s="16"/>
      <c r="F97" s="16"/>
      <c r="G97" s="16"/>
      <c r="H97" s="16"/>
      <c r="I97" s="16"/>
      <c r="J97" s="16"/>
      <c r="K97" s="16"/>
      <c r="L97" s="16"/>
      <c r="M97" s="16"/>
      <c r="N97" s="16"/>
    </row>
    <row r="98" spans="1:14" x14ac:dyDescent="0.2">
      <c r="A98" s="14"/>
      <c r="B98" s="15"/>
      <c r="C98" s="15"/>
      <c r="D98" s="15"/>
      <c r="E98" s="16"/>
      <c r="F98" s="16"/>
      <c r="G98" s="16"/>
      <c r="H98" s="16"/>
      <c r="I98" s="16"/>
      <c r="J98" s="16"/>
      <c r="K98" s="16"/>
      <c r="L98" s="16"/>
      <c r="M98" s="16"/>
      <c r="N98" s="16"/>
    </row>
    <row r="99" spans="1:14" x14ac:dyDescent="0.2">
      <c r="A99" s="14"/>
      <c r="B99" s="15"/>
      <c r="C99" s="15"/>
      <c r="D99" s="15"/>
      <c r="E99" s="16"/>
      <c r="F99" s="16"/>
      <c r="G99" s="16"/>
      <c r="H99" s="16"/>
      <c r="I99" s="16"/>
      <c r="J99" s="16"/>
      <c r="K99" s="16"/>
      <c r="L99" s="16"/>
      <c r="M99" s="16"/>
      <c r="N99" s="16"/>
    </row>
    <row r="100" spans="1:14" x14ac:dyDescent="0.2">
      <c r="A100" s="14"/>
      <c r="B100" s="15"/>
      <c r="C100" s="15"/>
      <c r="D100" s="15"/>
      <c r="E100" s="16"/>
      <c r="F100" s="16"/>
      <c r="G100" s="16"/>
      <c r="H100" s="16"/>
      <c r="I100" s="16"/>
      <c r="J100" s="16"/>
      <c r="K100" s="16"/>
      <c r="L100" s="16"/>
      <c r="M100" s="16"/>
      <c r="N100" s="16"/>
    </row>
    <row r="101" spans="1:14" x14ac:dyDescent="0.2">
      <c r="A101" s="14"/>
      <c r="B101" s="15"/>
      <c r="C101" s="15"/>
      <c r="D101" s="15"/>
      <c r="E101" s="16"/>
      <c r="F101" s="16"/>
      <c r="G101" s="16"/>
      <c r="H101" s="16"/>
      <c r="I101" s="16"/>
      <c r="J101" s="16"/>
      <c r="K101" s="16"/>
      <c r="L101" s="16"/>
      <c r="M101" s="16"/>
      <c r="N101" s="16"/>
    </row>
    <row r="102" spans="1:14" x14ac:dyDescent="0.2">
      <c r="A102" s="14"/>
      <c r="B102" s="15"/>
      <c r="C102" s="15"/>
      <c r="D102" s="15"/>
      <c r="E102" s="16"/>
      <c r="F102" s="16"/>
      <c r="G102" s="16"/>
      <c r="H102" s="16"/>
      <c r="I102" s="16"/>
      <c r="J102" s="16"/>
      <c r="K102" s="16"/>
      <c r="L102" s="16"/>
      <c r="M102" s="16"/>
      <c r="N102" s="16"/>
    </row>
    <row r="103" spans="1:14" x14ac:dyDescent="0.2">
      <c r="A103" s="14"/>
      <c r="B103" s="15"/>
      <c r="C103" s="15"/>
      <c r="D103" s="15"/>
      <c r="E103" s="16"/>
      <c r="F103" s="16"/>
      <c r="G103" s="16"/>
      <c r="H103" s="16"/>
      <c r="I103" s="16"/>
      <c r="J103" s="16"/>
      <c r="K103" s="16"/>
      <c r="L103" s="16"/>
      <c r="M103" s="16"/>
      <c r="N103" s="16"/>
    </row>
    <row r="104" spans="1:14" x14ac:dyDescent="0.2">
      <c r="A104" s="14"/>
      <c r="B104" s="15"/>
      <c r="C104" s="15"/>
      <c r="D104" s="15"/>
      <c r="E104" s="16"/>
      <c r="F104" s="16"/>
      <c r="G104" s="16"/>
      <c r="H104" s="16"/>
      <c r="I104" s="16"/>
      <c r="J104" s="16"/>
      <c r="K104" s="16"/>
      <c r="L104" s="16"/>
      <c r="M104" s="16"/>
      <c r="N104" s="16"/>
    </row>
    <row r="107" spans="1:14" ht="13.5" thickBot="1" x14ac:dyDescent="0.25">
      <c r="A107" s="14"/>
      <c r="B107" s="15"/>
      <c r="C107" s="15"/>
      <c r="D107" s="15"/>
      <c r="E107" s="16"/>
      <c r="F107" s="16"/>
      <c r="G107" s="16"/>
      <c r="H107" s="16"/>
      <c r="I107" s="16"/>
      <c r="J107" s="16"/>
      <c r="K107" s="16"/>
      <c r="L107" s="16"/>
      <c r="M107" s="16"/>
      <c r="N107" s="16"/>
    </row>
    <row r="108" spans="1:14" x14ac:dyDescent="0.2">
      <c r="A108" s="20"/>
      <c r="B108" s="21"/>
      <c r="C108" s="21"/>
      <c r="D108" s="21"/>
      <c r="E108" s="22"/>
      <c r="F108" s="22"/>
      <c r="G108" s="22"/>
      <c r="H108" s="22"/>
      <c r="I108" s="22"/>
      <c r="J108" s="22"/>
      <c r="K108" s="22"/>
      <c r="L108" s="22"/>
      <c r="M108" s="22"/>
      <c r="N108" s="23"/>
    </row>
    <row r="109" spans="1:14" ht="15" x14ac:dyDescent="0.2">
      <c r="A109" s="24"/>
      <c r="B109" s="413" t="s">
        <v>805</v>
      </c>
      <c r="C109" s="414"/>
      <c r="D109" s="414"/>
      <c r="E109" s="414"/>
      <c r="F109" s="414"/>
      <c r="G109" s="414"/>
      <c r="H109" s="414"/>
      <c r="I109" s="414"/>
      <c r="J109" s="414"/>
      <c r="K109" s="414"/>
      <c r="L109" s="414"/>
      <c r="M109" s="415"/>
      <c r="N109" s="25" t="s">
        <v>1104</v>
      </c>
    </row>
    <row r="110" spans="1:14" x14ac:dyDescent="0.2">
      <c r="A110" s="24"/>
      <c r="B110" s="26" t="s">
        <v>428</v>
      </c>
      <c r="C110" s="15" t="s">
        <v>1142</v>
      </c>
      <c r="D110" s="15"/>
      <c r="E110" s="16"/>
      <c r="F110" s="16"/>
      <c r="G110" s="16"/>
      <c r="H110" s="16"/>
      <c r="I110" s="16"/>
      <c r="J110" s="16"/>
      <c r="K110" s="16"/>
      <c r="L110" s="16"/>
      <c r="M110" s="16"/>
      <c r="N110" s="27"/>
    </row>
    <row r="111" spans="1:14" x14ac:dyDescent="0.2">
      <c r="A111" s="24"/>
      <c r="B111" s="26" t="s">
        <v>429</v>
      </c>
      <c r="C111" s="15" t="s">
        <v>444</v>
      </c>
      <c r="D111" s="15"/>
      <c r="E111" s="16"/>
      <c r="F111" s="16"/>
      <c r="G111" s="16"/>
      <c r="H111" s="16"/>
      <c r="I111" s="16"/>
      <c r="J111" s="16"/>
      <c r="K111" s="16"/>
      <c r="L111" s="16"/>
      <c r="M111" s="16"/>
      <c r="N111" s="27"/>
    </row>
    <row r="112" spans="1:14" x14ac:dyDescent="0.2">
      <c r="A112" s="24"/>
      <c r="B112" s="26" t="s">
        <v>427</v>
      </c>
      <c r="C112" s="416" t="s">
        <v>1512</v>
      </c>
      <c r="D112" s="416"/>
      <c r="E112" s="416"/>
      <c r="F112" s="416"/>
      <c r="G112" s="416"/>
      <c r="H112" s="416"/>
      <c r="I112" s="416"/>
      <c r="J112" s="416"/>
      <c r="K112" s="416"/>
      <c r="L112" s="416"/>
      <c r="M112" s="416"/>
      <c r="N112" s="417"/>
    </row>
    <row r="113" spans="1:14" x14ac:dyDescent="0.2">
      <c r="A113" s="24"/>
      <c r="B113" s="15"/>
      <c r="C113" s="416"/>
      <c r="D113" s="416"/>
      <c r="E113" s="416"/>
      <c r="F113" s="416"/>
      <c r="G113" s="416"/>
      <c r="H113" s="416"/>
      <c r="I113" s="416"/>
      <c r="J113" s="416"/>
      <c r="K113" s="416"/>
      <c r="L113" s="416"/>
      <c r="M113" s="416"/>
      <c r="N113" s="417"/>
    </row>
    <row r="114" spans="1:14" x14ac:dyDescent="0.2">
      <c r="A114" s="24"/>
      <c r="B114" s="15"/>
      <c r="C114" s="416"/>
      <c r="D114" s="416"/>
      <c r="E114" s="416"/>
      <c r="F114" s="416"/>
      <c r="G114" s="416"/>
      <c r="H114" s="416"/>
      <c r="I114" s="416"/>
      <c r="J114" s="416"/>
      <c r="K114" s="416"/>
      <c r="L114" s="416"/>
      <c r="M114" s="416"/>
      <c r="N114" s="417"/>
    </row>
    <row r="115" spans="1:14" x14ac:dyDescent="0.2">
      <c r="A115" s="24"/>
      <c r="B115" s="15"/>
      <c r="C115" s="419"/>
      <c r="D115" s="419"/>
      <c r="E115" s="419"/>
      <c r="F115" s="419"/>
      <c r="G115" s="419"/>
      <c r="H115" s="419"/>
      <c r="I115" s="419"/>
      <c r="J115" s="419"/>
      <c r="K115" s="419"/>
      <c r="L115" s="419"/>
      <c r="M115" s="419"/>
      <c r="N115" s="420"/>
    </row>
    <row r="116" spans="1:14" x14ac:dyDescent="0.2">
      <c r="A116" s="24"/>
      <c r="B116" s="15"/>
      <c r="C116" s="419"/>
      <c r="D116" s="419"/>
      <c r="E116" s="419"/>
      <c r="F116" s="419"/>
      <c r="G116" s="419"/>
      <c r="H116" s="419"/>
      <c r="I116" s="419"/>
      <c r="J116" s="419"/>
      <c r="K116" s="419"/>
      <c r="L116" s="419"/>
      <c r="M116" s="419"/>
      <c r="N116" s="420"/>
    </row>
    <row r="117" spans="1:14" x14ac:dyDescent="0.2">
      <c r="A117" s="24"/>
      <c r="B117" s="26" t="s">
        <v>426</v>
      </c>
      <c r="C117" s="15" t="s">
        <v>250</v>
      </c>
      <c r="D117" s="15"/>
      <c r="E117" s="16"/>
      <c r="F117" s="16"/>
      <c r="G117" s="16"/>
      <c r="H117" s="16"/>
      <c r="I117" s="16"/>
      <c r="J117" s="16"/>
      <c r="K117" s="16"/>
      <c r="L117" s="16"/>
      <c r="M117" s="16"/>
      <c r="N117" s="27"/>
    </row>
    <row r="118" spans="1:14" x14ac:dyDescent="0.2">
      <c r="A118" s="24"/>
      <c r="B118" s="26" t="s">
        <v>430</v>
      </c>
      <c r="C118" s="15" t="s">
        <v>251</v>
      </c>
      <c r="D118" s="15"/>
      <c r="E118" s="16"/>
      <c r="F118" s="16"/>
      <c r="G118" s="16"/>
      <c r="H118" s="16"/>
      <c r="I118" s="16"/>
      <c r="J118" s="16"/>
      <c r="K118" s="16"/>
      <c r="L118" s="16"/>
      <c r="M118" s="16"/>
      <c r="N118" s="27"/>
    </row>
    <row r="119" spans="1:14" ht="13.5" thickBot="1" x14ac:dyDescent="0.25">
      <c r="A119" s="28"/>
      <c r="B119" s="43"/>
      <c r="C119" s="29" t="s">
        <v>252</v>
      </c>
      <c r="D119" s="29"/>
      <c r="E119" s="30"/>
      <c r="F119" s="30"/>
      <c r="G119" s="30"/>
      <c r="H119" s="30"/>
      <c r="I119" s="30"/>
      <c r="J119" s="30"/>
      <c r="K119" s="30"/>
      <c r="L119" s="30"/>
      <c r="M119" s="30"/>
      <c r="N119" s="31"/>
    </row>
    <row r="120" spans="1:14" x14ac:dyDescent="0.2">
      <c r="A120" s="20"/>
      <c r="B120" s="21" t="s">
        <v>263</v>
      </c>
      <c r="C120" s="21"/>
      <c r="D120" s="21"/>
      <c r="E120" s="22"/>
      <c r="F120" s="22"/>
      <c r="G120" s="22"/>
      <c r="H120" s="22"/>
      <c r="I120" s="22"/>
      <c r="J120" s="32"/>
      <c r="K120" s="33" t="s">
        <v>1416</v>
      </c>
      <c r="L120" s="33" t="s">
        <v>1417</v>
      </c>
      <c r="M120" s="33" t="s">
        <v>618</v>
      </c>
      <c r="N120" s="33"/>
    </row>
    <row r="121" spans="1:14" ht="13.5" thickBot="1" x14ac:dyDescent="0.25">
      <c r="A121" s="28"/>
      <c r="B121" s="29"/>
      <c r="C121" s="29"/>
      <c r="D121" s="29"/>
      <c r="E121" s="30"/>
      <c r="F121" s="30"/>
      <c r="G121" s="30"/>
      <c r="H121" s="30"/>
      <c r="I121" s="30"/>
      <c r="J121" s="44" t="s">
        <v>2136</v>
      </c>
      <c r="K121" s="36" t="s">
        <v>2137</v>
      </c>
      <c r="L121" s="36" t="s">
        <v>1418</v>
      </c>
      <c r="M121" s="36" t="s">
        <v>398</v>
      </c>
      <c r="N121" s="36" t="s">
        <v>831</v>
      </c>
    </row>
    <row r="122" spans="1:14" x14ac:dyDescent="0.2">
      <c r="A122" s="24"/>
      <c r="B122" s="411" t="s">
        <v>67</v>
      </c>
      <c r="C122" s="411"/>
      <c r="D122" s="411"/>
      <c r="E122" s="16"/>
      <c r="F122" s="16" t="s">
        <v>1180</v>
      </c>
      <c r="G122" s="16" t="s">
        <v>1487</v>
      </c>
      <c r="H122" s="16" t="s">
        <v>702</v>
      </c>
      <c r="I122" s="16"/>
      <c r="J122" s="66">
        <f>131.5/ATHENS!O1*ATHENS!O2</f>
        <v>268.36734693877554</v>
      </c>
      <c r="K122" s="66">
        <f>158.8/ATHENS!O1*ATHENS!O2</f>
        <v>324.08163265306126</v>
      </c>
      <c r="L122" s="66">
        <f>224.5/ATHENS!O1*ATHENS!O2</f>
        <v>458.16326530612247</v>
      </c>
      <c r="M122" s="66">
        <f>249.5/ATHENS!O1*ATHENS!O2</f>
        <v>509.18367346938777</v>
      </c>
      <c r="N122" s="66">
        <f>282.5/ATHENS!O1*ATHENS!O2</f>
        <v>576.53061224489795</v>
      </c>
    </row>
    <row r="123" spans="1:14" x14ac:dyDescent="0.2">
      <c r="A123" s="24"/>
      <c r="B123" s="411" t="s">
        <v>67</v>
      </c>
      <c r="C123" s="411"/>
      <c r="D123" s="411"/>
      <c r="E123" s="16"/>
      <c r="F123" s="16" t="s">
        <v>1181</v>
      </c>
      <c r="G123" s="16" t="s">
        <v>1487</v>
      </c>
      <c r="H123" s="16" t="s">
        <v>702</v>
      </c>
      <c r="I123" s="16"/>
      <c r="J123" s="66">
        <f>65.75/ATHENS!O1*ATHENS!O2</f>
        <v>134.18367346938777</v>
      </c>
      <c r="K123" s="66">
        <f>79.5/ATHENS!O1*ATHENS!O2</f>
        <v>162.24489795918367</v>
      </c>
      <c r="L123" s="66">
        <f>112.5/ATHENS!O1*ATHENS!O2</f>
        <v>229.59183673469389</v>
      </c>
      <c r="M123" s="66">
        <f>124.7/ATHENS!O1*ATHENS!O2</f>
        <v>254.48979591836735</v>
      </c>
      <c r="N123" s="66">
        <f>141.5/ATHENS!O1*ATHENS!O2</f>
        <v>288.77551020408163</v>
      </c>
    </row>
    <row r="124" spans="1:14" ht="13.5" thickBot="1" x14ac:dyDescent="0.25">
      <c r="A124" s="28"/>
      <c r="B124" s="418" t="s">
        <v>67</v>
      </c>
      <c r="C124" s="418"/>
      <c r="D124" s="418"/>
      <c r="E124" s="30"/>
      <c r="F124" s="30" t="s">
        <v>1182</v>
      </c>
      <c r="G124" s="30" t="s">
        <v>1487</v>
      </c>
      <c r="H124" s="30" t="s">
        <v>702</v>
      </c>
      <c r="I124" s="30"/>
      <c r="J124" s="67">
        <f>59.5/ATHENS!O1*ATHENS!O2</f>
        <v>121.42857142857143</v>
      </c>
      <c r="K124" s="67">
        <f>71.8/ATHENS!O1*ATHENS!O2</f>
        <v>146.53061224489795</v>
      </c>
      <c r="L124" s="67">
        <f>101.5/ATHENS!O1*ATHENS!O2</f>
        <v>207.14285714285714</v>
      </c>
      <c r="M124" s="67">
        <f>112.5/ATHENS!O1*ATHENS!O2</f>
        <v>229.59183673469389</v>
      </c>
      <c r="N124" s="67">
        <f>127.6/ATHENS!O1*ATHENS!O2</f>
        <v>260.40816326530614</v>
      </c>
    </row>
    <row r="125" spans="1:14" ht="13.5" thickBot="1" x14ac:dyDescent="0.25">
      <c r="A125" s="14"/>
      <c r="B125" s="15"/>
      <c r="C125" s="15"/>
      <c r="D125" s="15"/>
      <c r="E125" s="16"/>
      <c r="F125" s="16"/>
      <c r="G125" s="16"/>
      <c r="H125" s="16"/>
      <c r="I125" s="16"/>
      <c r="J125" s="68"/>
      <c r="K125" s="68"/>
      <c r="L125" s="68"/>
      <c r="M125" s="68"/>
      <c r="N125" s="68"/>
    </row>
    <row r="126" spans="1:14" x14ac:dyDescent="0.2">
      <c r="A126" s="20"/>
      <c r="B126" s="21"/>
      <c r="C126" s="21"/>
      <c r="D126" s="21"/>
      <c r="E126" s="22"/>
      <c r="F126" s="22"/>
      <c r="G126" s="22"/>
      <c r="H126" s="22"/>
      <c r="I126" s="22"/>
      <c r="J126" s="22"/>
      <c r="K126" s="22"/>
      <c r="L126" s="22"/>
      <c r="M126" s="22"/>
      <c r="N126" s="23"/>
    </row>
    <row r="127" spans="1:14" ht="15" x14ac:dyDescent="0.2">
      <c r="A127" s="24"/>
      <c r="B127" s="413" t="s">
        <v>435</v>
      </c>
      <c r="C127" s="414"/>
      <c r="D127" s="414"/>
      <c r="E127" s="414"/>
      <c r="F127" s="414"/>
      <c r="G127" s="414"/>
      <c r="H127" s="414"/>
      <c r="I127" s="414"/>
      <c r="J127" s="414"/>
      <c r="K127" s="414"/>
      <c r="L127" s="414"/>
      <c r="M127" s="415"/>
      <c r="N127" s="25" t="s">
        <v>1104</v>
      </c>
    </row>
    <row r="128" spans="1:14" x14ac:dyDescent="0.2">
      <c r="A128" s="24"/>
      <c r="B128" s="26" t="s">
        <v>428</v>
      </c>
      <c r="C128" s="15" t="s">
        <v>436</v>
      </c>
      <c r="D128" s="15"/>
      <c r="E128" s="16"/>
      <c r="F128" s="16"/>
      <c r="G128" s="16"/>
      <c r="H128" s="16"/>
      <c r="I128" s="16"/>
      <c r="J128" s="16"/>
      <c r="K128" s="16"/>
      <c r="L128" s="16"/>
      <c r="M128" s="16"/>
      <c r="N128" s="27"/>
    </row>
    <row r="129" spans="1:14" x14ac:dyDescent="0.2">
      <c r="A129" s="24"/>
      <c r="B129" s="26" t="s">
        <v>429</v>
      </c>
      <c r="C129" s="15" t="s">
        <v>143</v>
      </c>
      <c r="D129" s="15"/>
      <c r="E129" s="16"/>
      <c r="F129" s="16"/>
      <c r="G129" s="16"/>
      <c r="H129" s="16"/>
      <c r="I129" s="16"/>
      <c r="J129" s="16"/>
      <c r="K129" s="16"/>
      <c r="L129" s="16"/>
      <c r="M129" s="16"/>
      <c r="N129" s="27"/>
    </row>
    <row r="130" spans="1:14" x14ac:dyDescent="0.2">
      <c r="A130" s="24"/>
      <c r="B130" s="26" t="s">
        <v>427</v>
      </c>
      <c r="C130" s="416" t="s">
        <v>1262</v>
      </c>
      <c r="D130" s="416"/>
      <c r="E130" s="416"/>
      <c r="F130" s="416"/>
      <c r="G130" s="416"/>
      <c r="H130" s="416"/>
      <c r="I130" s="416"/>
      <c r="J130" s="416"/>
      <c r="K130" s="416"/>
      <c r="L130" s="416"/>
      <c r="M130" s="416"/>
      <c r="N130" s="417"/>
    </row>
    <row r="131" spans="1:14" x14ac:dyDescent="0.2">
      <c r="A131" s="24"/>
      <c r="B131" s="15"/>
      <c r="C131" s="416"/>
      <c r="D131" s="416"/>
      <c r="E131" s="416"/>
      <c r="F131" s="416"/>
      <c r="G131" s="416"/>
      <c r="H131" s="416"/>
      <c r="I131" s="416"/>
      <c r="J131" s="416"/>
      <c r="K131" s="416"/>
      <c r="L131" s="416"/>
      <c r="M131" s="416"/>
      <c r="N131" s="417"/>
    </row>
    <row r="132" spans="1:14" x14ac:dyDescent="0.2">
      <c r="A132" s="24"/>
      <c r="B132" s="15"/>
      <c r="C132" s="419"/>
      <c r="D132" s="419"/>
      <c r="E132" s="419"/>
      <c r="F132" s="419"/>
      <c r="G132" s="419"/>
      <c r="H132" s="419"/>
      <c r="I132" s="419"/>
      <c r="J132" s="419"/>
      <c r="K132" s="419"/>
      <c r="L132" s="419"/>
      <c r="M132" s="419"/>
      <c r="N132" s="420"/>
    </row>
    <row r="133" spans="1:14" x14ac:dyDescent="0.2">
      <c r="A133" s="24"/>
      <c r="B133" s="15"/>
      <c r="C133" s="419"/>
      <c r="D133" s="419"/>
      <c r="E133" s="419"/>
      <c r="F133" s="419"/>
      <c r="G133" s="419"/>
      <c r="H133" s="419"/>
      <c r="I133" s="419"/>
      <c r="J133" s="419"/>
      <c r="K133" s="419"/>
      <c r="L133" s="419"/>
      <c r="M133" s="419"/>
      <c r="N133" s="420"/>
    </row>
    <row r="134" spans="1:14" x14ac:dyDescent="0.2">
      <c r="A134" s="24"/>
      <c r="B134" s="26" t="s">
        <v>426</v>
      </c>
      <c r="C134" s="15"/>
      <c r="D134" s="15"/>
      <c r="E134" s="16"/>
      <c r="F134" s="16"/>
      <c r="G134" s="16"/>
      <c r="H134" s="16"/>
      <c r="I134" s="16"/>
      <c r="J134" s="16"/>
      <c r="K134" s="16"/>
      <c r="L134" s="16"/>
      <c r="M134" s="16"/>
      <c r="N134" s="27"/>
    </row>
    <row r="135" spans="1:14" x14ac:dyDescent="0.2">
      <c r="A135" s="24"/>
      <c r="B135" s="26" t="s">
        <v>430</v>
      </c>
      <c r="C135" s="15"/>
      <c r="D135" s="15"/>
      <c r="E135" s="16"/>
      <c r="F135" s="16"/>
      <c r="G135" s="16"/>
      <c r="H135" s="16"/>
      <c r="I135" s="16"/>
      <c r="J135" s="16"/>
      <c r="K135" s="16"/>
      <c r="L135" s="16"/>
      <c r="M135" s="16"/>
      <c r="N135" s="27"/>
    </row>
    <row r="136" spans="1:14" ht="13.5" thickBot="1" x14ac:dyDescent="0.25">
      <c r="A136" s="28"/>
      <c r="B136" s="43"/>
      <c r="C136" s="29"/>
      <c r="D136" s="29"/>
      <c r="E136" s="30"/>
      <c r="F136" s="30"/>
      <c r="G136" s="30"/>
      <c r="H136" s="30"/>
      <c r="I136" s="30"/>
      <c r="J136" s="30"/>
      <c r="K136" s="30"/>
      <c r="L136" s="30"/>
      <c r="M136" s="30"/>
      <c r="N136" s="31"/>
    </row>
    <row r="137" spans="1:14" x14ac:dyDescent="0.2">
      <c r="A137" s="20"/>
      <c r="B137" s="21" t="s">
        <v>263</v>
      </c>
      <c r="C137" s="21"/>
      <c r="D137" s="21"/>
      <c r="E137" s="22"/>
      <c r="F137" s="22"/>
      <c r="G137" s="22"/>
      <c r="H137" s="22"/>
      <c r="I137" s="22"/>
      <c r="J137" s="32" t="s">
        <v>1909</v>
      </c>
      <c r="K137" s="33" t="s">
        <v>340</v>
      </c>
      <c r="L137" s="33" t="s">
        <v>519</v>
      </c>
      <c r="M137" s="33"/>
      <c r="N137" s="33"/>
    </row>
    <row r="138" spans="1:14" ht="13.5" thickBot="1" x14ac:dyDescent="0.25">
      <c r="A138" s="28"/>
      <c r="B138" s="29"/>
      <c r="C138" s="29"/>
      <c r="D138" s="29"/>
      <c r="E138" s="30"/>
      <c r="F138" s="30"/>
      <c r="G138" s="30"/>
      <c r="H138" s="30"/>
      <c r="I138" s="30"/>
      <c r="J138" s="44" t="s">
        <v>481</v>
      </c>
      <c r="K138" s="36" t="s">
        <v>341</v>
      </c>
      <c r="L138" s="36" t="s">
        <v>755</v>
      </c>
      <c r="M138" s="36" t="s">
        <v>437</v>
      </c>
      <c r="N138" s="36"/>
    </row>
    <row r="139" spans="1:14" x14ac:dyDescent="0.2">
      <c r="A139" s="20"/>
      <c r="B139" s="412" t="s">
        <v>67</v>
      </c>
      <c r="C139" s="412"/>
      <c r="D139" s="412"/>
      <c r="E139" s="22"/>
      <c r="F139" s="22" t="s">
        <v>1180</v>
      </c>
      <c r="G139" s="22" t="s">
        <v>1484</v>
      </c>
      <c r="H139" s="22" t="s">
        <v>702</v>
      </c>
      <c r="I139" s="22"/>
      <c r="J139" s="65">
        <f>63/ATHENS!O1*ATHENS!O2</f>
        <v>128.57142857142858</v>
      </c>
      <c r="K139" s="65">
        <f>79.5/ATHENS!O1*ATHENS!O2</f>
        <v>162.24489795918367</v>
      </c>
      <c r="L139" s="65">
        <f>97.5/ATHENS!O1*ATHENS!O2</f>
        <v>198.9795918367347</v>
      </c>
      <c r="M139" s="65">
        <f>126.5/ATHENS!O1*ATHENS!O2</f>
        <v>258.16326530612247</v>
      </c>
      <c r="N139" s="38"/>
    </row>
    <row r="140" spans="1:14" x14ac:dyDescent="0.2">
      <c r="A140" s="24"/>
      <c r="B140" s="15" t="s">
        <v>874</v>
      </c>
      <c r="C140" s="15"/>
      <c r="D140" s="15"/>
      <c r="E140" s="16"/>
      <c r="F140" s="16" t="s">
        <v>518</v>
      </c>
      <c r="G140" s="16" t="s">
        <v>1484</v>
      </c>
      <c r="H140" s="16" t="s">
        <v>702</v>
      </c>
      <c r="I140" s="16"/>
      <c r="J140" s="66">
        <f>38.5/ATHENS!O1*ATHENS!O2</f>
        <v>78.571428571428569</v>
      </c>
      <c r="K140" s="66">
        <f>49.5/ATHENS!O1*ATHENS!O2</f>
        <v>101.0204081632653</v>
      </c>
      <c r="L140" s="66">
        <f>62.5/ATHENS!O1*ATHENS!O2</f>
        <v>127.55102040816327</v>
      </c>
      <c r="M140" s="66">
        <f>78.5/ATHENS!O1*ATHENS!O2</f>
        <v>160.20408163265307</v>
      </c>
      <c r="N140" s="40"/>
    </row>
    <row r="141" spans="1:14" x14ac:dyDescent="0.2">
      <c r="A141" s="24"/>
      <c r="B141" s="15" t="s">
        <v>874</v>
      </c>
      <c r="C141" s="15"/>
      <c r="D141" s="15"/>
      <c r="E141" s="16"/>
      <c r="F141" s="16" t="s">
        <v>705</v>
      </c>
      <c r="G141" s="16" t="s">
        <v>1484</v>
      </c>
      <c r="H141" s="16" t="s">
        <v>702</v>
      </c>
      <c r="I141" s="16"/>
      <c r="J141" s="66">
        <f>34.9/ATHENS!O1*ATHENS!O2</f>
        <v>71.224489795918359</v>
      </c>
      <c r="K141" s="66">
        <f>44.8/ATHENS!O1*ATHENS!O2</f>
        <v>91.428571428571431</v>
      </c>
      <c r="L141" s="66">
        <f>56.5/ATHENS!O1*ATHENS!O2</f>
        <v>115.30612244897959</v>
      </c>
      <c r="M141" s="66">
        <f>70.6/ATHENS!O1*ATHENS!O2</f>
        <v>144.08163265306121</v>
      </c>
      <c r="N141" s="40"/>
    </row>
    <row r="142" spans="1:14" ht="13.5" thickBot="1" x14ac:dyDescent="0.25">
      <c r="A142" s="28"/>
      <c r="B142" s="418"/>
      <c r="C142" s="418"/>
      <c r="D142" s="418"/>
      <c r="E142" s="30"/>
      <c r="F142" s="30"/>
      <c r="G142" s="30"/>
      <c r="H142" s="30"/>
      <c r="I142" s="30"/>
      <c r="J142" s="67"/>
      <c r="K142" s="67"/>
      <c r="L142" s="67"/>
      <c r="M142" s="67"/>
      <c r="N142" s="42"/>
    </row>
    <row r="143" spans="1:14" x14ac:dyDescent="0.2">
      <c r="A143" s="14"/>
      <c r="B143" s="15"/>
      <c r="C143" s="15"/>
      <c r="D143" s="15"/>
      <c r="E143" s="16"/>
      <c r="F143" s="16"/>
      <c r="G143" s="16"/>
      <c r="H143" s="16"/>
      <c r="I143" s="16"/>
      <c r="J143" s="68"/>
      <c r="K143" s="68"/>
      <c r="L143" s="68"/>
      <c r="M143" s="68"/>
      <c r="N143" s="68"/>
    </row>
    <row r="144" spans="1:14" x14ac:dyDescent="0.2">
      <c r="A144" s="14"/>
      <c r="B144" s="15"/>
      <c r="C144" s="15"/>
      <c r="D144" s="15"/>
      <c r="E144" s="16"/>
      <c r="F144" s="16"/>
      <c r="G144" s="16"/>
      <c r="H144" s="16"/>
      <c r="I144" s="16"/>
      <c r="J144" s="68"/>
      <c r="K144" s="68"/>
      <c r="L144" s="68"/>
      <c r="M144" s="68"/>
      <c r="N144" s="68"/>
    </row>
    <row r="145" spans="1:14" x14ac:dyDescent="0.2">
      <c r="A145" s="14"/>
      <c r="B145" s="15"/>
      <c r="C145" s="15"/>
      <c r="D145" s="15"/>
      <c r="E145" s="16"/>
      <c r="F145" s="16"/>
      <c r="G145" s="16"/>
      <c r="H145" s="16"/>
      <c r="I145" s="16"/>
      <c r="J145" s="68"/>
      <c r="K145" s="68"/>
      <c r="L145" s="68"/>
      <c r="M145" s="68"/>
      <c r="N145" s="68"/>
    </row>
    <row r="146" spans="1:14" x14ac:dyDescent="0.2">
      <c r="A146" s="14"/>
      <c r="B146" s="15"/>
      <c r="C146" s="15"/>
      <c r="D146" s="15"/>
      <c r="E146" s="16"/>
      <c r="F146" s="16"/>
      <c r="G146" s="16"/>
      <c r="H146" s="16"/>
      <c r="I146" s="16"/>
      <c r="J146" s="68"/>
      <c r="K146" s="68"/>
      <c r="L146" s="68"/>
      <c r="M146" s="68"/>
      <c r="N146" s="68"/>
    </row>
    <row r="147" spans="1:14" x14ac:dyDescent="0.2">
      <c r="A147" s="14"/>
      <c r="B147" s="15"/>
      <c r="C147" s="15"/>
      <c r="D147" s="15"/>
      <c r="E147" s="16"/>
      <c r="F147" s="16"/>
      <c r="G147" s="16"/>
      <c r="H147" s="16"/>
      <c r="I147" s="16"/>
      <c r="J147" s="68"/>
      <c r="K147" s="68"/>
      <c r="L147" s="68"/>
      <c r="M147" s="68"/>
      <c r="N147" s="68"/>
    </row>
    <row r="148" spans="1:14" x14ac:dyDescent="0.2">
      <c r="A148" s="14"/>
      <c r="B148" s="15"/>
      <c r="C148" s="15"/>
      <c r="D148" s="15"/>
      <c r="E148" s="16"/>
      <c r="F148" s="16"/>
      <c r="G148" s="16"/>
      <c r="H148" s="16"/>
      <c r="I148" s="16"/>
      <c r="J148" s="68"/>
      <c r="K148" s="68"/>
      <c r="L148" s="68"/>
      <c r="M148" s="68"/>
      <c r="N148" s="68"/>
    </row>
    <row r="149" spans="1:14" x14ac:dyDescent="0.2">
      <c r="A149" s="14"/>
      <c r="B149" s="15"/>
      <c r="C149" s="15"/>
      <c r="D149" s="15"/>
      <c r="E149" s="16"/>
      <c r="F149" s="16"/>
      <c r="G149" s="16"/>
      <c r="H149" s="16"/>
      <c r="I149" s="16"/>
      <c r="J149" s="68"/>
      <c r="K149" s="68"/>
      <c r="L149" s="68"/>
      <c r="M149" s="68"/>
      <c r="N149" s="68"/>
    </row>
    <row r="150" spans="1:14" x14ac:dyDescent="0.2">
      <c r="A150" s="14"/>
      <c r="B150" s="15"/>
      <c r="C150" s="15"/>
      <c r="D150" s="15"/>
      <c r="E150" s="16"/>
      <c r="F150" s="16"/>
      <c r="G150" s="16"/>
      <c r="H150" s="16"/>
      <c r="I150" s="16"/>
      <c r="J150" s="68"/>
      <c r="K150" s="68"/>
      <c r="L150" s="68"/>
      <c r="M150" s="68"/>
      <c r="N150" s="68"/>
    </row>
    <row r="151" spans="1:14" x14ac:dyDescent="0.2">
      <c r="A151" s="14"/>
      <c r="B151" s="15"/>
      <c r="C151" s="15"/>
      <c r="D151" s="15"/>
      <c r="E151" s="16"/>
      <c r="F151" s="16"/>
      <c r="G151" s="16"/>
      <c r="H151" s="16"/>
      <c r="I151" s="16"/>
      <c r="J151" s="68"/>
      <c r="K151" s="68"/>
      <c r="L151" s="68"/>
      <c r="M151" s="68"/>
      <c r="N151" s="68"/>
    </row>
    <row r="152" spans="1:14" x14ac:dyDescent="0.2">
      <c r="A152" s="14"/>
      <c r="B152" s="15"/>
      <c r="C152" s="15"/>
      <c r="D152" s="15"/>
      <c r="E152" s="16"/>
      <c r="F152" s="16"/>
      <c r="G152" s="16"/>
      <c r="H152" s="16"/>
      <c r="I152" s="16"/>
      <c r="J152" s="68"/>
      <c r="K152" s="68"/>
      <c r="L152" s="68"/>
      <c r="M152" s="68"/>
      <c r="N152" s="68"/>
    </row>
    <row r="153" spans="1:14" x14ac:dyDescent="0.2">
      <c r="A153" s="14"/>
      <c r="B153" s="15"/>
      <c r="C153" s="15"/>
      <c r="D153" s="15"/>
      <c r="E153" s="16"/>
      <c r="F153" s="16"/>
      <c r="G153" s="16"/>
      <c r="H153" s="16"/>
      <c r="I153" s="16"/>
      <c r="J153" s="68"/>
      <c r="K153" s="68"/>
      <c r="L153" s="68"/>
      <c r="M153" s="68"/>
      <c r="N153" s="68"/>
    </row>
    <row r="154" spans="1:14" x14ac:dyDescent="0.2">
      <c r="A154" s="14"/>
      <c r="B154" s="15"/>
      <c r="C154" s="15"/>
      <c r="D154" s="15"/>
      <c r="E154" s="16"/>
      <c r="F154" s="16"/>
      <c r="G154" s="16"/>
      <c r="H154" s="16"/>
      <c r="I154" s="16"/>
      <c r="J154" s="16"/>
      <c r="K154" s="16"/>
      <c r="L154" s="16"/>
      <c r="M154" s="16"/>
      <c r="N154" s="16"/>
    </row>
    <row r="156" spans="1:14" ht="13.5" thickBot="1" x14ac:dyDescent="0.25"/>
    <row r="157" spans="1:14" x14ac:dyDescent="0.2">
      <c r="A157" s="20"/>
      <c r="B157" s="21"/>
      <c r="C157" s="21"/>
      <c r="D157" s="21"/>
      <c r="E157" s="22"/>
      <c r="F157" s="22"/>
      <c r="G157" s="22"/>
      <c r="H157" s="22"/>
      <c r="I157" s="22"/>
      <c r="J157" s="22"/>
      <c r="K157" s="22"/>
      <c r="L157" s="22"/>
      <c r="M157" s="22"/>
      <c r="N157" s="23"/>
    </row>
    <row r="158" spans="1:14" ht="15" x14ac:dyDescent="0.2">
      <c r="A158" s="24"/>
      <c r="B158" s="413" t="s">
        <v>253</v>
      </c>
      <c r="C158" s="414"/>
      <c r="D158" s="414"/>
      <c r="E158" s="414"/>
      <c r="F158" s="414"/>
      <c r="G158" s="414"/>
      <c r="H158" s="414"/>
      <c r="I158" s="414"/>
      <c r="J158" s="414"/>
      <c r="K158" s="414"/>
      <c r="L158" s="414"/>
      <c r="M158" s="415"/>
      <c r="N158" s="25" t="s">
        <v>1104</v>
      </c>
    </row>
    <row r="159" spans="1:14" x14ac:dyDescent="0.2">
      <c r="A159" s="24"/>
      <c r="B159" s="26" t="s">
        <v>428</v>
      </c>
      <c r="C159" s="15" t="s">
        <v>254</v>
      </c>
      <c r="D159" s="15"/>
      <c r="E159" s="16"/>
      <c r="F159" s="16"/>
      <c r="G159" s="16"/>
      <c r="H159" s="16"/>
      <c r="I159" s="16"/>
      <c r="J159" s="16"/>
      <c r="K159" s="16"/>
      <c r="L159" s="16"/>
      <c r="M159" s="16"/>
      <c r="N159" s="27"/>
    </row>
    <row r="160" spans="1:14" x14ac:dyDescent="0.2">
      <c r="A160" s="24"/>
      <c r="B160" s="26" t="s">
        <v>429</v>
      </c>
      <c r="C160" s="15" t="s">
        <v>914</v>
      </c>
      <c r="D160" s="15"/>
      <c r="E160" s="16"/>
      <c r="F160" s="16"/>
      <c r="G160" s="16"/>
      <c r="H160" s="16"/>
      <c r="I160" s="16"/>
      <c r="J160" s="16"/>
      <c r="K160" s="16"/>
      <c r="L160" s="16"/>
      <c r="M160" s="16"/>
      <c r="N160" s="27"/>
    </row>
    <row r="161" spans="1:256" x14ac:dyDescent="0.2">
      <c r="A161" s="24"/>
      <c r="B161" s="26" t="s">
        <v>427</v>
      </c>
      <c r="C161" s="416" t="s">
        <v>1263</v>
      </c>
      <c r="D161" s="416"/>
      <c r="E161" s="416"/>
      <c r="F161" s="416"/>
      <c r="G161" s="416"/>
      <c r="H161" s="416"/>
      <c r="I161" s="416"/>
      <c r="J161" s="416"/>
      <c r="K161" s="416"/>
      <c r="L161" s="416"/>
      <c r="M161" s="416"/>
      <c r="N161" s="417"/>
    </row>
    <row r="162" spans="1:256" x14ac:dyDescent="0.2">
      <c r="A162" s="24"/>
      <c r="B162" s="15"/>
      <c r="C162" s="416"/>
      <c r="D162" s="416"/>
      <c r="E162" s="416"/>
      <c r="F162" s="416"/>
      <c r="G162" s="416"/>
      <c r="H162" s="416"/>
      <c r="I162" s="416"/>
      <c r="J162" s="416"/>
      <c r="K162" s="416"/>
      <c r="L162" s="416"/>
      <c r="M162" s="416"/>
      <c r="N162" s="417"/>
    </row>
    <row r="163" spans="1:256" x14ac:dyDescent="0.2">
      <c r="A163" s="24"/>
      <c r="B163" s="15"/>
      <c r="C163" s="416"/>
      <c r="D163" s="416"/>
      <c r="E163" s="416"/>
      <c r="F163" s="416"/>
      <c r="G163" s="416"/>
      <c r="H163" s="416"/>
      <c r="I163" s="416"/>
      <c r="J163" s="416"/>
      <c r="K163" s="416"/>
      <c r="L163" s="416"/>
      <c r="M163" s="416"/>
      <c r="N163" s="417"/>
    </row>
    <row r="164" spans="1:256" x14ac:dyDescent="0.2">
      <c r="A164" s="24"/>
      <c r="B164" s="15"/>
      <c r="C164" s="419"/>
      <c r="D164" s="419"/>
      <c r="E164" s="419"/>
      <c r="F164" s="419"/>
      <c r="G164" s="419"/>
      <c r="H164" s="419"/>
      <c r="I164" s="419"/>
      <c r="J164" s="419"/>
      <c r="K164" s="419"/>
      <c r="L164" s="419"/>
      <c r="M164" s="419"/>
      <c r="N164" s="420"/>
    </row>
    <row r="165" spans="1:256" x14ac:dyDescent="0.2">
      <c r="A165" s="24"/>
      <c r="B165" s="26" t="s">
        <v>426</v>
      </c>
      <c r="C165" s="15" t="s">
        <v>536</v>
      </c>
      <c r="D165" s="15"/>
      <c r="E165" s="16"/>
      <c r="F165" s="16"/>
      <c r="G165" s="16"/>
      <c r="H165" s="16"/>
      <c r="I165" s="16"/>
      <c r="J165" s="16"/>
      <c r="K165" s="16"/>
      <c r="L165" s="16"/>
      <c r="M165" s="16"/>
      <c r="N165" s="27"/>
    </row>
    <row r="166" spans="1:256" x14ac:dyDescent="0.2">
      <c r="A166" s="24"/>
      <c r="B166" s="26" t="s">
        <v>430</v>
      </c>
      <c r="C166" s="15" t="s">
        <v>537</v>
      </c>
      <c r="D166" s="15"/>
      <c r="E166" s="16"/>
      <c r="F166" s="16"/>
      <c r="G166" s="16"/>
      <c r="H166" s="16"/>
      <c r="I166" s="16"/>
      <c r="J166" s="16"/>
      <c r="K166" s="16"/>
      <c r="L166" s="16"/>
      <c r="M166" s="16"/>
      <c r="N166" s="27"/>
    </row>
    <row r="167" spans="1:256" x14ac:dyDescent="0.2">
      <c r="A167" s="24"/>
      <c r="B167" s="26"/>
      <c r="C167" s="15" t="s">
        <v>538</v>
      </c>
      <c r="D167" s="15"/>
      <c r="E167" s="16"/>
      <c r="F167" s="16"/>
      <c r="G167" s="16"/>
      <c r="H167" s="16"/>
      <c r="I167" s="16"/>
      <c r="J167" s="16"/>
      <c r="K167" s="16"/>
      <c r="L167" s="16"/>
      <c r="M167" s="16"/>
      <c r="N167" s="27"/>
    </row>
    <row r="168" spans="1:256" ht="13.5" thickBot="1" x14ac:dyDescent="0.25">
      <c r="A168" s="28"/>
      <c r="B168" s="43"/>
      <c r="C168" s="29" t="s">
        <v>413</v>
      </c>
      <c r="D168" s="29"/>
      <c r="E168" s="30"/>
      <c r="F168" s="30"/>
      <c r="G168" s="30"/>
      <c r="H168" s="30"/>
      <c r="I168" s="30"/>
      <c r="J168" s="30"/>
      <c r="K168" s="30"/>
      <c r="L168" s="30"/>
      <c r="M168" s="30"/>
      <c r="N168" s="31"/>
    </row>
    <row r="169" spans="1:256" x14ac:dyDescent="0.2">
      <c r="A169" s="20"/>
      <c r="B169" s="21" t="s">
        <v>263</v>
      </c>
      <c r="C169" s="21"/>
      <c r="D169" s="21"/>
      <c r="E169" s="22"/>
      <c r="F169" s="22"/>
      <c r="G169" s="22"/>
      <c r="H169" s="22"/>
      <c r="I169" s="22"/>
      <c r="J169" s="46" t="s">
        <v>1788</v>
      </c>
      <c r="K169" s="33" t="s">
        <v>1790</v>
      </c>
      <c r="L169" s="33" t="s">
        <v>1792</v>
      </c>
      <c r="M169" s="33" t="s">
        <v>618</v>
      </c>
      <c r="N169" s="33"/>
    </row>
    <row r="170" spans="1:256" ht="13.5" thickBot="1" x14ac:dyDescent="0.25">
      <c r="A170" s="28"/>
      <c r="B170" s="15"/>
      <c r="C170" s="29"/>
      <c r="D170" s="29"/>
      <c r="E170" s="30"/>
      <c r="F170" s="30"/>
      <c r="G170" s="30"/>
      <c r="H170" s="30"/>
      <c r="I170" s="30"/>
      <c r="J170" s="44" t="s">
        <v>1789</v>
      </c>
      <c r="K170" s="36" t="s">
        <v>1791</v>
      </c>
      <c r="L170" s="36" t="s">
        <v>1793</v>
      </c>
      <c r="M170" s="36" t="s">
        <v>1794</v>
      </c>
      <c r="N170" s="36" t="s">
        <v>1795</v>
      </c>
    </row>
    <row r="171" spans="1:256" x14ac:dyDescent="0.2">
      <c r="A171" s="20"/>
      <c r="B171" s="21" t="s">
        <v>67</v>
      </c>
      <c r="C171" s="21"/>
      <c r="D171" s="21"/>
      <c r="E171" s="22"/>
      <c r="F171" s="22" t="s">
        <v>1180</v>
      </c>
      <c r="G171" s="22" t="s">
        <v>1484</v>
      </c>
      <c r="H171" s="22" t="s">
        <v>702</v>
      </c>
      <c r="I171" s="22"/>
      <c r="J171" s="65">
        <f>158/ATHENS!O1*ATHENS!O2</f>
        <v>322.44897959183675</v>
      </c>
      <c r="K171" s="65">
        <f>198/ATHENS!O1*ATHENS!O2</f>
        <v>404.08163265306121</v>
      </c>
      <c r="L171" s="65">
        <f>238/ATHENS!O1*ATHENS!O2</f>
        <v>485.71428571428572</v>
      </c>
      <c r="M171" s="65">
        <f>282/ATHENS!O1*ATHENS!O2</f>
        <v>575.51020408163265</v>
      </c>
      <c r="N171" s="65">
        <f>322/ATHENS!O1*ATHENS!O2</f>
        <v>657.14285714285711</v>
      </c>
    </row>
    <row r="172" spans="1:256" x14ac:dyDescent="0.2">
      <c r="A172" s="24"/>
      <c r="B172" s="411" t="s">
        <v>67</v>
      </c>
      <c r="C172" s="411"/>
      <c r="D172" s="411"/>
      <c r="E172" s="16"/>
      <c r="F172" s="16" t="s">
        <v>1181</v>
      </c>
      <c r="G172" s="16" t="s">
        <v>1484</v>
      </c>
      <c r="H172" s="16" t="s">
        <v>702</v>
      </c>
      <c r="I172" s="16"/>
      <c r="J172" s="66">
        <f>79/ATHENS!O1*ATHENS!O2</f>
        <v>161.22448979591837</v>
      </c>
      <c r="K172" s="66">
        <f>99/ATHENS!O1*ATHENS!O2</f>
        <v>202.0408163265306</v>
      </c>
      <c r="L172" s="66">
        <f>119/ATHENS!O1*ATHENS!O2</f>
        <v>242.85714285714286</v>
      </c>
      <c r="M172" s="66">
        <f>141/ATHENS!O1*ATHENS!O2</f>
        <v>287.75510204081633</v>
      </c>
      <c r="N172" s="66">
        <f>161/ATHENS!O1*ATHENS!O2</f>
        <v>328.57142857142856</v>
      </c>
    </row>
    <row r="173" spans="1:256" ht="13.5" thickBot="1" x14ac:dyDescent="0.25">
      <c r="A173" s="28"/>
      <c r="B173" s="418"/>
      <c r="C173" s="418"/>
      <c r="D173" s="418"/>
      <c r="E173" s="30"/>
      <c r="F173" s="30"/>
      <c r="G173" s="30"/>
      <c r="H173" s="30"/>
      <c r="I173" s="30"/>
      <c r="J173" s="67"/>
      <c r="K173" s="67"/>
      <c r="L173" s="67"/>
      <c r="M173" s="67"/>
      <c r="N173" s="67"/>
    </row>
    <row r="174" spans="1:256" x14ac:dyDescent="0.2">
      <c r="A174" s="14" t="s">
        <v>1423</v>
      </c>
      <c r="B174" s="14"/>
      <c r="C174" s="14"/>
      <c r="D174" s="14"/>
      <c r="E174" s="14"/>
      <c r="F174" s="14"/>
      <c r="G174" s="14"/>
      <c r="H174" s="14"/>
      <c r="I174" s="14"/>
      <c r="J174" s="14"/>
      <c r="K174" s="14"/>
      <c r="L174" s="14"/>
      <c r="M174" s="14"/>
      <c r="N174" s="14"/>
      <c r="O174" s="14"/>
      <c r="P174" s="14"/>
      <c r="Q174" s="14"/>
      <c r="R174" s="14"/>
      <c r="S174" s="14"/>
      <c r="T174" s="14"/>
      <c r="U174" s="14"/>
      <c r="V174" s="14"/>
      <c r="W174" s="14"/>
      <c r="X174" s="14"/>
      <c r="Y174" s="14"/>
      <c r="Z174" s="14"/>
      <c r="AA174" s="14"/>
      <c r="AB174" s="14"/>
      <c r="AC174" s="14"/>
      <c r="AD174" s="14"/>
      <c r="AE174" s="14"/>
      <c r="AF174" s="14"/>
      <c r="AG174" s="14"/>
      <c r="AH174" s="14"/>
      <c r="AI174" s="14"/>
      <c r="AJ174" s="14"/>
      <c r="AK174" s="14"/>
      <c r="AL174" s="14"/>
      <c r="AM174" s="14"/>
      <c r="AN174" s="14"/>
      <c r="AO174" s="14"/>
      <c r="AP174" s="14"/>
      <c r="AQ174" s="14"/>
      <c r="AR174" s="14"/>
      <c r="AS174" s="14"/>
      <c r="AT174" s="14"/>
      <c r="AU174" s="14"/>
      <c r="AV174" s="14"/>
      <c r="AW174" s="14"/>
      <c r="AX174" s="14"/>
      <c r="AY174" s="14"/>
      <c r="AZ174" s="14"/>
      <c r="BA174" s="14"/>
      <c r="BB174" s="14"/>
      <c r="BC174" s="14"/>
      <c r="BD174" s="14"/>
      <c r="BE174" s="14"/>
      <c r="BF174" s="14"/>
      <c r="BG174" s="14"/>
      <c r="BH174" s="14"/>
      <c r="BI174" s="14"/>
      <c r="BJ174" s="14"/>
      <c r="BK174" s="14"/>
      <c r="BL174" s="14"/>
      <c r="BM174" s="14"/>
      <c r="BN174" s="14"/>
      <c r="BO174" s="14"/>
      <c r="BP174" s="14"/>
      <c r="BQ174" s="14"/>
      <c r="BR174" s="14"/>
      <c r="BS174" s="14"/>
      <c r="BT174" s="14"/>
      <c r="BU174" s="14"/>
      <c r="BV174" s="14"/>
      <c r="BW174" s="14"/>
      <c r="BX174" s="14"/>
      <c r="BY174" s="14"/>
      <c r="BZ174" s="14"/>
      <c r="CA174" s="14"/>
      <c r="CB174" s="14"/>
      <c r="CC174" s="14"/>
      <c r="CD174" s="14"/>
      <c r="CE174" s="14"/>
      <c r="CF174" s="14"/>
      <c r="CG174" s="14"/>
      <c r="CH174" s="14"/>
      <c r="CI174" s="14"/>
      <c r="CJ174" s="14"/>
      <c r="CK174" s="14"/>
      <c r="CL174" s="14"/>
      <c r="CM174" s="14"/>
      <c r="CN174" s="14"/>
      <c r="CO174" s="14"/>
      <c r="CP174" s="14"/>
      <c r="CQ174" s="14"/>
      <c r="CR174" s="14"/>
      <c r="CS174" s="14"/>
      <c r="CT174" s="14"/>
      <c r="CU174" s="14"/>
      <c r="CV174" s="14"/>
      <c r="CW174" s="14"/>
      <c r="CX174" s="14"/>
      <c r="CY174" s="14"/>
      <c r="CZ174" s="14"/>
      <c r="DA174" s="14"/>
      <c r="DB174" s="14"/>
      <c r="DC174" s="14"/>
      <c r="DD174" s="14"/>
      <c r="DE174" s="14"/>
      <c r="DF174" s="14"/>
      <c r="DG174" s="14"/>
      <c r="DH174" s="14"/>
      <c r="DI174" s="14"/>
      <c r="DJ174" s="14"/>
      <c r="DK174" s="14"/>
      <c r="DL174" s="14"/>
      <c r="DM174" s="14"/>
      <c r="DN174" s="14"/>
      <c r="DO174" s="14"/>
      <c r="DP174" s="14"/>
      <c r="DQ174" s="14"/>
      <c r="DR174" s="14"/>
      <c r="DS174" s="14"/>
      <c r="DT174" s="14"/>
      <c r="DU174" s="14"/>
      <c r="DV174" s="14"/>
      <c r="DW174" s="14"/>
      <c r="DX174" s="14"/>
      <c r="DY174" s="14"/>
      <c r="DZ174" s="14"/>
      <c r="EA174" s="14"/>
      <c r="EB174" s="14"/>
      <c r="EC174" s="14"/>
      <c r="ED174" s="14"/>
      <c r="EE174" s="14"/>
      <c r="EF174" s="14"/>
      <c r="EG174" s="14"/>
      <c r="EH174" s="14"/>
      <c r="EI174" s="14"/>
      <c r="EJ174" s="14"/>
      <c r="EK174" s="14"/>
      <c r="EL174" s="14"/>
      <c r="EM174" s="14"/>
      <c r="EN174" s="14"/>
      <c r="EO174" s="14"/>
      <c r="EP174" s="14"/>
      <c r="EQ174" s="14"/>
      <c r="ER174" s="14"/>
      <c r="ES174" s="14"/>
      <c r="ET174" s="14"/>
      <c r="EU174" s="14"/>
      <c r="EV174" s="14"/>
      <c r="EW174" s="14"/>
      <c r="EX174" s="14"/>
      <c r="EY174" s="14"/>
      <c r="EZ174" s="14"/>
      <c r="FA174" s="14"/>
      <c r="FB174" s="14"/>
      <c r="FC174" s="14"/>
      <c r="FD174" s="14"/>
      <c r="FE174" s="14"/>
      <c r="FF174" s="14"/>
      <c r="FG174" s="14"/>
      <c r="FH174" s="14"/>
      <c r="FI174" s="14"/>
      <c r="FJ174" s="14"/>
      <c r="FK174" s="14"/>
      <c r="FL174" s="14"/>
      <c r="FM174" s="14"/>
      <c r="FN174" s="14"/>
      <c r="FO174" s="14"/>
      <c r="FP174" s="14"/>
      <c r="FQ174" s="14"/>
      <c r="FR174" s="14"/>
      <c r="FS174" s="14"/>
      <c r="FT174" s="14"/>
      <c r="FU174" s="14"/>
      <c r="FV174" s="14"/>
      <c r="FW174" s="14"/>
      <c r="FX174" s="14"/>
      <c r="FY174" s="14"/>
      <c r="FZ174" s="14"/>
      <c r="GA174" s="14"/>
      <c r="GB174" s="14"/>
      <c r="GC174" s="14"/>
      <c r="GD174" s="14"/>
      <c r="GE174" s="14"/>
      <c r="GF174" s="14"/>
      <c r="GG174" s="14"/>
      <c r="GH174" s="14"/>
      <c r="GI174" s="14"/>
      <c r="GJ174" s="14"/>
      <c r="GK174" s="14"/>
      <c r="GL174" s="14"/>
      <c r="GM174" s="14"/>
      <c r="GN174" s="14"/>
      <c r="GO174" s="14"/>
      <c r="GP174" s="14"/>
      <c r="GQ174" s="14"/>
      <c r="GR174" s="14"/>
      <c r="GS174" s="14"/>
      <c r="GT174" s="14"/>
      <c r="GU174" s="14"/>
      <c r="GV174" s="14"/>
      <c r="GW174" s="14"/>
      <c r="GX174" s="14"/>
      <c r="GY174" s="14"/>
      <c r="GZ174" s="14"/>
      <c r="HA174" s="14"/>
      <c r="HB174" s="14"/>
      <c r="HC174" s="14"/>
      <c r="HD174" s="14"/>
      <c r="HE174" s="14"/>
      <c r="HF174" s="14"/>
      <c r="HG174" s="14"/>
      <c r="HH174" s="14"/>
      <c r="HI174" s="14"/>
      <c r="HJ174" s="14"/>
      <c r="HK174" s="14"/>
      <c r="HL174" s="14"/>
      <c r="HM174" s="14"/>
      <c r="HN174" s="14"/>
      <c r="HO174" s="14"/>
      <c r="HP174" s="14"/>
      <c r="HQ174" s="14"/>
      <c r="HR174" s="14"/>
      <c r="HS174" s="14"/>
      <c r="HT174" s="14"/>
      <c r="HU174" s="14"/>
      <c r="HV174" s="14"/>
      <c r="HW174" s="14"/>
      <c r="HX174" s="14"/>
      <c r="HY174" s="14"/>
      <c r="HZ174" s="14"/>
      <c r="IA174" s="14"/>
      <c r="IB174" s="14"/>
      <c r="IC174" s="14"/>
      <c r="ID174" s="14"/>
      <c r="IE174" s="14"/>
      <c r="IF174" s="14"/>
      <c r="IG174" s="14"/>
      <c r="IH174" s="14"/>
      <c r="II174" s="14"/>
      <c r="IJ174" s="14"/>
      <c r="IK174" s="14"/>
      <c r="IL174" s="14"/>
      <c r="IM174" s="14"/>
      <c r="IN174" s="14"/>
      <c r="IO174" s="14"/>
      <c r="IP174" s="14"/>
      <c r="IQ174" s="14"/>
      <c r="IR174" s="14"/>
      <c r="IS174" s="14"/>
      <c r="IT174" s="14"/>
      <c r="IU174" s="14"/>
      <c r="IV174" s="14"/>
    </row>
    <row r="175" spans="1:256" ht="13.5" thickBot="1" x14ac:dyDescent="0.25">
      <c r="A175" s="14"/>
      <c r="B175" s="15"/>
      <c r="C175" s="15"/>
      <c r="D175" s="15"/>
      <c r="E175" s="16"/>
      <c r="F175" s="16"/>
      <c r="G175" s="16"/>
      <c r="H175" s="16"/>
      <c r="I175" s="16"/>
      <c r="J175" s="16"/>
      <c r="K175" s="16"/>
      <c r="L175" s="16"/>
      <c r="M175" s="16"/>
      <c r="N175" s="16"/>
    </row>
    <row r="176" spans="1:256" x14ac:dyDescent="0.2">
      <c r="A176" s="20"/>
      <c r="B176" s="21"/>
      <c r="C176" s="21"/>
      <c r="D176" s="21"/>
      <c r="E176" s="22"/>
      <c r="F176" s="22"/>
      <c r="G176" s="22"/>
      <c r="H176" s="22"/>
      <c r="I176" s="22"/>
      <c r="J176" s="22"/>
      <c r="K176" s="22"/>
      <c r="L176" s="22"/>
      <c r="M176" s="22"/>
      <c r="N176" s="23"/>
    </row>
    <row r="177" spans="1:14" ht="15" x14ac:dyDescent="0.2">
      <c r="A177" s="24"/>
      <c r="B177" s="413" t="s">
        <v>414</v>
      </c>
      <c r="C177" s="414"/>
      <c r="D177" s="414"/>
      <c r="E177" s="414"/>
      <c r="F177" s="414"/>
      <c r="G177" s="414"/>
      <c r="H177" s="414"/>
      <c r="I177" s="414"/>
      <c r="J177" s="414"/>
      <c r="K177" s="414"/>
      <c r="L177" s="414"/>
      <c r="M177" s="415"/>
      <c r="N177" s="25" t="s">
        <v>1104</v>
      </c>
    </row>
    <row r="178" spans="1:14" x14ac:dyDescent="0.2">
      <c r="A178" s="24"/>
      <c r="B178" s="26" t="s">
        <v>428</v>
      </c>
      <c r="C178" s="15" t="s">
        <v>916</v>
      </c>
      <c r="D178" s="15"/>
      <c r="E178" s="16"/>
      <c r="F178" s="16"/>
      <c r="G178" s="16"/>
      <c r="H178" s="16"/>
      <c r="I178" s="16"/>
      <c r="J178" s="16"/>
      <c r="K178" s="16"/>
      <c r="L178" s="16"/>
      <c r="M178" s="16"/>
      <c r="N178" s="27"/>
    </row>
    <row r="179" spans="1:14" x14ac:dyDescent="0.2">
      <c r="A179" s="24"/>
      <c r="B179" s="26" t="s">
        <v>429</v>
      </c>
      <c r="C179" s="15" t="s">
        <v>915</v>
      </c>
      <c r="D179" s="15"/>
      <c r="E179" s="16"/>
      <c r="F179" s="16"/>
      <c r="G179" s="16"/>
      <c r="H179" s="16"/>
      <c r="I179" s="16"/>
      <c r="J179" s="16"/>
      <c r="K179" s="16"/>
      <c r="L179" s="16"/>
      <c r="M179" s="16"/>
      <c r="N179" s="27"/>
    </row>
    <row r="180" spans="1:14" x14ac:dyDescent="0.2">
      <c r="A180" s="24"/>
      <c r="B180" s="26" t="s">
        <v>427</v>
      </c>
      <c r="C180" s="416" t="s">
        <v>1264</v>
      </c>
      <c r="D180" s="416"/>
      <c r="E180" s="416"/>
      <c r="F180" s="416"/>
      <c r="G180" s="416"/>
      <c r="H180" s="416"/>
      <c r="I180" s="416"/>
      <c r="J180" s="416"/>
      <c r="K180" s="416"/>
      <c r="L180" s="416"/>
      <c r="M180" s="416"/>
      <c r="N180" s="417"/>
    </row>
    <row r="181" spans="1:14" x14ac:dyDescent="0.2">
      <c r="A181" s="24"/>
      <c r="B181" s="26"/>
      <c r="C181" s="416"/>
      <c r="D181" s="416"/>
      <c r="E181" s="416"/>
      <c r="F181" s="416"/>
      <c r="G181" s="416"/>
      <c r="H181" s="416"/>
      <c r="I181" s="416"/>
      <c r="J181" s="416"/>
      <c r="K181" s="416"/>
      <c r="L181" s="416"/>
      <c r="M181" s="416"/>
      <c r="N181" s="417"/>
    </row>
    <row r="182" spans="1:14" x14ac:dyDescent="0.2">
      <c r="A182" s="24"/>
      <c r="B182" s="26"/>
      <c r="C182" s="419"/>
      <c r="D182" s="419"/>
      <c r="E182" s="419"/>
      <c r="F182" s="419"/>
      <c r="G182" s="419"/>
      <c r="H182" s="419"/>
      <c r="I182" s="419"/>
      <c r="J182" s="419"/>
      <c r="K182" s="419"/>
      <c r="L182" s="419"/>
      <c r="M182" s="419"/>
      <c r="N182" s="420"/>
    </row>
    <row r="183" spans="1:14" x14ac:dyDescent="0.2">
      <c r="A183" s="24"/>
      <c r="B183" s="26"/>
      <c r="C183" s="419"/>
      <c r="D183" s="419"/>
      <c r="E183" s="419"/>
      <c r="F183" s="419"/>
      <c r="G183" s="419"/>
      <c r="H183" s="419"/>
      <c r="I183" s="419"/>
      <c r="J183" s="419"/>
      <c r="K183" s="419"/>
      <c r="L183" s="419"/>
      <c r="M183" s="419"/>
      <c r="N183" s="420"/>
    </row>
    <row r="184" spans="1:14" x14ac:dyDescent="0.2">
      <c r="A184" s="24"/>
      <c r="B184" s="26" t="s">
        <v>426</v>
      </c>
      <c r="C184" s="15" t="s">
        <v>536</v>
      </c>
      <c r="D184" s="15"/>
      <c r="E184" s="16"/>
      <c r="F184" s="16"/>
      <c r="G184" s="16"/>
      <c r="H184" s="16"/>
      <c r="I184" s="16"/>
      <c r="J184" s="16"/>
      <c r="K184" s="16"/>
      <c r="L184" s="16"/>
      <c r="M184" s="16"/>
      <c r="N184" s="27"/>
    </row>
    <row r="185" spans="1:14" x14ac:dyDescent="0.2">
      <c r="A185" s="24"/>
      <c r="B185" s="26" t="s">
        <v>430</v>
      </c>
      <c r="C185" s="15" t="s">
        <v>607</v>
      </c>
      <c r="D185" s="15"/>
      <c r="E185" s="16"/>
      <c r="F185" s="16"/>
      <c r="G185" s="16"/>
      <c r="H185" s="16"/>
      <c r="I185" s="16"/>
      <c r="J185" s="16"/>
      <c r="K185" s="16"/>
      <c r="L185" s="16"/>
      <c r="M185" s="16"/>
      <c r="N185" s="27"/>
    </row>
    <row r="186" spans="1:14" x14ac:dyDescent="0.2">
      <c r="A186" s="24"/>
      <c r="B186" s="26"/>
      <c r="C186" s="15" t="s">
        <v>392</v>
      </c>
      <c r="D186" s="15"/>
      <c r="E186" s="16"/>
      <c r="F186" s="16"/>
      <c r="G186" s="16"/>
      <c r="H186" s="16"/>
      <c r="I186" s="16"/>
      <c r="J186" s="16"/>
      <c r="K186" s="16"/>
      <c r="L186" s="16"/>
      <c r="M186" s="16"/>
      <c r="N186" s="27"/>
    </row>
    <row r="187" spans="1:14" ht="13.5" thickBot="1" x14ac:dyDescent="0.25">
      <c r="A187" s="28"/>
      <c r="B187" s="43"/>
      <c r="C187" s="29" t="s">
        <v>393</v>
      </c>
      <c r="D187" s="29"/>
      <c r="E187" s="30"/>
      <c r="F187" s="30"/>
      <c r="G187" s="30"/>
      <c r="H187" s="30"/>
      <c r="I187" s="30"/>
      <c r="J187" s="30"/>
      <c r="K187" s="30"/>
      <c r="L187" s="30"/>
      <c r="M187" s="30"/>
      <c r="N187" s="31"/>
    </row>
    <row r="188" spans="1:14" x14ac:dyDescent="0.2">
      <c r="A188" s="20"/>
      <c r="B188" s="21" t="s">
        <v>263</v>
      </c>
      <c r="C188" s="21"/>
      <c r="D188" s="21"/>
      <c r="E188" s="22"/>
      <c r="F188" s="22"/>
      <c r="G188" s="22"/>
      <c r="H188" s="22"/>
      <c r="I188" s="22"/>
      <c r="J188" s="46" t="s">
        <v>1788</v>
      </c>
      <c r="K188" s="33" t="s">
        <v>1790</v>
      </c>
      <c r="L188" s="33" t="s">
        <v>1792</v>
      </c>
      <c r="M188" s="33" t="s">
        <v>618</v>
      </c>
      <c r="N188" s="33"/>
    </row>
    <row r="189" spans="1:14" ht="13.5" thickBot="1" x14ac:dyDescent="0.25">
      <c r="A189" s="28"/>
      <c r="B189" s="15"/>
      <c r="C189" s="29"/>
      <c r="D189" s="29"/>
      <c r="E189" s="30"/>
      <c r="F189" s="30"/>
      <c r="G189" s="30"/>
      <c r="H189" s="30"/>
      <c r="I189" s="30"/>
      <c r="J189" s="44" t="s">
        <v>1796</v>
      </c>
      <c r="K189" s="36" t="s">
        <v>1791</v>
      </c>
      <c r="L189" s="36" t="s">
        <v>1793</v>
      </c>
      <c r="M189" s="36" t="s">
        <v>1794</v>
      </c>
      <c r="N189" s="36" t="s">
        <v>1795</v>
      </c>
    </row>
    <row r="190" spans="1:14" x14ac:dyDescent="0.2">
      <c r="A190" s="20"/>
      <c r="B190" s="412" t="s">
        <v>67</v>
      </c>
      <c r="C190" s="412"/>
      <c r="D190" s="412"/>
      <c r="E190" s="22"/>
      <c r="F190" s="22" t="s">
        <v>1180</v>
      </c>
      <c r="G190" s="22" t="s">
        <v>1484</v>
      </c>
      <c r="H190" s="22" t="s">
        <v>702</v>
      </c>
      <c r="I190" s="22"/>
      <c r="J190" s="65">
        <f>288/ATHENS!O1*ATHENS!O2</f>
        <v>587.75510204081638</v>
      </c>
      <c r="K190" s="65">
        <f>346/ATHENS!O1*ATHENS!O2</f>
        <v>706.12244897959181</v>
      </c>
      <c r="L190" s="65">
        <f>416/ATHENS!O1*ATHENS!O2</f>
        <v>848.9795918367347</v>
      </c>
      <c r="M190" s="65">
        <f>484/ATHENS!O1*ATHENS!O2</f>
        <v>987.75510204081638</v>
      </c>
      <c r="N190" s="65">
        <f>554/ATHENS!O1*ATHENS!O2</f>
        <v>1130.6122448979593</v>
      </c>
    </row>
    <row r="191" spans="1:14" x14ac:dyDescent="0.2">
      <c r="A191" s="24"/>
      <c r="B191" s="411" t="s">
        <v>67</v>
      </c>
      <c r="C191" s="411"/>
      <c r="D191" s="411"/>
      <c r="E191" s="16"/>
      <c r="F191" s="16" t="s">
        <v>1181</v>
      </c>
      <c r="G191" s="16" t="s">
        <v>1484</v>
      </c>
      <c r="H191" s="16" t="s">
        <v>702</v>
      </c>
      <c r="I191" s="16"/>
      <c r="J191" s="66">
        <f>144/ATHENS!O1*ATHENS!O2</f>
        <v>293.87755102040819</v>
      </c>
      <c r="K191" s="66">
        <f>173/ATHENS!O1*ATHENS!O2</f>
        <v>353.0612244897959</v>
      </c>
      <c r="L191" s="66">
        <f>208/ATHENS!O1*ATHENS!O2</f>
        <v>424.48979591836735</v>
      </c>
      <c r="M191" s="66">
        <f>242/ATHENS!O1*ATHENS!O2</f>
        <v>493.87755102040819</v>
      </c>
      <c r="N191" s="66">
        <f>277/ATHENS!O1*ATHENS!O2</f>
        <v>565.30612244897964</v>
      </c>
    </row>
    <row r="192" spans="1:14" ht="13.5" thickBot="1" x14ac:dyDescent="0.25">
      <c r="A192" s="28"/>
      <c r="B192" s="29" t="s">
        <v>902</v>
      </c>
      <c r="C192" s="29"/>
      <c r="D192" s="29"/>
      <c r="E192" s="30"/>
      <c r="F192" s="30"/>
      <c r="G192" s="30"/>
      <c r="H192" s="30"/>
      <c r="I192" s="30"/>
      <c r="J192" s="67">
        <f>25/ATHENS!O1*ATHENS!O2</f>
        <v>51.020408163265309</v>
      </c>
      <c r="K192" s="67">
        <f>25/ATHENS!O1*ATHENS!O2</f>
        <v>51.020408163265309</v>
      </c>
      <c r="L192" s="67">
        <f>25/ATHENS!O1*ATHENS!O2</f>
        <v>51.020408163265309</v>
      </c>
      <c r="M192" s="67">
        <f>25/ATHENS!O1*ATHENS!O2</f>
        <v>51.020408163265309</v>
      </c>
      <c r="N192" s="67">
        <f>25/ATHENS!O1*ATHENS!O2</f>
        <v>51.020408163265309</v>
      </c>
    </row>
    <row r="193" spans="1:15" x14ac:dyDescent="0.2">
      <c r="A193" s="14" t="s">
        <v>1423</v>
      </c>
      <c r="B193" s="15"/>
      <c r="C193" s="15"/>
      <c r="D193" s="15"/>
      <c r="E193" s="16"/>
      <c r="F193" s="16"/>
      <c r="G193" s="16"/>
      <c r="H193" s="16"/>
      <c r="I193" s="16"/>
      <c r="J193" s="16"/>
      <c r="K193" s="16"/>
      <c r="L193" s="16"/>
      <c r="M193" s="16"/>
      <c r="N193" s="16"/>
    </row>
    <row r="194" spans="1:15" x14ac:dyDescent="0.2">
      <c r="A194" s="14"/>
      <c r="B194" s="15"/>
      <c r="C194" s="15"/>
      <c r="D194" s="15"/>
      <c r="E194" s="16"/>
      <c r="F194" s="16"/>
      <c r="G194" s="16"/>
      <c r="H194" s="16"/>
      <c r="I194" s="16"/>
      <c r="J194" s="16"/>
      <c r="K194" s="16"/>
      <c r="L194" s="16"/>
      <c r="M194" s="16"/>
      <c r="N194" s="16"/>
    </row>
    <row r="195" spans="1:15" ht="13.5" thickBot="1" x14ac:dyDescent="0.25">
      <c r="A195" s="14"/>
      <c r="B195" s="15"/>
      <c r="C195" s="15"/>
      <c r="D195" s="15"/>
      <c r="E195" s="16"/>
      <c r="F195" s="16"/>
      <c r="G195" s="16"/>
      <c r="H195" s="16"/>
      <c r="I195" s="16"/>
      <c r="J195" s="16"/>
      <c r="K195" s="16"/>
      <c r="L195" s="16"/>
      <c r="M195" s="16"/>
      <c r="N195" s="16"/>
      <c r="O195" s="52"/>
    </row>
    <row r="196" spans="1:15" x14ac:dyDescent="0.2">
      <c r="A196" s="20"/>
      <c r="B196" s="21"/>
      <c r="C196" s="21"/>
      <c r="D196" s="21"/>
      <c r="E196" s="22"/>
      <c r="F196" s="22"/>
      <c r="G196" s="22"/>
      <c r="H196" s="22"/>
      <c r="I196" s="22"/>
      <c r="J196" s="22"/>
      <c r="K196" s="22"/>
      <c r="L196" s="22"/>
      <c r="M196" s="22"/>
      <c r="N196" s="23"/>
      <c r="O196" s="52"/>
    </row>
    <row r="197" spans="1:15" ht="15" x14ac:dyDescent="0.2">
      <c r="A197" s="24"/>
      <c r="B197" s="413" t="s">
        <v>851</v>
      </c>
      <c r="C197" s="414"/>
      <c r="D197" s="414"/>
      <c r="E197" s="414"/>
      <c r="F197" s="414"/>
      <c r="G197" s="414"/>
      <c r="H197" s="414"/>
      <c r="I197" s="414"/>
      <c r="J197" s="414"/>
      <c r="K197" s="414"/>
      <c r="L197" s="414"/>
      <c r="M197" s="415"/>
      <c r="N197" s="25" t="s">
        <v>1104</v>
      </c>
      <c r="O197" s="52"/>
    </row>
    <row r="198" spans="1:15" x14ac:dyDescent="0.2">
      <c r="A198" s="24"/>
      <c r="B198" s="26" t="s">
        <v>428</v>
      </c>
      <c r="C198" s="15" t="s">
        <v>852</v>
      </c>
      <c r="D198" s="15"/>
      <c r="E198" s="16"/>
      <c r="F198" s="16"/>
      <c r="G198" s="16"/>
      <c r="H198" s="16"/>
      <c r="I198" s="16"/>
      <c r="J198" s="16"/>
      <c r="K198" s="16"/>
      <c r="L198" s="16"/>
      <c r="M198" s="16"/>
      <c r="N198" s="27"/>
      <c r="O198" s="52"/>
    </row>
    <row r="199" spans="1:15" x14ac:dyDescent="0.2">
      <c r="A199" s="24"/>
      <c r="B199" s="26" t="s">
        <v>429</v>
      </c>
      <c r="C199" s="15" t="s">
        <v>425</v>
      </c>
      <c r="D199" s="15"/>
      <c r="E199" s="16"/>
      <c r="F199" s="16"/>
      <c r="G199" s="16"/>
      <c r="H199" s="16"/>
      <c r="I199" s="16"/>
      <c r="J199" s="16"/>
      <c r="K199" s="16"/>
      <c r="L199" s="16"/>
      <c r="M199" s="16"/>
      <c r="N199" s="27"/>
      <c r="O199" s="52"/>
    </row>
    <row r="200" spans="1:15" x14ac:dyDescent="0.2">
      <c r="A200" s="24"/>
      <c r="B200" s="26" t="s">
        <v>427</v>
      </c>
      <c r="C200" s="416" t="s">
        <v>583</v>
      </c>
      <c r="D200" s="416"/>
      <c r="E200" s="416"/>
      <c r="F200" s="416"/>
      <c r="G200" s="416"/>
      <c r="H200" s="416"/>
      <c r="I200" s="416"/>
      <c r="J200" s="416"/>
      <c r="K200" s="416"/>
      <c r="L200" s="416"/>
      <c r="M200" s="416"/>
      <c r="N200" s="417"/>
      <c r="O200" s="52"/>
    </row>
    <row r="201" spans="1:15" x14ac:dyDescent="0.2">
      <c r="A201" s="24"/>
      <c r="B201" s="15"/>
      <c r="C201" s="416"/>
      <c r="D201" s="416"/>
      <c r="E201" s="416"/>
      <c r="F201" s="416"/>
      <c r="G201" s="416"/>
      <c r="H201" s="416"/>
      <c r="I201" s="416"/>
      <c r="J201" s="416"/>
      <c r="K201" s="416"/>
      <c r="L201" s="416"/>
      <c r="M201" s="416"/>
      <c r="N201" s="417"/>
      <c r="O201" s="52"/>
    </row>
    <row r="202" spans="1:15" x14ac:dyDescent="0.2">
      <c r="A202" s="24"/>
      <c r="B202" s="15"/>
      <c r="C202" s="419"/>
      <c r="D202" s="419"/>
      <c r="E202" s="419"/>
      <c r="F202" s="419"/>
      <c r="G202" s="419"/>
      <c r="H202" s="419"/>
      <c r="I202" s="419"/>
      <c r="J202" s="419"/>
      <c r="K202" s="419"/>
      <c r="L202" s="419"/>
      <c r="M202" s="419"/>
      <c r="N202" s="420"/>
      <c r="O202" s="52"/>
    </row>
    <row r="203" spans="1:15" x14ac:dyDescent="0.2">
      <c r="A203" s="24"/>
      <c r="B203" s="26" t="s">
        <v>426</v>
      </c>
      <c r="C203" s="53"/>
      <c r="D203" s="53"/>
      <c r="E203" s="53"/>
      <c r="F203" s="53"/>
      <c r="G203" s="53"/>
      <c r="H203" s="53"/>
      <c r="I203" s="53"/>
      <c r="J203" s="53"/>
      <c r="K203" s="53"/>
      <c r="L203" s="53"/>
      <c r="M203" s="53"/>
      <c r="N203" s="27"/>
      <c r="O203" s="52"/>
    </row>
    <row r="204" spans="1:15" ht="13.5" thickBot="1" x14ac:dyDescent="0.25">
      <c r="A204" s="28"/>
      <c r="B204" s="26" t="s">
        <v>430</v>
      </c>
      <c r="C204" s="29"/>
      <c r="D204" s="29"/>
      <c r="E204" s="29"/>
      <c r="F204" s="29"/>
      <c r="G204" s="29"/>
      <c r="H204" s="29"/>
      <c r="I204" s="30"/>
      <c r="J204" s="30"/>
      <c r="K204" s="30"/>
      <c r="L204" s="30"/>
      <c r="M204" s="30"/>
      <c r="N204" s="31"/>
      <c r="O204" s="52"/>
    </row>
    <row r="205" spans="1:15" x14ac:dyDescent="0.2">
      <c r="A205" s="24"/>
      <c r="B205" s="51" t="s">
        <v>263</v>
      </c>
      <c r="C205" s="15"/>
      <c r="D205" s="15"/>
      <c r="E205" s="15"/>
      <c r="F205" s="15"/>
      <c r="G205" s="15"/>
      <c r="H205" s="15"/>
      <c r="I205" s="16"/>
      <c r="J205" s="76" t="s">
        <v>907</v>
      </c>
      <c r="K205" s="32" t="s">
        <v>908</v>
      </c>
      <c r="L205" s="33"/>
      <c r="M205" s="33"/>
      <c r="N205" s="23"/>
      <c r="O205" s="52"/>
    </row>
    <row r="206" spans="1:15" ht="13.5" thickBot="1" x14ac:dyDescent="0.25">
      <c r="A206" s="24"/>
      <c r="B206" s="29"/>
      <c r="C206" s="15"/>
      <c r="D206" s="15"/>
      <c r="E206" s="16"/>
      <c r="F206" s="16"/>
      <c r="G206" s="16"/>
      <c r="H206" s="16"/>
      <c r="I206" s="16"/>
      <c r="J206" s="77" t="s">
        <v>512</v>
      </c>
      <c r="K206" s="30" t="s">
        <v>481</v>
      </c>
      <c r="L206" s="36" t="s">
        <v>221</v>
      </c>
      <c r="M206" s="36"/>
      <c r="N206" s="31"/>
      <c r="O206" s="52"/>
    </row>
    <row r="207" spans="1:15" x14ac:dyDescent="0.2">
      <c r="A207" s="20"/>
      <c r="B207" s="412" t="s">
        <v>67</v>
      </c>
      <c r="C207" s="412"/>
      <c r="D207" s="412"/>
      <c r="E207" s="22"/>
      <c r="F207" s="22" t="s">
        <v>1180</v>
      </c>
      <c r="G207" s="22" t="s">
        <v>68</v>
      </c>
      <c r="H207" s="22" t="s">
        <v>702</v>
      </c>
      <c r="I207" s="22"/>
      <c r="J207" s="89">
        <f>60/ATHENS!O1*ATHENS!O2</f>
        <v>122.44897959183673</v>
      </c>
      <c r="K207" s="90">
        <f>68/ATHENS!O1*ATHENS!O2</f>
        <v>138.77551020408163</v>
      </c>
      <c r="L207" s="89">
        <f>83/ATHENS!O1*ATHENS!O2</f>
        <v>169.38775510204081</v>
      </c>
      <c r="M207" s="38"/>
      <c r="N207" s="38"/>
      <c r="O207" s="52"/>
    </row>
    <row r="208" spans="1:15" x14ac:dyDescent="0.2">
      <c r="A208" s="24"/>
      <c r="B208" s="411" t="s">
        <v>67</v>
      </c>
      <c r="C208" s="411"/>
      <c r="D208" s="411"/>
      <c r="E208" s="16"/>
      <c r="F208" s="16" t="s">
        <v>1181</v>
      </c>
      <c r="G208" s="16" t="s">
        <v>68</v>
      </c>
      <c r="H208" s="16" t="s">
        <v>702</v>
      </c>
      <c r="I208" s="16"/>
      <c r="J208" s="91">
        <f>37.5/ATHENS!O1*ATHENS!O2</f>
        <v>76.530612244897966</v>
      </c>
      <c r="K208" s="90">
        <f>45/ATHENS!O1*ATHENS!O2</f>
        <v>91.83673469387756</v>
      </c>
      <c r="L208" s="89">
        <f>50.5/ATHENS!O1*ATHENS!O2</f>
        <v>103.06122448979592</v>
      </c>
      <c r="M208" s="40"/>
      <c r="N208" s="40"/>
      <c r="O208" s="52"/>
    </row>
    <row r="209" spans="1:15" ht="13.5" thickBot="1" x14ac:dyDescent="0.25">
      <c r="A209" s="28"/>
      <c r="B209" s="418" t="s">
        <v>67</v>
      </c>
      <c r="C209" s="418"/>
      <c r="D209" s="418"/>
      <c r="E209" s="30"/>
      <c r="F209" s="30" t="s">
        <v>1182</v>
      </c>
      <c r="G209" s="30" t="s">
        <v>68</v>
      </c>
      <c r="H209" s="30" t="s">
        <v>702</v>
      </c>
      <c r="I209" s="30"/>
      <c r="J209" s="92">
        <f>33.5/ATHENS!O1*ATHENS!O2</f>
        <v>68.367346938775512</v>
      </c>
      <c r="K209" s="93">
        <f>40.5/ATHENS!O1*ATHENS!O2</f>
        <v>82.653061224489804</v>
      </c>
      <c r="L209" s="94">
        <f>45.5/ATHENS!O1*ATHENS!O2</f>
        <v>92.857142857142861</v>
      </c>
      <c r="M209" s="42"/>
      <c r="N209" s="42"/>
      <c r="O209" s="52"/>
    </row>
    <row r="210" spans="1:15" x14ac:dyDescent="0.2">
      <c r="A210" s="14"/>
      <c r="B210" s="15"/>
      <c r="C210" s="15"/>
      <c r="D210" s="15"/>
      <c r="E210" s="16"/>
      <c r="F210" s="16"/>
      <c r="G210" s="16"/>
      <c r="H210" s="16"/>
      <c r="I210" s="16"/>
      <c r="J210" s="316"/>
      <c r="K210" s="99"/>
      <c r="L210" s="99"/>
      <c r="M210" s="47"/>
      <c r="N210" s="47"/>
      <c r="O210" s="52"/>
    </row>
    <row r="211" spans="1:15" x14ac:dyDescent="0.2">
      <c r="A211" s="14"/>
      <c r="B211" s="15"/>
      <c r="C211" s="15"/>
      <c r="D211" s="15"/>
      <c r="E211" s="16"/>
      <c r="F211" s="16"/>
      <c r="G211" s="16"/>
      <c r="H211" s="16"/>
      <c r="I211" s="16"/>
      <c r="J211" s="316"/>
      <c r="K211" s="99"/>
      <c r="L211" s="99"/>
      <c r="M211" s="47"/>
      <c r="N211" s="47"/>
      <c r="O211" s="52"/>
    </row>
    <row r="212" spans="1:15" x14ac:dyDescent="0.2">
      <c r="A212" s="14"/>
      <c r="B212" s="15"/>
      <c r="C212" s="15"/>
      <c r="D212" s="15"/>
      <c r="E212" s="16"/>
      <c r="F212" s="16"/>
      <c r="G212" s="16"/>
      <c r="H212" s="16"/>
      <c r="I212" s="16"/>
      <c r="J212" s="316"/>
      <c r="K212" s="99"/>
      <c r="L212" s="99"/>
      <c r="M212" s="47"/>
      <c r="N212" s="47"/>
      <c r="O212" s="52"/>
    </row>
    <row r="213" spans="1:15" x14ac:dyDescent="0.2">
      <c r="A213" s="14"/>
      <c r="B213" s="15"/>
      <c r="C213" s="15"/>
      <c r="D213" s="15"/>
      <c r="E213" s="16"/>
      <c r="F213" s="16"/>
      <c r="G213" s="16"/>
      <c r="H213" s="16"/>
      <c r="I213" s="16"/>
      <c r="J213" s="316"/>
      <c r="K213" s="99"/>
      <c r="L213" s="99"/>
      <c r="M213" s="47"/>
      <c r="N213" s="47"/>
      <c r="O213" s="52"/>
    </row>
    <row r="214" spans="1:15" ht="13.5" thickBot="1" x14ac:dyDescent="0.25">
      <c r="A214" s="14"/>
      <c r="B214" s="15"/>
      <c r="C214" s="15"/>
      <c r="D214" s="15"/>
      <c r="E214" s="16"/>
      <c r="F214" s="16"/>
      <c r="G214" s="16"/>
      <c r="H214" s="16"/>
      <c r="I214" s="16"/>
      <c r="J214" s="16"/>
      <c r="K214" s="16"/>
      <c r="L214" s="16"/>
      <c r="M214" s="16"/>
      <c r="N214" s="16"/>
    </row>
    <row r="215" spans="1:15" x14ac:dyDescent="0.2">
      <c r="A215" s="20"/>
      <c r="B215" s="21"/>
      <c r="C215" s="21"/>
      <c r="D215" s="21"/>
      <c r="E215" s="22"/>
      <c r="F215" s="22"/>
      <c r="G215" s="22"/>
      <c r="H215" s="22"/>
      <c r="I215" s="22"/>
      <c r="J215" s="22"/>
      <c r="K215" s="22"/>
      <c r="L215" s="22"/>
      <c r="M215" s="22"/>
      <c r="N215" s="23"/>
    </row>
    <row r="216" spans="1:15" ht="15" x14ac:dyDescent="0.2">
      <c r="A216" s="24"/>
      <c r="B216" s="413" t="s">
        <v>438</v>
      </c>
      <c r="C216" s="414"/>
      <c r="D216" s="414"/>
      <c r="E216" s="414"/>
      <c r="F216" s="414"/>
      <c r="G216" s="414"/>
      <c r="H216" s="414"/>
      <c r="I216" s="414"/>
      <c r="J216" s="414"/>
      <c r="K216" s="414"/>
      <c r="L216" s="414"/>
      <c r="M216" s="415"/>
      <c r="N216" s="25" t="s">
        <v>1104</v>
      </c>
    </row>
    <row r="217" spans="1:15" x14ac:dyDescent="0.2">
      <c r="A217" s="24"/>
      <c r="B217" s="26" t="s">
        <v>428</v>
      </c>
      <c r="C217" s="15" t="s">
        <v>439</v>
      </c>
      <c r="D217" s="15"/>
      <c r="E217" s="16"/>
      <c r="F217" s="16"/>
      <c r="G217" s="16"/>
      <c r="H217" s="16"/>
      <c r="I217" s="16"/>
      <c r="J217" s="16"/>
      <c r="K217" s="16"/>
      <c r="L217" s="16"/>
      <c r="M217" s="16"/>
      <c r="N217" s="27"/>
    </row>
    <row r="218" spans="1:15" x14ac:dyDescent="0.2">
      <c r="A218" s="24"/>
      <c r="B218" s="26" t="s">
        <v>429</v>
      </c>
      <c r="C218" s="15" t="s">
        <v>144</v>
      </c>
      <c r="D218" s="15"/>
      <c r="E218" s="16"/>
      <c r="F218" s="16"/>
      <c r="G218" s="16"/>
      <c r="H218" s="16"/>
      <c r="I218" s="16"/>
      <c r="J218" s="16"/>
      <c r="K218" s="16"/>
      <c r="L218" s="16"/>
      <c r="M218" s="16"/>
      <c r="N218" s="27"/>
    </row>
    <row r="219" spans="1:15" x14ac:dyDescent="0.2">
      <c r="A219" s="24"/>
      <c r="B219" s="26" t="s">
        <v>427</v>
      </c>
      <c r="C219" s="416" t="s">
        <v>584</v>
      </c>
      <c r="D219" s="416"/>
      <c r="E219" s="416"/>
      <c r="F219" s="416"/>
      <c r="G219" s="416"/>
      <c r="H219" s="416"/>
      <c r="I219" s="416"/>
      <c r="J219" s="416"/>
      <c r="K219" s="416"/>
      <c r="L219" s="416"/>
      <c r="M219" s="416"/>
      <c r="N219" s="417"/>
    </row>
    <row r="220" spans="1:15" x14ac:dyDescent="0.2">
      <c r="A220" s="24"/>
      <c r="B220" s="15"/>
      <c r="C220" s="416"/>
      <c r="D220" s="416"/>
      <c r="E220" s="416"/>
      <c r="F220" s="416"/>
      <c r="G220" s="416"/>
      <c r="H220" s="416"/>
      <c r="I220" s="416"/>
      <c r="J220" s="416"/>
      <c r="K220" s="416"/>
      <c r="L220" s="416"/>
      <c r="M220" s="416"/>
      <c r="N220" s="417"/>
    </row>
    <row r="221" spans="1:15" x14ac:dyDescent="0.2">
      <c r="A221" s="24"/>
      <c r="B221" s="26" t="s">
        <v>426</v>
      </c>
      <c r="C221" s="15"/>
      <c r="D221" s="15"/>
      <c r="E221" s="16"/>
      <c r="F221" s="16"/>
      <c r="G221" s="16"/>
      <c r="H221" s="16"/>
      <c r="I221" s="16"/>
      <c r="J221" s="16"/>
      <c r="K221" s="16"/>
      <c r="L221" s="16"/>
      <c r="M221" s="16"/>
      <c r="N221" s="27"/>
    </row>
    <row r="222" spans="1:15" ht="13.5" thickBot="1" x14ac:dyDescent="0.25">
      <c r="A222" s="24"/>
      <c r="B222" s="26" t="s">
        <v>430</v>
      </c>
      <c r="C222" s="15"/>
      <c r="D222" s="15"/>
      <c r="E222" s="16"/>
      <c r="F222" s="16"/>
      <c r="G222" s="16"/>
      <c r="H222" s="16"/>
      <c r="I222" s="16"/>
      <c r="J222" s="16"/>
      <c r="K222" s="16"/>
      <c r="L222" s="16"/>
      <c r="M222" s="16"/>
      <c r="N222" s="27"/>
    </row>
    <row r="223" spans="1:15" x14ac:dyDescent="0.2">
      <c r="A223" s="20"/>
      <c r="B223" s="21" t="s">
        <v>263</v>
      </c>
      <c r="C223" s="21"/>
      <c r="D223" s="21"/>
      <c r="E223" s="22"/>
      <c r="F223" s="22"/>
      <c r="G223" s="22"/>
      <c r="H223" s="22"/>
      <c r="I223" s="22"/>
      <c r="J223" s="33" t="s">
        <v>1411</v>
      </c>
      <c r="K223" s="33" t="s">
        <v>295</v>
      </c>
      <c r="L223" s="33" t="s">
        <v>1766</v>
      </c>
      <c r="M223" s="33"/>
      <c r="N223" s="23"/>
    </row>
    <row r="224" spans="1:15" ht="13.5" thickBot="1" x14ac:dyDescent="0.25">
      <c r="A224" s="28"/>
      <c r="B224" s="15"/>
      <c r="C224" s="29"/>
      <c r="D224" s="29"/>
      <c r="E224" s="30"/>
      <c r="F224" s="30"/>
      <c r="G224" s="30"/>
      <c r="H224" s="30"/>
      <c r="I224" s="30"/>
      <c r="J224" s="78" t="s">
        <v>1765</v>
      </c>
      <c r="K224" s="36" t="s">
        <v>272</v>
      </c>
      <c r="L224" s="36" t="s">
        <v>1767</v>
      </c>
      <c r="M224" s="36" t="s">
        <v>1768</v>
      </c>
      <c r="N224" s="31"/>
    </row>
    <row r="225" spans="1:14" x14ac:dyDescent="0.2">
      <c r="A225" s="20"/>
      <c r="B225" s="412" t="s">
        <v>67</v>
      </c>
      <c r="C225" s="412"/>
      <c r="D225" s="412"/>
      <c r="E225" s="22"/>
      <c r="F225" s="22" t="s">
        <v>1180</v>
      </c>
      <c r="G225" s="22" t="s">
        <v>1484</v>
      </c>
      <c r="H225" s="22" t="s">
        <v>702</v>
      </c>
      <c r="I225" s="22"/>
      <c r="J225" s="66">
        <f>84/ATHENS!O1*ATHENS!O2</f>
        <v>171.42857142857144</v>
      </c>
      <c r="K225" s="66">
        <f>107/ATHENS!O1*ATHENS!O2</f>
        <v>218.36734693877551</v>
      </c>
      <c r="L225" s="66">
        <f>130/ATHENS!O1*ATHENS!O2</f>
        <v>265.30612244897958</v>
      </c>
      <c r="M225" s="66">
        <f>155/ATHENS!O1*ATHENS!O2</f>
        <v>316.32653061224488</v>
      </c>
      <c r="N225" s="70"/>
    </row>
    <row r="226" spans="1:14" x14ac:dyDescent="0.2">
      <c r="A226" s="24"/>
      <c r="B226" s="411" t="s">
        <v>67</v>
      </c>
      <c r="C226" s="411"/>
      <c r="D226" s="411"/>
      <c r="E226" s="16"/>
      <c r="F226" s="16" t="s">
        <v>1181</v>
      </c>
      <c r="G226" s="16" t="s">
        <v>1484</v>
      </c>
      <c r="H226" s="16" t="s">
        <v>702</v>
      </c>
      <c r="I226" s="16"/>
      <c r="J226" s="66">
        <f>51.5/ATHENS!O1*ATHENS!O2</f>
        <v>105.10204081632654</v>
      </c>
      <c r="K226" s="66">
        <f>67/ATHENS!O1*ATHENS!O2</f>
        <v>136.73469387755102</v>
      </c>
      <c r="L226" s="66">
        <f>80/ATHENS!O1*ATHENS!O2</f>
        <v>163.26530612244898</v>
      </c>
      <c r="M226" s="66">
        <f>96/ATHENS!O1*ATHENS!O2</f>
        <v>195.91836734693877</v>
      </c>
      <c r="N226" s="85"/>
    </row>
    <row r="227" spans="1:14" ht="13.5" thickBot="1" x14ac:dyDescent="0.25">
      <c r="A227" s="28"/>
      <c r="B227" s="418" t="s">
        <v>67</v>
      </c>
      <c r="C227" s="418"/>
      <c r="D227" s="418"/>
      <c r="E227" s="30"/>
      <c r="F227" s="30" t="s">
        <v>1182</v>
      </c>
      <c r="G227" s="30" t="s">
        <v>1484</v>
      </c>
      <c r="H227" s="30" t="s">
        <v>702</v>
      </c>
      <c r="I227" s="30"/>
      <c r="J227" s="67">
        <f>46.5/ATHENS!O1*ATHENS!O2</f>
        <v>94.897959183673464</v>
      </c>
      <c r="K227" s="67">
        <f>60.5/ATHENS!O1*ATHENS!O2</f>
        <v>123.46938775510205</v>
      </c>
      <c r="L227" s="67">
        <f>72/ATHENS!O1*ATHENS!O2</f>
        <v>146.9387755102041</v>
      </c>
      <c r="M227" s="67">
        <f>86.5/ATHENS!O1*ATHENS!O2</f>
        <v>176.53061224489795</v>
      </c>
      <c r="N227" s="86"/>
    </row>
    <row r="228" spans="1:14" ht="13.5" thickBot="1" x14ac:dyDescent="0.25">
      <c r="A228" s="14"/>
      <c r="B228" s="15"/>
      <c r="C228" s="15"/>
      <c r="D228" s="15"/>
      <c r="E228" s="16"/>
      <c r="F228" s="16"/>
      <c r="G228" s="16"/>
      <c r="H228" s="16"/>
      <c r="I228" s="16"/>
      <c r="J228" s="16"/>
      <c r="K228" s="16"/>
      <c r="L228" s="16"/>
      <c r="M228" s="16"/>
      <c r="N228" s="16"/>
    </row>
    <row r="229" spans="1:14" x14ac:dyDescent="0.2">
      <c r="A229" s="20"/>
      <c r="B229" s="21"/>
      <c r="C229" s="21"/>
      <c r="D229" s="21"/>
      <c r="E229" s="22"/>
      <c r="F229" s="22"/>
      <c r="G229" s="22"/>
      <c r="H229" s="22"/>
      <c r="I229" s="22"/>
      <c r="J229" s="22"/>
      <c r="K229" s="22"/>
      <c r="L229" s="22"/>
      <c r="M229" s="22"/>
      <c r="N229" s="23"/>
    </row>
    <row r="230" spans="1:14" ht="15" x14ac:dyDescent="0.2">
      <c r="A230" s="24"/>
      <c r="B230" s="413" t="s">
        <v>195</v>
      </c>
      <c r="C230" s="414"/>
      <c r="D230" s="414"/>
      <c r="E230" s="414"/>
      <c r="F230" s="414"/>
      <c r="G230" s="414"/>
      <c r="H230" s="414"/>
      <c r="I230" s="414"/>
      <c r="J230" s="414"/>
      <c r="K230" s="414"/>
      <c r="L230" s="414"/>
      <c r="M230" s="415"/>
      <c r="N230" s="25" t="s">
        <v>1104</v>
      </c>
    </row>
    <row r="231" spans="1:14" x14ac:dyDescent="0.2">
      <c r="A231" s="24"/>
      <c r="B231" s="26" t="s">
        <v>428</v>
      </c>
      <c r="C231" s="15" t="s">
        <v>196</v>
      </c>
      <c r="D231" s="15"/>
      <c r="E231" s="16"/>
      <c r="F231" s="16"/>
      <c r="G231" s="16"/>
      <c r="H231" s="16"/>
      <c r="I231" s="16"/>
      <c r="J231" s="16"/>
      <c r="K231" s="16"/>
      <c r="L231" s="16"/>
      <c r="M231" s="16"/>
      <c r="N231" s="27"/>
    </row>
    <row r="232" spans="1:14" x14ac:dyDescent="0.2">
      <c r="A232" s="24"/>
      <c r="B232" s="26" t="s">
        <v>429</v>
      </c>
      <c r="C232" s="15" t="s">
        <v>145</v>
      </c>
      <c r="D232" s="15"/>
      <c r="E232" s="16"/>
      <c r="F232" s="16"/>
      <c r="G232" s="16"/>
      <c r="H232" s="16"/>
      <c r="I232" s="16"/>
      <c r="J232" s="16"/>
      <c r="K232" s="16"/>
      <c r="L232" s="16"/>
      <c r="M232" s="16"/>
      <c r="N232" s="27"/>
    </row>
    <row r="233" spans="1:14" x14ac:dyDescent="0.2">
      <c r="A233" s="24"/>
      <c r="B233" s="26" t="s">
        <v>427</v>
      </c>
      <c r="C233" s="416" t="s">
        <v>585</v>
      </c>
      <c r="D233" s="416"/>
      <c r="E233" s="416"/>
      <c r="F233" s="416"/>
      <c r="G233" s="416"/>
      <c r="H233" s="416"/>
      <c r="I233" s="416"/>
      <c r="J233" s="416"/>
      <c r="K233" s="416"/>
      <c r="L233" s="416"/>
      <c r="M233" s="416"/>
      <c r="N233" s="417"/>
    </row>
    <row r="234" spans="1:14" x14ac:dyDescent="0.2">
      <c r="A234" s="24"/>
      <c r="B234" s="15"/>
      <c r="C234" s="416"/>
      <c r="D234" s="416"/>
      <c r="E234" s="416"/>
      <c r="F234" s="416"/>
      <c r="G234" s="416"/>
      <c r="H234" s="416"/>
      <c r="I234" s="416"/>
      <c r="J234" s="416"/>
      <c r="K234" s="416"/>
      <c r="L234" s="416"/>
      <c r="M234" s="416"/>
      <c r="N234" s="417"/>
    </row>
    <row r="235" spans="1:14" x14ac:dyDescent="0.2">
      <c r="A235" s="24"/>
      <c r="B235" s="15"/>
      <c r="C235" s="419"/>
      <c r="D235" s="419"/>
      <c r="E235" s="419"/>
      <c r="F235" s="419"/>
      <c r="G235" s="419"/>
      <c r="H235" s="419"/>
      <c r="I235" s="419"/>
      <c r="J235" s="419"/>
      <c r="K235" s="419"/>
      <c r="L235" s="419"/>
      <c r="M235" s="419"/>
      <c r="N235" s="420"/>
    </row>
    <row r="236" spans="1:14" x14ac:dyDescent="0.2">
      <c r="A236" s="24"/>
      <c r="B236" s="15"/>
      <c r="C236" s="419"/>
      <c r="D236" s="419"/>
      <c r="E236" s="419"/>
      <c r="F236" s="419"/>
      <c r="G236" s="419"/>
      <c r="H236" s="419"/>
      <c r="I236" s="419"/>
      <c r="J236" s="419"/>
      <c r="K236" s="419"/>
      <c r="L236" s="419"/>
      <c r="M236" s="419"/>
      <c r="N236" s="420"/>
    </row>
    <row r="237" spans="1:14" x14ac:dyDescent="0.2">
      <c r="A237" s="24"/>
      <c r="B237" s="26" t="s">
        <v>426</v>
      </c>
      <c r="C237" s="15"/>
      <c r="D237" s="15"/>
      <c r="E237" s="16"/>
      <c r="F237" s="16"/>
      <c r="G237" s="16"/>
      <c r="H237" s="16"/>
      <c r="I237" s="16"/>
      <c r="J237" s="16"/>
      <c r="K237" s="16"/>
      <c r="L237" s="16"/>
      <c r="M237" s="16"/>
      <c r="N237" s="27"/>
    </row>
    <row r="238" spans="1:14" ht="13.5" thickBot="1" x14ac:dyDescent="0.25">
      <c r="A238" s="24"/>
      <c r="B238" s="26" t="s">
        <v>430</v>
      </c>
      <c r="C238" s="15"/>
      <c r="D238" s="15"/>
      <c r="E238" s="16"/>
      <c r="F238" s="16"/>
      <c r="G238" s="16"/>
      <c r="H238" s="16"/>
      <c r="I238" s="16"/>
      <c r="J238" s="16"/>
      <c r="K238" s="16"/>
      <c r="L238" s="16"/>
      <c r="M238" s="16"/>
      <c r="N238" s="27"/>
    </row>
    <row r="239" spans="1:14" x14ac:dyDescent="0.2">
      <c r="A239" s="20"/>
      <c r="B239" s="21" t="s">
        <v>263</v>
      </c>
      <c r="C239" s="21"/>
      <c r="D239" s="21"/>
      <c r="E239" s="22"/>
      <c r="F239" s="22"/>
      <c r="G239" s="22"/>
      <c r="H239" s="22"/>
      <c r="I239" s="22"/>
      <c r="J239" s="32" t="s">
        <v>1971</v>
      </c>
      <c r="K239" s="33" t="s">
        <v>83</v>
      </c>
      <c r="L239" s="33" t="s">
        <v>2149</v>
      </c>
      <c r="M239" s="33" t="s">
        <v>2150</v>
      </c>
      <c r="N239" s="33"/>
    </row>
    <row r="240" spans="1:14" ht="13.5" thickBot="1" x14ac:dyDescent="0.25">
      <c r="A240" s="28"/>
      <c r="B240" s="15"/>
      <c r="C240" s="29"/>
      <c r="D240" s="29"/>
      <c r="E240" s="30"/>
      <c r="F240" s="30"/>
      <c r="G240" s="30"/>
      <c r="H240" s="30"/>
      <c r="I240" s="30"/>
      <c r="J240" s="44" t="s">
        <v>2147</v>
      </c>
      <c r="K240" s="36" t="s">
        <v>2148</v>
      </c>
      <c r="L240" s="36" t="s">
        <v>1570</v>
      </c>
      <c r="M240" s="36" t="s">
        <v>1406</v>
      </c>
      <c r="N240" s="36" t="s">
        <v>1571</v>
      </c>
    </row>
    <row r="241" spans="1:14" x14ac:dyDescent="0.2">
      <c r="A241" s="20"/>
      <c r="B241" s="412" t="s">
        <v>67</v>
      </c>
      <c r="C241" s="412"/>
      <c r="D241" s="412"/>
      <c r="E241" s="22"/>
      <c r="F241" s="22" t="s">
        <v>1180</v>
      </c>
      <c r="G241" s="22" t="s">
        <v>1484</v>
      </c>
      <c r="H241" s="22" t="s">
        <v>702</v>
      </c>
      <c r="I241" s="22"/>
      <c r="J241" s="65">
        <f>71.5/ATHENS!O1*ATHENS!O2</f>
        <v>145.91836734693877</v>
      </c>
      <c r="K241" s="65">
        <f>106.6/ATHENS!O1*ATHENS!O2</f>
        <v>217.55102040816325</v>
      </c>
      <c r="L241" s="65">
        <f>128.5/ATHENS!O1*ATHENS!O2</f>
        <v>262.24489795918367</v>
      </c>
      <c r="M241" s="65">
        <f>155.5/ATHENS!O1*ATHENS!O2</f>
        <v>317.34693877551018</v>
      </c>
      <c r="N241" s="65">
        <f>176.96/ATHENS!O1*ATHENS!O2</f>
        <v>361.14285714285717</v>
      </c>
    </row>
    <row r="242" spans="1:14" x14ac:dyDescent="0.2">
      <c r="A242" s="24"/>
      <c r="B242" s="411" t="s">
        <v>67</v>
      </c>
      <c r="C242" s="411"/>
      <c r="D242" s="411"/>
      <c r="E242" s="16"/>
      <c r="F242" s="16" t="s">
        <v>1181</v>
      </c>
      <c r="G242" s="16" t="s">
        <v>1484</v>
      </c>
      <c r="H242" s="16" t="s">
        <v>702</v>
      </c>
      <c r="I242" s="16"/>
      <c r="J242" s="66">
        <f>44.5/ATHENS!O1*ATHENS!O2</f>
        <v>90.816326530612244</v>
      </c>
      <c r="K242" s="66">
        <f>66.5/ATHENS!O1*ATHENS!O2</f>
        <v>135.71428571428572</v>
      </c>
      <c r="L242" s="66">
        <f>80.5/ATHENS!O1*ATHENS!O2</f>
        <v>164.28571428571428</v>
      </c>
      <c r="M242" s="66">
        <f>97.5/ATHENS!O1*ATHENS!O2</f>
        <v>198.9795918367347</v>
      </c>
      <c r="N242" s="66">
        <f>110.6/ATHENS!O1*ATHENS!O2</f>
        <v>225.71428571428569</v>
      </c>
    </row>
    <row r="243" spans="1:14" ht="13.5" thickBot="1" x14ac:dyDescent="0.25">
      <c r="A243" s="28"/>
      <c r="B243" s="418" t="s">
        <v>67</v>
      </c>
      <c r="C243" s="418"/>
      <c r="D243" s="418"/>
      <c r="E243" s="30"/>
      <c r="F243" s="30" t="s">
        <v>1182</v>
      </c>
      <c r="G243" s="30" t="s">
        <v>1484</v>
      </c>
      <c r="H243" s="30" t="s">
        <v>702</v>
      </c>
      <c r="I243" s="30"/>
      <c r="J243" s="67">
        <f>37.5/ATHENS!O1*ATHENS!O2</f>
        <v>76.530612244897966</v>
      </c>
      <c r="K243" s="67">
        <f>55.8/ATHENS!O1*ATHENS!O2</f>
        <v>113.87755102040816</v>
      </c>
      <c r="L243" s="67">
        <f>67.5/ATHENS!O1*ATHENS!O2</f>
        <v>137.75510204081633</v>
      </c>
      <c r="M243" s="67">
        <f>81.5/ATHENS!O1*ATHENS!O2</f>
        <v>166.32653061224491</v>
      </c>
      <c r="N243" s="67">
        <f>92.5/ATHENS!O1*ATHENS!O2</f>
        <v>188.77551020408163</v>
      </c>
    </row>
    <row r="244" spans="1:14" ht="13.5" thickBot="1" x14ac:dyDescent="0.25">
      <c r="A244" s="14"/>
      <c r="B244" s="15"/>
      <c r="C244" s="15"/>
      <c r="D244" s="15"/>
      <c r="E244" s="16"/>
      <c r="F244" s="16"/>
      <c r="G244" s="16"/>
      <c r="H244" s="16"/>
      <c r="I244" s="16"/>
      <c r="J244" s="68"/>
      <c r="K244" s="68"/>
      <c r="L244" s="68"/>
      <c r="M244" s="68"/>
      <c r="N244" s="68"/>
    </row>
    <row r="245" spans="1:14" x14ac:dyDescent="0.2">
      <c r="A245" s="20"/>
      <c r="B245" s="21"/>
      <c r="C245" s="21"/>
      <c r="D245" s="21"/>
      <c r="E245" s="22"/>
      <c r="F245" s="22"/>
      <c r="G245" s="22"/>
      <c r="H245" s="22"/>
      <c r="I245" s="22"/>
      <c r="J245" s="22"/>
      <c r="K245" s="22"/>
      <c r="L245" s="22"/>
      <c r="M245" s="22"/>
      <c r="N245" s="23"/>
    </row>
    <row r="246" spans="1:14" ht="15" x14ac:dyDescent="0.2">
      <c r="A246" s="24"/>
      <c r="B246" s="413" t="s">
        <v>159</v>
      </c>
      <c r="C246" s="414"/>
      <c r="D246" s="414"/>
      <c r="E246" s="414"/>
      <c r="F246" s="414"/>
      <c r="G246" s="414"/>
      <c r="H246" s="414"/>
      <c r="I246" s="414"/>
      <c r="J246" s="414"/>
      <c r="K246" s="414"/>
      <c r="L246" s="414"/>
      <c r="M246" s="415"/>
      <c r="N246" s="25" t="s">
        <v>1104</v>
      </c>
    </row>
    <row r="247" spans="1:14" x14ac:dyDescent="0.2">
      <c r="A247" s="24"/>
      <c r="B247" s="26" t="s">
        <v>428</v>
      </c>
      <c r="C247" s="15" t="s">
        <v>161</v>
      </c>
      <c r="D247" s="15"/>
      <c r="E247" s="16"/>
      <c r="F247" s="16"/>
      <c r="G247" s="16"/>
      <c r="H247" s="16"/>
      <c r="I247" s="16"/>
      <c r="J247" s="16"/>
      <c r="K247" s="16"/>
      <c r="L247" s="16"/>
      <c r="M247" s="16"/>
      <c r="N247" s="27"/>
    </row>
    <row r="248" spans="1:14" x14ac:dyDescent="0.2">
      <c r="A248" s="24"/>
      <c r="B248" s="26" t="s">
        <v>429</v>
      </c>
      <c r="C248" s="15" t="s">
        <v>1301</v>
      </c>
      <c r="D248" s="15"/>
      <c r="E248" s="16"/>
      <c r="F248" s="16"/>
      <c r="G248" s="16"/>
      <c r="H248" s="16"/>
      <c r="I248" s="16"/>
      <c r="J248" s="16"/>
      <c r="K248" s="16"/>
      <c r="L248" s="16"/>
      <c r="M248" s="16"/>
      <c r="N248" s="27"/>
    </row>
    <row r="249" spans="1:14" x14ac:dyDescent="0.2">
      <c r="A249" s="24"/>
      <c r="B249" s="26" t="s">
        <v>427</v>
      </c>
      <c r="C249" s="416" t="s">
        <v>160</v>
      </c>
      <c r="D249" s="416"/>
      <c r="E249" s="416"/>
      <c r="F249" s="416"/>
      <c r="G249" s="416"/>
      <c r="H249" s="416"/>
      <c r="I249" s="416"/>
      <c r="J249" s="416"/>
      <c r="K249" s="416"/>
      <c r="L249" s="416"/>
      <c r="M249" s="416"/>
      <c r="N249" s="417"/>
    </row>
    <row r="250" spans="1:14" x14ac:dyDescent="0.2">
      <c r="A250" s="24"/>
      <c r="B250" s="15"/>
      <c r="C250" s="416"/>
      <c r="D250" s="416"/>
      <c r="E250" s="416"/>
      <c r="F250" s="416"/>
      <c r="G250" s="416"/>
      <c r="H250" s="416"/>
      <c r="I250" s="416"/>
      <c r="J250" s="416"/>
      <c r="K250" s="416"/>
      <c r="L250" s="416"/>
      <c r="M250" s="416"/>
      <c r="N250" s="417"/>
    </row>
    <row r="251" spans="1:14" x14ac:dyDescent="0.2">
      <c r="A251" s="24"/>
      <c r="B251" s="15"/>
      <c r="C251" s="419"/>
      <c r="D251" s="419"/>
      <c r="E251" s="419"/>
      <c r="F251" s="419"/>
      <c r="G251" s="419"/>
      <c r="H251" s="419"/>
      <c r="I251" s="419"/>
      <c r="J251" s="419"/>
      <c r="K251" s="419"/>
      <c r="L251" s="419"/>
      <c r="M251" s="419"/>
      <c r="N251" s="420"/>
    </row>
    <row r="252" spans="1:14" x14ac:dyDescent="0.2">
      <c r="A252" s="24"/>
      <c r="B252" s="26" t="s">
        <v>426</v>
      </c>
      <c r="C252" s="15"/>
      <c r="D252" s="15"/>
      <c r="E252" s="16"/>
      <c r="F252" s="16"/>
      <c r="G252" s="16"/>
      <c r="H252" s="16"/>
      <c r="I252" s="16"/>
      <c r="J252" s="16"/>
      <c r="K252" s="16"/>
      <c r="L252" s="16"/>
      <c r="M252" s="16"/>
      <c r="N252" s="27"/>
    </row>
    <row r="253" spans="1:14" ht="13.5" thickBot="1" x14ac:dyDescent="0.25">
      <c r="A253" s="24"/>
      <c r="B253" s="26" t="s">
        <v>430</v>
      </c>
      <c r="C253" s="15"/>
      <c r="D253" s="15"/>
      <c r="E253" s="16"/>
      <c r="F253" s="16"/>
      <c r="G253" s="16"/>
      <c r="H253" s="16"/>
      <c r="I253" s="16"/>
      <c r="J253" s="16"/>
      <c r="K253" s="16"/>
      <c r="L253" s="16"/>
      <c r="M253" s="16"/>
      <c r="N253" s="27"/>
    </row>
    <row r="254" spans="1:14" x14ac:dyDescent="0.2">
      <c r="A254" s="20"/>
      <c r="B254" s="21" t="s">
        <v>263</v>
      </c>
      <c r="C254" s="21"/>
      <c r="D254" s="21"/>
      <c r="E254" s="22"/>
      <c r="F254" s="22"/>
      <c r="G254" s="22"/>
      <c r="H254" s="22"/>
      <c r="I254" s="22"/>
      <c r="J254" s="32" t="s">
        <v>2154</v>
      </c>
      <c r="K254" s="33" t="s">
        <v>2155</v>
      </c>
      <c r="L254" s="33" t="s">
        <v>2156</v>
      </c>
      <c r="M254" s="33"/>
      <c r="N254" s="33"/>
    </row>
    <row r="255" spans="1:14" ht="13.5" thickBot="1" x14ac:dyDescent="0.25">
      <c r="A255" s="28"/>
      <c r="B255" s="15"/>
      <c r="C255" s="29"/>
      <c r="D255" s="29"/>
      <c r="E255" s="30"/>
      <c r="F255" s="30"/>
      <c r="G255" s="30"/>
      <c r="H255" s="30"/>
      <c r="I255" s="30"/>
      <c r="J255" s="44" t="s">
        <v>833</v>
      </c>
      <c r="K255" s="36" t="s">
        <v>833</v>
      </c>
      <c r="L255" s="36" t="s">
        <v>510</v>
      </c>
      <c r="M255" s="36" t="s">
        <v>1941</v>
      </c>
      <c r="N255" s="36"/>
    </row>
    <row r="256" spans="1:14" x14ac:dyDescent="0.2">
      <c r="A256" s="20"/>
      <c r="B256" s="412" t="s">
        <v>67</v>
      </c>
      <c r="C256" s="412"/>
      <c r="D256" s="412"/>
      <c r="E256" s="22"/>
      <c r="F256" s="22" t="s">
        <v>1180</v>
      </c>
      <c r="G256" s="22" t="s">
        <v>68</v>
      </c>
      <c r="H256" s="22" t="s">
        <v>702</v>
      </c>
      <c r="I256" s="22"/>
      <c r="J256" s="65">
        <f>140.5/ATHENS!O1*ATHENS!O2</f>
        <v>286.73469387755102</v>
      </c>
      <c r="K256" s="65">
        <f>175.9/ATHENS!O1*ATHENS!O2</f>
        <v>358.9795918367347</v>
      </c>
      <c r="L256" s="65">
        <f>212.5/ATHENS!O1*ATHENS!O2</f>
        <v>433.67346938775512</v>
      </c>
      <c r="M256" s="65">
        <f>260.5/ATHENS!O1*ATHENS!O2</f>
        <v>531.63265306122446</v>
      </c>
      <c r="N256" s="38"/>
    </row>
    <row r="257" spans="1:14" x14ac:dyDescent="0.2">
      <c r="A257" s="24"/>
      <c r="B257" s="411" t="s">
        <v>67</v>
      </c>
      <c r="C257" s="411"/>
      <c r="D257" s="411"/>
      <c r="E257" s="16"/>
      <c r="F257" s="16" t="s">
        <v>1181</v>
      </c>
      <c r="G257" s="16" t="s">
        <v>68</v>
      </c>
      <c r="H257" s="16" t="s">
        <v>702</v>
      </c>
      <c r="I257" s="16"/>
      <c r="J257" s="66">
        <f>70.5/ATHENS!O1*ATHENS!O2</f>
        <v>143.87755102040816</v>
      </c>
      <c r="K257" s="66">
        <f>87.95/ATHENS!O1*ATHENS!O2</f>
        <v>179.48979591836735</v>
      </c>
      <c r="L257" s="66">
        <f>106.5/ATHENS!O1*ATHENS!O2</f>
        <v>217.34693877551021</v>
      </c>
      <c r="M257" s="66">
        <f>130.5/ATHENS!O1*ATHENS!O2</f>
        <v>266.32653061224488</v>
      </c>
      <c r="N257" s="40"/>
    </row>
    <row r="258" spans="1:14" ht="13.5" thickBot="1" x14ac:dyDescent="0.25">
      <c r="A258" s="28"/>
      <c r="B258" s="418" t="s">
        <v>67</v>
      </c>
      <c r="C258" s="418"/>
      <c r="D258" s="418"/>
      <c r="E258" s="30"/>
      <c r="F258" s="30" t="s">
        <v>1182</v>
      </c>
      <c r="G258" s="30" t="s">
        <v>68</v>
      </c>
      <c r="H258" s="30" t="s">
        <v>702</v>
      </c>
      <c r="I258" s="30"/>
      <c r="J258" s="67">
        <f>58.5/ATHENS!O1*ATHENS!O2</f>
        <v>119.38775510204081</v>
      </c>
      <c r="K258" s="67">
        <f>73.5/ATHENS!O1*ATHENS!O2</f>
        <v>150</v>
      </c>
      <c r="L258" s="67">
        <f>89.5/ATHENS!O1*ATHENS!O2</f>
        <v>182.65306122448979</v>
      </c>
      <c r="M258" s="67">
        <f>109/ATHENS!O1*ATHENS!O2</f>
        <v>222.44897959183675</v>
      </c>
      <c r="N258" s="42"/>
    </row>
    <row r="259" spans="1:14" x14ac:dyDescent="0.2">
      <c r="A259" s="14"/>
      <c r="B259" s="15"/>
      <c r="C259" s="15"/>
      <c r="D259" s="15"/>
      <c r="E259" s="16"/>
      <c r="F259" s="16"/>
      <c r="G259" s="16"/>
      <c r="H259" s="16"/>
      <c r="I259" s="16"/>
      <c r="J259" s="68"/>
      <c r="K259" s="68"/>
      <c r="L259" s="68"/>
      <c r="M259" s="68"/>
      <c r="N259" s="68"/>
    </row>
    <row r="260" spans="1:14" x14ac:dyDescent="0.2">
      <c r="A260" s="14"/>
      <c r="B260" s="15"/>
      <c r="C260" s="15"/>
      <c r="D260" s="15"/>
      <c r="E260" s="16"/>
      <c r="F260" s="16"/>
      <c r="G260" s="16"/>
      <c r="H260" s="16"/>
      <c r="I260" s="16"/>
      <c r="J260" s="68"/>
      <c r="K260" s="68"/>
      <c r="L260" s="68"/>
      <c r="M260" s="68"/>
      <c r="N260" s="68"/>
    </row>
    <row r="261" spans="1:14" x14ac:dyDescent="0.2">
      <c r="A261" s="14"/>
      <c r="B261" s="15"/>
      <c r="C261" s="15"/>
      <c r="D261" s="15"/>
      <c r="E261" s="16"/>
      <c r="F261" s="16"/>
      <c r="G261" s="16"/>
      <c r="H261" s="16"/>
      <c r="I261" s="16"/>
      <c r="J261" s="68"/>
      <c r="K261" s="68"/>
      <c r="L261" s="68"/>
      <c r="M261" s="68"/>
      <c r="N261" s="68"/>
    </row>
    <row r="262" spans="1:14" x14ac:dyDescent="0.2">
      <c r="A262" s="14"/>
      <c r="B262" s="15"/>
      <c r="C262" s="15"/>
      <c r="D262" s="15"/>
      <c r="E262" s="16"/>
      <c r="F262" s="16"/>
      <c r="G262" s="16"/>
      <c r="H262" s="16"/>
      <c r="I262" s="16"/>
      <c r="J262" s="16"/>
      <c r="K262" s="16"/>
      <c r="L262" s="16"/>
      <c r="M262" s="16"/>
      <c r="N262" s="16"/>
    </row>
    <row r="263" spans="1:14" ht="13.5" thickBot="1" x14ac:dyDescent="0.25"/>
    <row r="264" spans="1:14" x14ac:dyDescent="0.2">
      <c r="A264" s="20"/>
      <c r="B264" s="21"/>
      <c r="C264" s="21"/>
      <c r="D264" s="21"/>
      <c r="E264" s="22"/>
      <c r="F264" s="22"/>
      <c r="G264" s="22"/>
      <c r="H264" s="22"/>
      <c r="I264" s="22"/>
      <c r="J264" s="22"/>
      <c r="K264" s="22"/>
      <c r="L264" s="22"/>
      <c r="M264" s="22"/>
      <c r="N264" s="23"/>
    </row>
    <row r="265" spans="1:14" ht="15" x14ac:dyDescent="0.2">
      <c r="A265" s="24"/>
      <c r="B265" s="413" t="s">
        <v>1508</v>
      </c>
      <c r="C265" s="414"/>
      <c r="D265" s="414"/>
      <c r="E265" s="414"/>
      <c r="F265" s="414"/>
      <c r="G265" s="414"/>
      <c r="H265" s="414"/>
      <c r="I265" s="414"/>
      <c r="J265" s="414"/>
      <c r="K265" s="414"/>
      <c r="L265" s="414"/>
      <c r="M265" s="415"/>
      <c r="N265" s="25" t="s">
        <v>1103</v>
      </c>
    </row>
    <row r="266" spans="1:14" x14ac:dyDescent="0.2">
      <c r="A266" s="24"/>
      <c r="B266" s="26" t="s">
        <v>428</v>
      </c>
      <c r="C266" s="15" t="s">
        <v>1509</v>
      </c>
      <c r="D266" s="15"/>
      <c r="E266" s="16"/>
      <c r="F266" s="16"/>
      <c r="G266" s="16"/>
      <c r="H266" s="16"/>
      <c r="I266" s="16"/>
      <c r="J266" s="16"/>
      <c r="K266" s="16"/>
      <c r="L266" s="16"/>
      <c r="M266" s="16"/>
      <c r="N266" s="27"/>
    </row>
    <row r="267" spans="1:14" x14ac:dyDescent="0.2">
      <c r="A267" s="24"/>
      <c r="B267" s="26" t="s">
        <v>429</v>
      </c>
      <c r="C267" s="15" t="s">
        <v>146</v>
      </c>
      <c r="D267" s="15"/>
      <c r="E267" s="16"/>
      <c r="F267" s="16"/>
      <c r="G267" s="16"/>
      <c r="H267" s="16"/>
      <c r="I267" s="16"/>
      <c r="J267" s="16"/>
      <c r="K267" s="16"/>
      <c r="L267" s="16"/>
      <c r="M267" s="16"/>
      <c r="N267" s="27"/>
    </row>
    <row r="268" spans="1:14" x14ac:dyDescent="0.2">
      <c r="A268" s="24"/>
      <c r="B268" s="26" t="s">
        <v>427</v>
      </c>
      <c r="C268" s="416" t="s">
        <v>1510</v>
      </c>
      <c r="D268" s="416"/>
      <c r="E268" s="416"/>
      <c r="F268" s="416"/>
      <c r="G268" s="416"/>
      <c r="H268" s="416"/>
      <c r="I268" s="416"/>
      <c r="J268" s="416"/>
      <c r="K268" s="416"/>
      <c r="L268" s="416"/>
      <c r="M268" s="416"/>
      <c r="N268" s="417"/>
    </row>
    <row r="269" spans="1:14" x14ac:dyDescent="0.2">
      <c r="A269" s="24"/>
      <c r="B269" s="15"/>
      <c r="C269" s="416"/>
      <c r="D269" s="416"/>
      <c r="E269" s="416"/>
      <c r="F269" s="416"/>
      <c r="G269" s="416"/>
      <c r="H269" s="416"/>
      <c r="I269" s="416"/>
      <c r="J269" s="416"/>
      <c r="K269" s="416"/>
      <c r="L269" s="416"/>
      <c r="M269" s="416"/>
      <c r="N269" s="417"/>
    </row>
    <row r="270" spans="1:14" x14ac:dyDescent="0.2">
      <c r="A270" s="24"/>
      <c r="B270" s="15"/>
      <c r="C270" s="419"/>
      <c r="D270" s="419"/>
      <c r="E270" s="419"/>
      <c r="F270" s="419"/>
      <c r="G270" s="419"/>
      <c r="H270" s="419"/>
      <c r="I270" s="419"/>
      <c r="J270" s="419"/>
      <c r="K270" s="419"/>
      <c r="L270" s="419"/>
      <c r="M270" s="419"/>
      <c r="N270" s="420"/>
    </row>
    <row r="271" spans="1:14" x14ac:dyDescent="0.2">
      <c r="A271" s="24"/>
      <c r="B271" s="26" t="s">
        <v>426</v>
      </c>
      <c r="C271" s="15"/>
      <c r="D271" s="15"/>
      <c r="E271" s="16"/>
      <c r="F271" s="16"/>
      <c r="G271" s="16"/>
      <c r="H271" s="16"/>
      <c r="I271" s="16"/>
      <c r="J271" s="16"/>
      <c r="K271" s="16"/>
      <c r="L271" s="16"/>
      <c r="M271" s="16"/>
      <c r="N271" s="27"/>
    </row>
    <row r="272" spans="1:14" ht="13.5" thickBot="1" x14ac:dyDescent="0.25">
      <c r="A272" s="24"/>
      <c r="B272" s="26" t="s">
        <v>430</v>
      </c>
      <c r="C272" s="15"/>
      <c r="D272" s="15"/>
      <c r="E272" s="16"/>
      <c r="F272" s="16"/>
      <c r="G272" s="16"/>
      <c r="H272" s="16"/>
      <c r="I272" s="16"/>
      <c r="J272" s="16"/>
      <c r="K272" s="16"/>
      <c r="L272" s="16"/>
      <c r="M272" s="16"/>
      <c r="N272" s="27"/>
    </row>
    <row r="273" spans="1:14" x14ac:dyDescent="0.2">
      <c r="A273" s="20"/>
      <c r="B273" s="21" t="s">
        <v>263</v>
      </c>
      <c r="C273" s="21"/>
      <c r="D273" s="21"/>
      <c r="E273" s="22"/>
      <c r="F273" s="22"/>
      <c r="G273" s="22"/>
      <c r="H273" s="22"/>
      <c r="I273" s="22"/>
      <c r="J273" s="33" t="s">
        <v>2157</v>
      </c>
      <c r="K273" s="33" t="s">
        <v>2159</v>
      </c>
      <c r="L273" s="33" t="s">
        <v>2160</v>
      </c>
      <c r="M273" s="33"/>
      <c r="N273" s="76"/>
    </row>
    <row r="274" spans="1:14" ht="13.5" thickBot="1" x14ac:dyDescent="0.25">
      <c r="A274" s="28"/>
      <c r="B274" s="15"/>
      <c r="C274" s="29"/>
      <c r="D274" s="29"/>
      <c r="E274" s="30"/>
      <c r="F274" s="30"/>
      <c r="G274" s="30"/>
      <c r="H274" s="30"/>
      <c r="I274" s="30"/>
      <c r="J274" s="36" t="s">
        <v>2158</v>
      </c>
      <c r="K274" s="36" t="s">
        <v>2019</v>
      </c>
      <c r="L274" s="36" t="s">
        <v>2029</v>
      </c>
      <c r="M274" s="36" t="s">
        <v>2161</v>
      </c>
      <c r="N274" s="77"/>
    </row>
    <row r="275" spans="1:14" x14ac:dyDescent="0.2">
      <c r="A275" s="20"/>
      <c r="B275" s="412" t="s">
        <v>67</v>
      </c>
      <c r="C275" s="412"/>
      <c r="D275" s="412"/>
      <c r="E275" s="22"/>
      <c r="F275" s="22" t="s">
        <v>1180</v>
      </c>
      <c r="G275" s="22" t="s">
        <v>1487</v>
      </c>
      <c r="H275" s="22" t="s">
        <v>702</v>
      </c>
      <c r="I275" s="22"/>
      <c r="J275" s="66">
        <f>87/ATHENS!O1*ATHENS!O2</f>
        <v>177.55102040816328</v>
      </c>
      <c r="K275" s="66">
        <f>114/ATHENS!O1*ATHENS!O2</f>
        <v>232.65306122448979</v>
      </c>
      <c r="L275" s="66">
        <f>143/ATHENS!O1*ATHENS!O2</f>
        <v>291.83673469387753</v>
      </c>
      <c r="M275" s="66">
        <f>162/ATHENS!O1*ATHENS!O2</f>
        <v>330.61224489795921</v>
      </c>
      <c r="N275" s="87"/>
    </row>
    <row r="276" spans="1:14" ht="13.5" thickBot="1" x14ac:dyDescent="0.25">
      <c r="A276" s="28"/>
      <c r="B276" s="418" t="s">
        <v>67</v>
      </c>
      <c r="C276" s="418"/>
      <c r="D276" s="418"/>
      <c r="E276" s="30"/>
      <c r="F276" s="30" t="s">
        <v>1181</v>
      </c>
      <c r="G276" s="30" t="s">
        <v>1487</v>
      </c>
      <c r="H276" s="30" t="s">
        <v>702</v>
      </c>
      <c r="I276" s="30"/>
      <c r="J276" s="67">
        <f>56/ATHENS!O1*ATHENS!O2</f>
        <v>114.28571428571429</v>
      </c>
      <c r="K276" s="67">
        <f>73/ATHENS!O1*ATHENS!O2</f>
        <v>148.9795918367347</v>
      </c>
      <c r="L276" s="67">
        <f>91/ATHENS!O1*ATHENS!O2</f>
        <v>185.71428571428572</v>
      </c>
      <c r="M276" s="67">
        <f>103/ATHENS!O1*ATHENS!O2</f>
        <v>210.20408163265307</v>
      </c>
      <c r="N276" s="95"/>
    </row>
    <row r="277" spans="1:14" ht="13.5" thickBot="1" x14ac:dyDescent="0.25">
      <c r="A277" s="14"/>
      <c r="B277" s="15"/>
      <c r="C277" s="15"/>
      <c r="D277" s="15"/>
      <c r="E277" s="16"/>
      <c r="F277" s="16"/>
      <c r="G277" s="16"/>
      <c r="H277" s="16"/>
      <c r="I277" s="16"/>
      <c r="J277" s="68"/>
      <c r="K277" s="68"/>
      <c r="L277" s="68"/>
      <c r="M277" s="68"/>
    </row>
    <row r="278" spans="1:14" x14ac:dyDescent="0.2">
      <c r="A278" s="20"/>
      <c r="B278" s="21"/>
      <c r="C278" s="21"/>
      <c r="D278" s="21"/>
      <c r="E278" s="22"/>
      <c r="F278" s="22"/>
      <c r="G278" s="22"/>
      <c r="H278" s="22"/>
      <c r="I278" s="22"/>
      <c r="J278" s="22"/>
      <c r="K278" s="22"/>
      <c r="L278" s="22"/>
      <c r="M278" s="22"/>
      <c r="N278" s="23"/>
    </row>
    <row r="279" spans="1:14" ht="15" x14ac:dyDescent="0.2">
      <c r="A279" s="24"/>
      <c r="B279" s="413" t="s">
        <v>559</v>
      </c>
      <c r="C279" s="414"/>
      <c r="D279" s="414"/>
      <c r="E279" s="414"/>
      <c r="F279" s="414"/>
      <c r="G279" s="414"/>
      <c r="H279" s="414"/>
      <c r="I279" s="414"/>
      <c r="J279" s="414"/>
      <c r="K279" s="414"/>
      <c r="L279" s="414"/>
      <c r="M279" s="415"/>
      <c r="N279" s="25" t="s">
        <v>1103</v>
      </c>
    </row>
    <row r="280" spans="1:14" x14ac:dyDescent="0.2">
      <c r="A280" s="24"/>
      <c r="B280" s="26" t="s">
        <v>428</v>
      </c>
      <c r="C280" s="15" t="s">
        <v>1142</v>
      </c>
      <c r="D280" s="15"/>
      <c r="E280" s="16"/>
      <c r="F280" s="16"/>
      <c r="G280" s="16"/>
      <c r="H280" s="16"/>
      <c r="I280" s="16"/>
      <c r="J280" s="16"/>
      <c r="K280" s="16"/>
      <c r="L280" s="16"/>
      <c r="M280" s="16"/>
      <c r="N280" s="27"/>
    </row>
    <row r="281" spans="1:14" x14ac:dyDescent="0.2">
      <c r="A281" s="24"/>
      <c r="B281" s="26" t="s">
        <v>429</v>
      </c>
      <c r="C281" s="15" t="s">
        <v>424</v>
      </c>
      <c r="D281" s="15"/>
      <c r="E281" s="16"/>
      <c r="F281" s="16"/>
      <c r="G281" s="16"/>
      <c r="H281" s="16"/>
      <c r="I281" s="16"/>
      <c r="J281" s="16"/>
      <c r="K281" s="16"/>
      <c r="L281" s="16"/>
      <c r="M281" s="16"/>
      <c r="N281" s="27"/>
    </row>
    <row r="282" spans="1:14" x14ac:dyDescent="0.2">
      <c r="A282" s="24"/>
      <c r="B282" s="26" t="s">
        <v>427</v>
      </c>
      <c r="C282" s="416" t="s">
        <v>586</v>
      </c>
      <c r="D282" s="416"/>
      <c r="E282" s="416"/>
      <c r="F282" s="416"/>
      <c r="G282" s="416"/>
      <c r="H282" s="416"/>
      <c r="I282" s="416"/>
      <c r="J282" s="416"/>
      <c r="K282" s="416"/>
      <c r="L282" s="416"/>
      <c r="M282" s="416"/>
      <c r="N282" s="417"/>
    </row>
    <row r="283" spans="1:14" x14ac:dyDescent="0.2">
      <c r="A283" s="24"/>
      <c r="B283" s="15"/>
      <c r="C283" s="416"/>
      <c r="D283" s="416"/>
      <c r="E283" s="416"/>
      <c r="F283" s="416"/>
      <c r="G283" s="416"/>
      <c r="H283" s="416"/>
      <c r="I283" s="416"/>
      <c r="J283" s="416"/>
      <c r="K283" s="416"/>
      <c r="L283" s="416"/>
      <c r="M283" s="416"/>
      <c r="N283" s="417"/>
    </row>
    <row r="284" spans="1:14" x14ac:dyDescent="0.2">
      <c r="A284" s="24"/>
      <c r="B284" s="15"/>
      <c r="C284" s="416"/>
      <c r="D284" s="416"/>
      <c r="E284" s="416"/>
      <c r="F284" s="416"/>
      <c r="G284" s="416"/>
      <c r="H284" s="416"/>
      <c r="I284" s="416"/>
      <c r="J284" s="416"/>
      <c r="K284" s="416"/>
      <c r="L284" s="416"/>
      <c r="M284" s="416"/>
      <c r="N284" s="417"/>
    </row>
    <row r="285" spans="1:14" x14ac:dyDescent="0.2">
      <c r="A285" s="24"/>
      <c r="B285" s="15"/>
      <c r="C285" s="419"/>
      <c r="D285" s="419"/>
      <c r="E285" s="419"/>
      <c r="F285" s="419"/>
      <c r="G285" s="419"/>
      <c r="H285" s="419"/>
      <c r="I285" s="419"/>
      <c r="J285" s="419"/>
      <c r="K285" s="419"/>
      <c r="L285" s="419"/>
      <c r="M285" s="419"/>
      <c r="N285" s="420"/>
    </row>
    <row r="286" spans="1:14" x14ac:dyDescent="0.2">
      <c r="A286" s="24"/>
      <c r="B286" s="15"/>
      <c r="C286" s="419"/>
      <c r="D286" s="419"/>
      <c r="E286" s="419"/>
      <c r="F286" s="419"/>
      <c r="G286" s="419"/>
      <c r="H286" s="419"/>
      <c r="I286" s="419"/>
      <c r="J286" s="419"/>
      <c r="K286" s="419"/>
      <c r="L286" s="419"/>
      <c r="M286" s="419"/>
      <c r="N286" s="420"/>
    </row>
    <row r="287" spans="1:14" x14ac:dyDescent="0.2">
      <c r="A287" s="24"/>
      <c r="B287" s="26" t="s">
        <v>426</v>
      </c>
      <c r="C287" s="15" t="s">
        <v>384</v>
      </c>
      <c r="D287" s="15"/>
      <c r="E287" s="16"/>
      <c r="F287" s="16"/>
      <c r="G287" s="16"/>
      <c r="H287" s="16"/>
      <c r="I287" s="16"/>
      <c r="J287" s="16"/>
      <c r="K287" s="16"/>
      <c r="L287" s="16"/>
      <c r="M287" s="16"/>
      <c r="N287" s="27"/>
    </row>
    <row r="288" spans="1:14" ht="13.5" thickBot="1" x14ac:dyDescent="0.25">
      <c r="A288" s="28"/>
      <c r="B288" s="26" t="s">
        <v>430</v>
      </c>
      <c r="C288" s="29"/>
      <c r="D288" s="29"/>
      <c r="E288" s="30"/>
      <c r="F288" s="30"/>
      <c r="G288" s="30"/>
      <c r="H288" s="30"/>
      <c r="I288" s="30"/>
      <c r="J288" s="30"/>
      <c r="K288" s="30"/>
      <c r="L288" s="30"/>
      <c r="M288" s="30"/>
      <c r="N288" s="31"/>
    </row>
    <row r="289" spans="1:14" x14ac:dyDescent="0.2">
      <c r="A289" s="20"/>
      <c r="B289" s="21" t="s">
        <v>263</v>
      </c>
      <c r="C289" s="21"/>
      <c r="D289" s="21"/>
      <c r="E289" s="22"/>
      <c r="F289" s="22"/>
      <c r="G289" s="22"/>
      <c r="H289" s="22"/>
      <c r="I289" s="22"/>
      <c r="J289" s="32" t="s">
        <v>2135</v>
      </c>
      <c r="K289" s="33" t="s">
        <v>2133</v>
      </c>
      <c r="L289" s="33" t="s">
        <v>2134</v>
      </c>
      <c r="M289" s="33"/>
      <c r="N289" s="33"/>
    </row>
    <row r="290" spans="1:14" ht="13.5" thickBot="1" x14ac:dyDescent="0.25">
      <c r="A290" s="28"/>
      <c r="B290" s="15"/>
      <c r="C290" s="29"/>
      <c r="D290" s="29"/>
      <c r="E290" s="30"/>
      <c r="F290" s="30"/>
      <c r="G290" s="30"/>
      <c r="H290" s="30"/>
      <c r="I290" s="30"/>
      <c r="J290" s="44" t="s">
        <v>2132</v>
      </c>
      <c r="K290" s="36" t="s">
        <v>509</v>
      </c>
      <c r="L290" s="36" t="s">
        <v>1576</v>
      </c>
      <c r="M290" s="36" t="s">
        <v>1577</v>
      </c>
      <c r="N290" s="36"/>
    </row>
    <row r="291" spans="1:14" x14ac:dyDescent="0.2">
      <c r="A291" s="20"/>
      <c r="B291" s="412" t="s">
        <v>594</v>
      </c>
      <c r="C291" s="412"/>
      <c r="D291" s="412"/>
      <c r="E291" s="22"/>
      <c r="F291" s="22" t="s">
        <v>1504</v>
      </c>
      <c r="G291" s="22" t="s">
        <v>1487</v>
      </c>
      <c r="H291" s="22" t="s">
        <v>702</v>
      </c>
      <c r="I291" s="22"/>
      <c r="J291" s="65">
        <f>73.6/ATHENS!O1*ATHENS!O2</f>
        <v>150.20408163265304</v>
      </c>
      <c r="K291" s="65">
        <f>102.5/ATHENS!O1*ATHENS!O2</f>
        <v>209.18367346938777</v>
      </c>
      <c r="L291" s="65">
        <f>137.5/ATHENS!O1*ATHENS!O2</f>
        <v>280.61224489795921</v>
      </c>
      <c r="M291" s="65">
        <f>189.9/ATHENS!O1*ATHENS!O2</f>
        <v>387.55102040816331</v>
      </c>
      <c r="N291" s="38"/>
    </row>
    <row r="292" spans="1:14" x14ac:dyDescent="0.2">
      <c r="A292" s="24"/>
      <c r="B292" s="411" t="s">
        <v>594</v>
      </c>
      <c r="C292" s="411"/>
      <c r="D292" s="411"/>
      <c r="E292" s="16"/>
      <c r="F292" s="16" t="s">
        <v>1505</v>
      </c>
      <c r="G292" s="16" t="s">
        <v>1487</v>
      </c>
      <c r="H292" s="16" t="s">
        <v>702</v>
      </c>
      <c r="I292" s="16"/>
      <c r="J292" s="66">
        <f>49.5/ATHENS!O1*ATHENS!O2</f>
        <v>101.0204081632653</v>
      </c>
      <c r="K292" s="66">
        <f>68.5/ATHENS!O1*ATHENS!O2</f>
        <v>139.79591836734693</v>
      </c>
      <c r="L292" s="66">
        <f>85.6/ATHENS!O1*ATHENS!O2</f>
        <v>174.69387755102039</v>
      </c>
      <c r="M292" s="66">
        <f>118.5/ATHENS!O1*ATHENS!O2</f>
        <v>241.83673469387756</v>
      </c>
      <c r="N292" s="40"/>
    </row>
    <row r="293" spans="1:14" x14ac:dyDescent="0.2">
      <c r="A293" s="24"/>
      <c r="B293" s="411" t="s">
        <v>594</v>
      </c>
      <c r="C293" s="411"/>
      <c r="D293" s="411"/>
      <c r="E293" s="16"/>
      <c r="F293" s="16" t="s">
        <v>1506</v>
      </c>
      <c r="G293" s="16" t="s">
        <v>1487</v>
      </c>
      <c r="H293" s="16" t="s">
        <v>702</v>
      </c>
      <c r="I293" s="16"/>
      <c r="J293" s="66">
        <f>45/ATHENS!O1*ATHENS!O2</f>
        <v>91.83673469387756</v>
      </c>
      <c r="K293" s="66">
        <f>62.5/ATHENS!O1*ATHENS!O2</f>
        <v>127.55102040816327</v>
      </c>
      <c r="L293" s="66">
        <f>77.5/ATHENS!O1*ATHENS!O2</f>
        <v>158.16326530612244</v>
      </c>
      <c r="M293" s="66">
        <f>107.5/ATHENS!O1*ATHENS!O2</f>
        <v>219.38775510204081</v>
      </c>
      <c r="N293" s="40"/>
    </row>
    <row r="294" spans="1:14" x14ac:dyDescent="0.2">
      <c r="A294" s="24"/>
      <c r="B294" s="411" t="s">
        <v>1493</v>
      </c>
      <c r="C294" s="411"/>
      <c r="D294" s="411"/>
      <c r="E294" s="16"/>
      <c r="F294" s="16" t="s">
        <v>1505</v>
      </c>
      <c r="G294" s="16" t="s">
        <v>1487</v>
      </c>
      <c r="H294" s="16" t="s">
        <v>702</v>
      </c>
      <c r="I294" s="16"/>
      <c r="J294" s="66">
        <f>51.5/ATHENS!O1*ATHENS!O2</f>
        <v>105.10204081632654</v>
      </c>
      <c r="K294" s="66">
        <f>71.5/ATHENS!O1*ATHENS!O2</f>
        <v>145.91836734693877</v>
      </c>
      <c r="L294" s="66">
        <f>89.9/ATHENS!O1*ATHENS!O2</f>
        <v>183.46938775510205</v>
      </c>
      <c r="M294" s="66">
        <f>124.5/ATHENS!O1*ATHENS!O2</f>
        <v>254.08163265306123</v>
      </c>
      <c r="N294" s="40"/>
    </row>
    <row r="295" spans="1:14" ht="13.5" thickBot="1" x14ac:dyDescent="0.25">
      <c r="A295" s="28"/>
      <c r="B295" s="418" t="s">
        <v>1493</v>
      </c>
      <c r="C295" s="418"/>
      <c r="D295" s="418"/>
      <c r="E295" s="30"/>
      <c r="F295" s="30" t="s">
        <v>1506</v>
      </c>
      <c r="G295" s="30" t="s">
        <v>1487</v>
      </c>
      <c r="H295" s="30" t="s">
        <v>702</v>
      </c>
      <c r="I295" s="30"/>
      <c r="J295" s="67">
        <f>46.6/ATHENS!O1*ATHENS!O2</f>
        <v>95.102040816326536</v>
      </c>
      <c r="K295" s="67">
        <f>64.6/ATHENS!O1*ATHENS!O2</f>
        <v>131.83673469387753</v>
      </c>
      <c r="L295" s="67">
        <f>80.9/ATHENS!O1*ATHENS!O2</f>
        <v>165.10204081632654</v>
      </c>
      <c r="M295" s="67">
        <f>112.5/ATHENS!O1*ATHENS!O2</f>
        <v>229.59183673469389</v>
      </c>
      <c r="N295" s="42"/>
    </row>
    <row r="296" spans="1:14" ht="13.5" thickBot="1" x14ac:dyDescent="0.25">
      <c r="A296" s="75"/>
      <c r="B296" s="14" t="s">
        <v>1422</v>
      </c>
      <c r="C296" s="49"/>
      <c r="D296" s="49"/>
      <c r="E296" s="56"/>
      <c r="F296" s="56"/>
      <c r="G296" s="56"/>
      <c r="H296" s="56"/>
      <c r="I296" s="56"/>
      <c r="J296" s="56"/>
      <c r="K296" s="56"/>
      <c r="L296" s="56"/>
      <c r="M296" s="56"/>
      <c r="N296" s="57"/>
    </row>
    <row r="297" spans="1:14" x14ac:dyDescent="0.2">
      <c r="A297" s="14"/>
      <c r="B297" s="15"/>
      <c r="C297" s="15"/>
      <c r="D297" s="15"/>
      <c r="E297" s="16"/>
      <c r="F297" s="16"/>
      <c r="G297" s="16"/>
      <c r="H297" s="16"/>
      <c r="I297" s="16"/>
      <c r="J297" s="68"/>
      <c r="K297" s="68"/>
      <c r="L297" s="68"/>
      <c r="M297" s="68"/>
    </row>
    <row r="298" spans="1:14" x14ac:dyDescent="0.2">
      <c r="A298" s="14"/>
      <c r="B298" s="15"/>
      <c r="C298" s="15"/>
      <c r="D298" s="15"/>
      <c r="E298" s="16"/>
      <c r="F298" s="16"/>
      <c r="G298" s="16"/>
      <c r="H298" s="16"/>
      <c r="I298" s="16"/>
      <c r="J298" s="68"/>
      <c r="K298" s="68"/>
      <c r="L298" s="68"/>
      <c r="M298" s="68"/>
    </row>
    <row r="299" spans="1:14" x14ac:dyDescent="0.2">
      <c r="A299" s="14"/>
      <c r="B299" s="15"/>
      <c r="C299" s="15"/>
      <c r="D299" s="15"/>
      <c r="E299" s="16"/>
      <c r="F299" s="16"/>
      <c r="G299" s="16"/>
      <c r="H299" s="16"/>
      <c r="I299" s="16"/>
      <c r="J299" s="68"/>
      <c r="K299" s="68"/>
      <c r="L299" s="68"/>
      <c r="M299" s="68"/>
    </row>
    <row r="300" spans="1:14" x14ac:dyDescent="0.2">
      <c r="A300" s="14"/>
      <c r="B300" s="15"/>
      <c r="C300" s="15"/>
      <c r="D300" s="15"/>
      <c r="E300" s="16"/>
      <c r="F300" s="16"/>
      <c r="G300" s="16"/>
      <c r="H300" s="16"/>
      <c r="I300" s="16"/>
      <c r="J300" s="68"/>
      <c r="K300" s="68"/>
      <c r="L300" s="68"/>
      <c r="M300" s="68"/>
    </row>
    <row r="301" spans="1:14" x14ac:dyDescent="0.2">
      <c r="A301" s="14"/>
      <c r="B301" s="15"/>
      <c r="C301" s="15"/>
      <c r="D301" s="15"/>
      <c r="E301" s="16"/>
      <c r="F301" s="16"/>
      <c r="G301" s="16"/>
      <c r="H301" s="16"/>
      <c r="I301" s="16"/>
      <c r="J301" s="68"/>
      <c r="K301" s="68"/>
      <c r="L301" s="68"/>
      <c r="M301" s="68"/>
    </row>
    <row r="302" spans="1:14" x14ac:dyDescent="0.2">
      <c r="A302" s="14"/>
      <c r="B302" s="15"/>
      <c r="C302" s="15"/>
      <c r="D302" s="15"/>
      <c r="E302" s="16"/>
      <c r="F302" s="16"/>
      <c r="G302" s="16"/>
      <c r="H302" s="16"/>
      <c r="I302" s="16"/>
      <c r="J302" s="68"/>
      <c r="K302" s="68"/>
      <c r="L302" s="68"/>
      <c r="M302" s="68"/>
    </row>
    <row r="303" spans="1:14" x14ac:dyDescent="0.2">
      <c r="A303" s="14"/>
      <c r="B303" s="15"/>
      <c r="C303" s="15"/>
      <c r="D303" s="15"/>
      <c r="E303" s="16"/>
      <c r="F303" s="16"/>
      <c r="G303" s="16"/>
      <c r="H303" s="16"/>
      <c r="I303" s="16"/>
      <c r="J303" s="68"/>
      <c r="K303" s="68"/>
      <c r="L303" s="68"/>
      <c r="M303" s="68"/>
    </row>
    <row r="304" spans="1:14" x14ac:dyDescent="0.2">
      <c r="A304" s="14"/>
      <c r="B304" s="15"/>
      <c r="C304" s="15"/>
      <c r="D304" s="15"/>
      <c r="E304" s="16"/>
      <c r="F304" s="16"/>
      <c r="G304" s="16"/>
      <c r="H304" s="16"/>
      <c r="I304" s="16"/>
      <c r="J304" s="68"/>
      <c r="K304" s="68"/>
      <c r="L304" s="68"/>
      <c r="M304" s="68"/>
    </row>
    <row r="305" spans="1:14" x14ac:dyDescent="0.2">
      <c r="A305" s="14"/>
      <c r="B305" s="15"/>
      <c r="C305" s="15"/>
      <c r="D305" s="15"/>
      <c r="E305" s="16"/>
      <c r="F305" s="16"/>
      <c r="G305" s="16"/>
      <c r="H305" s="16"/>
      <c r="I305" s="16"/>
      <c r="J305" s="68"/>
      <c r="K305" s="68"/>
      <c r="L305" s="68"/>
      <c r="M305" s="68"/>
    </row>
    <row r="306" spans="1:14" x14ac:dyDescent="0.2">
      <c r="A306" s="14"/>
      <c r="B306" s="15"/>
      <c r="C306" s="15"/>
      <c r="D306" s="15"/>
      <c r="E306" s="16"/>
      <c r="F306" s="16"/>
      <c r="G306" s="16"/>
      <c r="H306" s="16"/>
      <c r="I306" s="16"/>
      <c r="J306" s="68"/>
      <c r="K306" s="68"/>
      <c r="L306" s="68"/>
      <c r="M306" s="68"/>
    </row>
    <row r="307" spans="1:14" x14ac:dyDescent="0.2">
      <c r="A307" s="14"/>
      <c r="B307" s="15"/>
      <c r="C307" s="15"/>
      <c r="D307" s="15"/>
      <c r="E307" s="16"/>
      <c r="F307" s="16"/>
      <c r="G307" s="16"/>
      <c r="H307" s="16"/>
      <c r="I307" s="16"/>
      <c r="J307" s="68"/>
      <c r="K307" s="68"/>
      <c r="L307" s="68"/>
      <c r="M307" s="68"/>
    </row>
    <row r="308" spans="1:14" x14ac:dyDescent="0.2">
      <c r="A308" s="14"/>
      <c r="B308" s="15"/>
      <c r="C308" s="15"/>
      <c r="D308" s="15"/>
      <c r="E308" s="16"/>
      <c r="F308" s="16"/>
      <c r="G308" s="16"/>
      <c r="H308" s="16"/>
      <c r="I308" s="16"/>
      <c r="J308" s="68"/>
      <c r="K308" s="68"/>
      <c r="L308" s="68"/>
      <c r="M308" s="68"/>
    </row>
    <row r="309" spans="1:14" x14ac:dyDescent="0.2">
      <c r="A309" s="14"/>
      <c r="B309" s="15"/>
      <c r="C309" s="15"/>
      <c r="D309" s="15"/>
      <c r="E309" s="16"/>
      <c r="F309" s="16"/>
      <c r="G309" s="16"/>
      <c r="H309" s="16"/>
      <c r="I309" s="16"/>
      <c r="J309" s="68"/>
      <c r="K309" s="68"/>
      <c r="L309" s="68"/>
      <c r="M309" s="68"/>
    </row>
    <row r="310" spans="1:14" x14ac:dyDescent="0.2">
      <c r="A310" s="14"/>
      <c r="B310" s="15"/>
      <c r="C310" s="15"/>
      <c r="D310" s="15"/>
      <c r="E310" s="16"/>
      <c r="F310" s="16"/>
      <c r="G310" s="16"/>
      <c r="H310" s="16"/>
      <c r="I310" s="16"/>
      <c r="J310" s="16"/>
      <c r="K310" s="16"/>
      <c r="L310" s="16"/>
      <c r="M310" s="16"/>
      <c r="N310" s="16"/>
    </row>
    <row r="312" spans="1:14" ht="13.5" thickBot="1" x14ac:dyDescent="0.25"/>
    <row r="313" spans="1:14" x14ac:dyDescent="0.2">
      <c r="A313" s="20"/>
      <c r="B313" s="21"/>
      <c r="C313" s="21"/>
      <c r="D313" s="21"/>
      <c r="E313" s="22"/>
      <c r="F313" s="22"/>
      <c r="G313" s="22"/>
      <c r="H313" s="22"/>
      <c r="I313" s="22"/>
      <c r="J313" s="22"/>
      <c r="K313" s="22"/>
      <c r="L313" s="22"/>
      <c r="M313" s="22"/>
      <c r="N313" s="23"/>
    </row>
    <row r="314" spans="1:14" x14ac:dyDescent="0.2">
      <c r="A314" s="24"/>
      <c r="B314" s="430" t="s">
        <v>1711</v>
      </c>
      <c r="C314" s="431"/>
      <c r="D314" s="431"/>
      <c r="E314" s="431"/>
      <c r="F314" s="431"/>
      <c r="G314" s="431"/>
      <c r="H314" s="431"/>
      <c r="I314" s="431"/>
      <c r="J314" s="431"/>
      <c r="K314" s="431"/>
      <c r="L314" s="431"/>
      <c r="M314" s="432"/>
      <c r="N314" s="25" t="s">
        <v>96</v>
      </c>
    </row>
    <row r="315" spans="1:14" x14ac:dyDescent="0.2">
      <c r="A315" s="24"/>
      <c r="B315" s="26" t="s">
        <v>428</v>
      </c>
      <c r="C315" s="15" t="s">
        <v>1730</v>
      </c>
      <c r="D315" s="15"/>
      <c r="E315" s="16"/>
      <c r="F315" s="16"/>
      <c r="G315" s="16"/>
      <c r="H315" s="16"/>
      <c r="I315" s="16"/>
      <c r="J315" s="16"/>
      <c r="K315" s="16"/>
      <c r="L315" s="16"/>
      <c r="M315" s="16"/>
      <c r="N315" s="27"/>
    </row>
    <row r="316" spans="1:14" x14ac:dyDescent="0.2">
      <c r="A316" s="24"/>
      <c r="B316" s="26" t="s">
        <v>429</v>
      </c>
      <c r="C316" s="15" t="s">
        <v>1673</v>
      </c>
      <c r="D316" s="15"/>
      <c r="E316" s="16"/>
      <c r="F316" s="16"/>
      <c r="G316" s="16"/>
      <c r="H316" s="16"/>
      <c r="I316" s="16"/>
      <c r="J316" s="16"/>
      <c r="K316" s="16"/>
      <c r="L316" s="16"/>
      <c r="M316" s="16"/>
      <c r="N316" s="27"/>
    </row>
    <row r="317" spans="1:14" x14ac:dyDescent="0.2">
      <c r="A317" s="24"/>
      <c r="B317" s="26" t="s">
        <v>427</v>
      </c>
      <c r="C317" s="416" t="s">
        <v>1731</v>
      </c>
      <c r="D317" s="416"/>
      <c r="E317" s="416"/>
      <c r="F317" s="416"/>
      <c r="G317" s="416"/>
      <c r="H317" s="416"/>
      <c r="I317" s="416"/>
      <c r="J317" s="416"/>
      <c r="K317" s="416"/>
      <c r="L317" s="416"/>
      <c r="M317" s="416"/>
      <c r="N317" s="417"/>
    </row>
    <row r="318" spans="1:14" x14ac:dyDescent="0.2">
      <c r="A318" s="24"/>
      <c r="B318" s="15"/>
      <c r="C318" s="416"/>
      <c r="D318" s="416"/>
      <c r="E318" s="416"/>
      <c r="F318" s="416"/>
      <c r="G318" s="416"/>
      <c r="H318" s="416"/>
      <c r="I318" s="416"/>
      <c r="J318" s="416"/>
      <c r="K318" s="416"/>
      <c r="L318" s="416"/>
      <c r="M318" s="416"/>
      <c r="N318" s="417"/>
    </row>
    <row r="319" spans="1:14" x14ac:dyDescent="0.2">
      <c r="A319" s="24"/>
      <c r="B319" s="26" t="s">
        <v>426</v>
      </c>
      <c r="C319" s="15" t="s">
        <v>1730</v>
      </c>
      <c r="D319" s="15"/>
      <c r="E319" s="16"/>
      <c r="F319" s="16"/>
      <c r="G319" s="16"/>
      <c r="H319" s="16"/>
      <c r="I319" s="16"/>
      <c r="J319" s="16"/>
      <c r="K319" s="16"/>
      <c r="L319" s="16"/>
      <c r="M319" s="16"/>
      <c r="N319" s="27"/>
    </row>
    <row r="320" spans="1:14" ht="13.5" thickBot="1" x14ac:dyDescent="0.25">
      <c r="A320" s="28"/>
      <c r="B320" s="26" t="s">
        <v>430</v>
      </c>
      <c r="C320" s="29"/>
      <c r="D320" s="29"/>
      <c r="E320" s="30"/>
      <c r="F320" s="30"/>
      <c r="G320" s="30"/>
      <c r="H320" s="30"/>
      <c r="I320" s="30"/>
      <c r="J320" s="30"/>
      <c r="K320" s="30"/>
      <c r="L320" s="30"/>
      <c r="M320" s="30"/>
      <c r="N320" s="31"/>
    </row>
    <row r="321" spans="1:14" x14ac:dyDescent="0.2">
      <c r="A321" s="24"/>
      <c r="B321" s="21" t="s">
        <v>263</v>
      </c>
      <c r="C321" s="15"/>
      <c r="D321" s="15"/>
      <c r="E321" s="16"/>
      <c r="F321" s="16"/>
      <c r="G321" s="16"/>
      <c r="H321" s="16"/>
      <c r="I321" s="16"/>
      <c r="J321" s="58" t="s">
        <v>1897</v>
      </c>
      <c r="K321" s="55" t="s">
        <v>1898</v>
      </c>
      <c r="L321" s="55"/>
      <c r="M321" s="55"/>
      <c r="N321" s="55"/>
    </row>
    <row r="322" spans="1:14" ht="13.5" thickBot="1" x14ac:dyDescent="0.25">
      <c r="A322" s="28"/>
      <c r="B322" s="29"/>
      <c r="C322" s="29"/>
      <c r="D322" s="29"/>
      <c r="E322" s="30"/>
      <c r="F322" s="30"/>
      <c r="G322" s="30"/>
      <c r="H322" s="30"/>
      <c r="I322" s="30"/>
      <c r="J322" s="44" t="s">
        <v>348</v>
      </c>
      <c r="K322" s="36" t="s">
        <v>349</v>
      </c>
      <c r="L322" s="36" t="s">
        <v>1899</v>
      </c>
      <c r="M322" s="36"/>
      <c r="N322" s="36"/>
    </row>
    <row r="323" spans="1:14" x14ac:dyDescent="0.2">
      <c r="A323" s="20"/>
      <c r="B323" s="412" t="s">
        <v>67</v>
      </c>
      <c r="C323" s="412"/>
      <c r="D323" s="412"/>
      <c r="E323" s="22"/>
      <c r="F323" s="22" t="s">
        <v>1180</v>
      </c>
      <c r="G323" s="22" t="s">
        <v>68</v>
      </c>
      <c r="H323" s="22" t="s">
        <v>702</v>
      </c>
      <c r="I323" s="16"/>
      <c r="J323" s="66">
        <f>77.5/ATHENS!O1*ATHENS!O2</f>
        <v>158.16326530612244</v>
      </c>
      <c r="K323" s="66">
        <f>101/ATHENS!O1*ATHENS!O2</f>
        <v>206.12244897959184</v>
      </c>
      <c r="L323" s="40">
        <f>120/ATHENS!O1*ATHENS!O2</f>
        <v>244.89795918367346</v>
      </c>
      <c r="M323" s="38"/>
      <c r="N323" s="38"/>
    </row>
    <row r="324" spans="1:14" x14ac:dyDescent="0.2">
      <c r="A324" s="24"/>
      <c r="B324" s="411" t="s">
        <v>67</v>
      </c>
      <c r="C324" s="411"/>
      <c r="D324" s="411"/>
      <c r="E324" s="16"/>
      <c r="F324" s="16" t="s">
        <v>1181</v>
      </c>
      <c r="G324" s="16" t="s">
        <v>68</v>
      </c>
      <c r="H324" s="16" t="s">
        <v>702</v>
      </c>
      <c r="I324" s="16"/>
      <c r="J324" s="66">
        <f>45.5/ATHENS!O1*ATHENS!O2</f>
        <v>92.857142857142861</v>
      </c>
      <c r="K324" s="66">
        <f>59.5/ATHENS!O1*ATHENS!O2</f>
        <v>121.42857142857143</v>
      </c>
      <c r="L324" s="40">
        <f>71/ATHENS!O1*ATHENS!O2</f>
        <v>144.89795918367346</v>
      </c>
      <c r="M324" s="40"/>
      <c r="N324" s="40"/>
    </row>
    <row r="325" spans="1:14" ht="13.5" thickBot="1" x14ac:dyDescent="0.25">
      <c r="A325" s="28"/>
      <c r="B325" s="59" t="s">
        <v>67</v>
      </c>
      <c r="C325" s="15"/>
      <c r="D325" s="15"/>
      <c r="E325" s="16"/>
      <c r="F325" s="16" t="s">
        <v>1182</v>
      </c>
      <c r="G325" s="16" t="s">
        <v>68</v>
      </c>
      <c r="H325" s="16" t="s">
        <v>702</v>
      </c>
      <c r="I325" s="30"/>
      <c r="J325" s="67">
        <f>41.5/ATHENS!O1*ATHENS!O2</f>
        <v>84.693877551020407</v>
      </c>
      <c r="K325" s="67">
        <f>54/ATHENS!O1*ATHENS!O2</f>
        <v>110.20408163265306</v>
      </c>
      <c r="L325" s="42">
        <f>64/ATHENS!O1*ATHENS!O2</f>
        <v>130.61224489795919</v>
      </c>
      <c r="M325" s="42"/>
      <c r="N325" s="42"/>
    </row>
    <row r="326" spans="1:14" ht="13.5" thickBot="1" x14ac:dyDescent="0.25">
      <c r="A326" s="14"/>
      <c r="B326" s="14"/>
      <c r="C326" s="15"/>
      <c r="D326" s="15"/>
      <c r="E326" s="16"/>
      <c r="F326" s="16"/>
      <c r="G326" s="16"/>
      <c r="H326" s="16"/>
      <c r="I326" s="16"/>
      <c r="J326" s="16"/>
      <c r="K326" s="16"/>
      <c r="L326" s="16"/>
      <c r="M326" s="16"/>
      <c r="N326" s="16"/>
    </row>
    <row r="327" spans="1:14" x14ac:dyDescent="0.2">
      <c r="A327" s="20"/>
      <c r="B327" s="21"/>
      <c r="C327" s="21"/>
      <c r="D327" s="21"/>
      <c r="E327" s="22"/>
      <c r="F327" s="22"/>
      <c r="G327" s="22"/>
      <c r="H327" s="22"/>
      <c r="I327" s="22"/>
      <c r="J327" s="22"/>
      <c r="K327" s="22"/>
      <c r="L327" s="22"/>
      <c r="M327" s="22"/>
      <c r="N327" s="23"/>
    </row>
    <row r="328" spans="1:14" ht="15" x14ac:dyDescent="0.2">
      <c r="A328" s="24"/>
      <c r="B328" s="413" t="s">
        <v>709</v>
      </c>
      <c r="C328" s="414"/>
      <c r="D328" s="414"/>
      <c r="E328" s="414"/>
      <c r="F328" s="414"/>
      <c r="G328" s="414"/>
      <c r="H328" s="414"/>
      <c r="I328" s="414"/>
      <c r="J328" s="414"/>
      <c r="K328" s="414"/>
      <c r="L328" s="414"/>
      <c r="M328" s="415"/>
      <c r="N328" s="25" t="s">
        <v>1103</v>
      </c>
    </row>
    <row r="329" spans="1:14" x14ac:dyDescent="0.2">
      <c r="A329" s="24"/>
      <c r="B329" s="26" t="s">
        <v>428</v>
      </c>
      <c r="C329" s="15" t="s">
        <v>1142</v>
      </c>
      <c r="D329" s="15"/>
      <c r="E329" s="16"/>
      <c r="F329" s="16"/>
      <c r="G329" s="16"/>
      <c r="H329" s="16"/>
      <c r="I329" s="16"/>
      <c r="J329" s="16"/>
      <c r="K329" s="16"/>
      <c r="L329" s="16"/>
      <c r="M329" s="16"/>
      <c r="N329" s="27"/>
    </row>
    <row r="330" spans="1:14" x14ac:dyDescent="0.2">
      <c r="A330" s="24"/>
      <c r="B330" s="26" t="s">
        <v>429</v>
      </c>
      <c r="C330" s="15" t="s">
        <v>147</v>
      </c>
      <c r="D330" s="15"/>
      <c r="E330" s="16"/>
      <c r="F330" s="16"/>
      <c r="G330" s="16"/>
      <c r="H330" s="16"/>
      <c r="I330" s="16"/>
      <c r="J330" s="16"/>
      <c r="K330" s="16"/>
      <c r="L330" s="16"/>
      <c r="M330" s="16"/>
      <c r="N330" s="27"/>
    </row>
    <row r="331" spans="1:14" x14ac:dyDescent="0.2">
      <c r="A331" s="24"/>
      <c r="B331" s="26" t="s">
        <v>427</v>
      </c>
      <c r="C331" s="416" t="s">
        <v>1273</v>
      </c>
      <c r="D331" s="416"/>
      <c r="E331" s="416"/>
      <c r="F331" s="416"/>
      <c r="G331" s="416"/>
      <c r="H331" s="416"/>
      <c r="I331" s="416"/>
      <c r="J331" s="416"/>
      <c r="K331" s="416"/>
      <c r="L331" s="416"/>
      <c r="M331" s="416"/>
      <c r="N331" s="417"/>
    </row>
    <row r="332" spans="1:14" x14ac:dyDescent="0.2">
      <c r="A332" s="24"/>
      <c r="B332" s="15"/>
      <c r="C332" s="416"/>
      <c r="D332" s="416"/>
      <c r="E332" s="416"/>
      <c r="F332" s="416"/>
      <c r="G332" s="416"/>
      <c r="H332" s="416"/>
      <c r="I332" s="416"/>
      <c r="J332" s="416"/>
      <c r="K332" s="416"/>
      <c r="L332" s="416"/>
      <c r="M332" s="416"/>
      <c r="N332" s="417"/>
    </row>
    <row r="333" spans="1:14" x14ac:dyDescent="0.2">
      <c r="A333" s="24"/>
      <c r="B333" s="15"/>
      <c r="C333" s="416"/>
      <c r="D333" s="416"/>
      <c r="E333" s="416"/>
      <c r="F333" s="416"/>
      <c r="G333" s="416"/>
      <c r="H333" s="416"/>
      <c r="I333" s="416"/>
      <c r="J333" s="416"/>
      <c r="K333" s="416"/>
      <c r="L333" s="416"/>
      <c r="M333" s="416"/>
      <c r="N333" s="417"/>
    </row>
    <row r="334" spans="1:14" x14ac:dyDescent="0.2">
      <c r="A334" s="24"/>
      <c r="B334" s="15"/>
      <c r="C334" s="419"/>
      <c r="D334" s="419"/>
      <c r="E334" s="419"/>
      <c r="F334" s="419"/>
      <c r="G334" s="419"/>
      <c r="H334" s="419"/>
      <c r="I334" s="419"/>
      <c r="J334" s="419"/>
      <c r="K334" s="419"/>
      <c r="L334" s="419"/>
      <c r="M334" s="419"/>
      <c r="N334" s="420"/>
    </row>
    <row r="335" spans="1:14" x14ac:dyDescent="0.2">
      <c r="A335" s="24"/>
      <c r="B335" s="26" t="s">
        <v>426</v>
      </c>
      <c r="C335" s="15"/>
      <c r="D335" s="15"/>
      <c r="E335" s="16"/>
      <c r="F335" s="16"/>
      <c r="G335" s="16"/>
      <c r="H335" s="16"/>
      <c r="I335" s="16"/>
      <c r="J335" s="16"/>
      <c r="K335" s="16"/>
      <c r="L335" s="16"/>
      <c r="M335" s="16"/>
      <c r="N335" s="27"/>
    </row>
    <row r="336" spans="1:14" ht="13.5" thickBot="1" x14ac:dyDescent="0.25">
      <c r="A336" s="28"/>
      <c r="B336" s="26" t="s">
        <v>430</v>
      </c>
      <c r="C336" s="29"/>
      <c r="D336" s="29"/>
      <c r="E336" s="30"/>
      <c r="F336" s="30"/>
      <c r="G336" s="30"/>
      <c r="H336" s="30"/>
      <c r="I336" s="30"/>
      <c r="J336" s="30"/>
      <c r="K336" s="30"/>
      <c r="L336" s="30"/>
      <c r="M336" s="30"/>
      <c r="N336" s="31"/>
    </row>
    <row r="337" spans="1:14" x14ac:dyDescent="0.2">
      <c r="A337" s="20"/>
      <c r="B337" s="21" t="s">
        <v>263</v>
      </c>
      <c r="C337" s="21"/>
      <c r="D337" s="21"/>
      <c r="E337" s="22"/>
      <c r="F337" s="22"/>
      <c r="G337" s="22"/>
      <c r="H337" s="22"/>
      <c r="I337" s="22"/>
      <c r="J337" s="32" t="s">
        <v>1573</v>
      </c>
      <c r="K337" s="32" t="s">
        <v>173</v>
      </c>
      <c r="L337" s="33" t="s">
        <v>175</v>
      </c>
      <c r="M337" s="33"/>
      <c r="N337" s="33"/>
    </row>
    <row r="338" spans="1:14" ht="13.5" thickBot="1" x14ac:dyDescent="0.25">
      <c r="A338" s="28"/>
      <c r="B338" s="29"/>
      <c r="C338" s="29"/>
      <c r="D338" s="29"/>
      <c r="E338" s="30"/>
      <c r="F338" s="30"/>
      <c r="G338" s="30"/>
      <c r="H338" s="30"/>
      <c r="I338" s="30"/>
      <c r="J338" s="35" t="s">
        <v>597</v>
      </c>
      <c r="K338" s="36" t="s">
        <v>1552</v>
      </c>
      <c r="L338" s="36" t="s">
        <v>2162</v>
      </c>
      <c r="M338" s="36" t="s">
        <v>2104</v>
      </c>
      <c r="N338" s="36"/>
    </row>
    <row r="339" spans="1:14" x14ac:dyDescent="0.2">
      <c r="A339" s="20"/>
      <c r="B339" s="412" t="s">
        <v>67</v>
      </c>
      <c r="C339" s="412"/>
      <c r="D339" s="412"/>
      <c r="E339" s="22"/>
      <c r="F339" s="22" t="s">
        <v>1180</v>
      </c>
      <c r="G339" s="22" t="s">
        <v>1487</v>
      </c>
      <c r="H339" s="22" t="s">
        <v>702</v>
      </c>
      <c r="I339" s="22"/>
      <c r="J339" s="65">
        <f>65/ATHENS!O1*ATHENS!O2</f>
        <v>132.65306122448979</v>
      </c>
      <c r="K339" s="65">
        <f>90/ATHENS!O1*ATHENS!O2</f>
        <v>183.67346938775512</v>
      </c>
      <c r="L339" s="65">
        <f>115/ATHENS!O1*ATHENS!O2</f>
        <v>234.69387755102042</v>
      </c>
      <c r="M339" s="65">
        <f>140/ATHENS!O1*ATHENS!O2</f>
        <v>285.71428571428572</v>
      </c>
      <c r="N339" s="38"/>
    </row>
    <row r="340" spans="1:14" x14ac:dyDescent="0.2">
      <c r="A340" s="24"/>
      <c r="B340" s="411" t="s">
        <v>67</v>
      </c>
      <c r="C340" s="411"/>
      <c r="D340" s="411"/>
      <c r="E340" s="16"/>
      <c r="F340" s="16" t="s">
        <v>1181</v>
      </c>
      <c r="G340" s="16" t="s">
        <v>1487</v>
      </c>
      <c r="H340" s="16" t="s">
        <v>702</v>
      </c>
      <c r="I340" s="16"/>
      <c r="J340" s="66">
        <f>43/ATHENS!O1*ATHENS!O2</f>
        <v>87.755102040816325</v>
      </c>
      <c r="K340" s="66">
        <f>59.5/ATHENS!O1*ATHENS!O2</f>
        <v>121.42857142857143</v>
      </c>
      <c r="L340" s="66">
        <f>74/ATHENS!O1*ATHENS!O2</f>
        <v>151.0204081632653</v>
      </c>
      <c r="M340" s="66">
        <f>90/ATHENS!O1*ATHENS!O2</f>
        <v>183.67346938775512</v>
      </c>
      <c r="N340" s="40"/>
    </row>
    <row r="341" spans="1:14" x14ac:dyDescent="0.2">
      <c r="A341" s="24"/>
      <c r="B341" s="411" t="s">
        <v>67</v>
      </c>
      <c r="C341" s="411"/>
      <c r="D341" s="411"/>
      <c r="E341" s="16"/>
      <c r="F341" s="16" t="s">
        <v>1182</v>
      </c>
      <c r="G341" s="16" t="s">
        <v>1487</v>
      </c>
      <c r="H341" s="16" t="s">
        <v>702</v>
      </c>
      <c r="I341" s="16"/>
      <c r="J341" s="66">
        <f>38.7/ATHENS!O1*ATHENS!O2</f>
        <v>78.979591836734699</v>
      </c>
      <c r="K341" s="66">
        <f>53.5/ATHENS!O1*ATHENS!O2</f>
        <v>109.18367346938776</v>
      </c>
      <c r="L341" s="66">
        <f>66.6/ATHENS!O1*ATHENS!O2</f>
        <v>135.91836734693877</v>
      </c>
      <c r="M341" s="66">
        <f>81/ATHENS!O1*ATHENS!O2</f>
        <v>165.30612244897961</v>
      </c>
      <c r="N341" s="40"/>
    </row>
    <row r="342" spans="1:14" ht="13.5" thickBot="1" x14ac:dyDescent="0.25">
      <c r="A342" s="28"/>
      <c r="B342" s="418"/>
      <c r="C342" s="418"/>
      <c r="D342" s="418"/>
      <c r="E342" s="30"/>
      <c r="F342" s="30"/>
      <c r="G342" s="30"/>
      <c r="H342" s="30"/>
      <c r="I342" s="30"/>
      <c r="J342" s="67"/>
      <c r="K342" s="67"/>
      <c r="L342" s="67"/>
      <c r="M342" s="67"/>
      <c r="N342" s="42"/>
    </row>
    <row r="343" spans="1:14" ht="13.5" thickBot="1" x14ac:dyDescent="0.25">
      <c r="A343" s="14"/>
      <c r="B343" s="15"/>
      <c r="C343" s="15"/>
      <c r="D343" s="15"/>
      <c r="E343" s="16"/>
      <c r="F343" s="16"/>
      <c r="G343" s="16"/>
      <c r="H343" s="16"/>
      <c r="I343" s="16"/>
      <c r="J343" s="16"/>
      <c r="K343" s="16"/>
      <c r="L343" s="16"/>
      <c r="M343" s="16"/>
      <c r="N343" s="16"/>
    </row>
    <row r="344" spans="1:14" x14ac:dyDescent="0.2">
      <c r="A344" s="20"/>
      <c r="B344" s="21"/>
      <c r="C344" s="21"/>
      <c r="D344" s="21"/>
      <c r="E344" s="22"/>
      <c r="F344" s="22"/>
      <c r="G344" s="22"/>
      <c r="H344" s="22"/>
      <c r="I344" s="22"/>
      <c r="J344" s="22"/>
      <c r="K344" s="22"/>
      <c r="L344" s="22"/>
      <c r="M344" s="22"/>
      <c r="N344" s="23"/>
    </row>
    <row r="345" spans="1:14" ht="15" x14ac:dyDescent="0.2">
      <c r="A345" s="24"/>
      <c r="B345" s="413" t="s">
        <v>1336</v>
      </c>
      <c r="C345" s="414"/>
      <c r="D345" s="414"/>
      <c r="E345" s="414"/>
      <c r="F345" s="414"/>
      <c r="G345" s="414"/>
      <c r="H345" s="414"/>
      <c r="I345" s="414"/>
      <c r="J345" s="414"/>
      <c r="K345" s="414"/>
      <c r="L345" s="414"/>
      <c r="M345" s="415"/>
      <c r="N345" s="25" t="s">
        <v>1103</v>
      </c>
    </row>
    <row r="346" spans="1:14" x14ac:dyDescent="0.2">
      <c r="A346" s="24"/>
      <c r="B346" s="26" t="s">
        <v>428</v>
      </c>
      <c r="C346" s="15" t="s">
        <v>158</v>
      </c>
      <c r="D346" s="15"/>
      <c r="E346" s="16"/>
      <c r="F346" s="16"/>
      <c r="G346" s="16"/>
      <c r="H346" s="16"/>
      <c r="I346" s="16"/>
      <c r="J346" s="16"/>
      <c r="K346" s="16"/>
      <c r="L346" s="16"/>
      <c r="M346" s="16"/>
      <c r="N346" s="27"/>
    </row>
    <row r="347" spans="1:14" x14ac:dyDescent="0.2">
      <c r="A347" s="24"/>
      <c r="B347" s="26" t="s">
        <v>429</v>
      </c>
      <c r="C347" s="15" t="s">
        <v>148</v>
      </c>
      <c r="D347" s="15"/>
      <c r="E347" s="16"/>
      <c r="F347" s="16"/>
      <c r="G347" s="16"/>
      <c r="H347" s="16"/>
      <c r="I347" s="16"/>
      <c r="J347" s="16"/>
      <c r="K347" s="16"/>
      <c r="L347" s="16"/>
      <c r="M347" s="16"/>
      <c r="N347" s="27"/>
    </row>
    <row r="348" spans="1:14" x14ac:dyDescent="0.2">
      <c r="A348" s="24"/>
      <c r="B348" s="26" t="s">
        <v>427</v>
      </c>
      <c r="C348" s="416" t="s">
        <v>157</v>
      </c>
      <c r="D348" s="416"/>
      <c r="E348" s="416"/>
      <c r="F348" s="416"/>
      <c r="G348" s="416"/>
      <c r="H348" s="416"/>
      <c r="I348" s="416"/>
      <c r="J348" s="416"/>
      <c r="K348" s="416"/>
      <c r="L348" s="416"/>
      <c r="M348" s="416"/>
      <c r="N348" s="417"/>
    </row>
    <row r="349" spans="1:14" x14ac:dyDescent="0.2">
      <c r="A349" s="24"/>
      <c r="B349" s="15"/>
      <c r="C349" s="416"/>
      <c r="D349" s="416"/>
      <c r="E349" s="416"/>
      <c r="F349" s="416"/>
      <c r="G349" s="416"/>
      <c r="H349" s="416"/>
      <c r="I349" s="416"/>
      <c r="J349" s="416"/>
      <c r="K349" s="416"/>
      <c r="L349" s="416"/>
      <c r="M349" s="416"/>
      <c r="N349" s="417"/>
    </row>
    <row r="350" spans="1:14" x14ac:dyDescent="0.2">
      <c r="A350" s="24"/>
      <c r="B350" s="15"/>
      <c r="C350" s="419"/>
      <c r="D350" s="419"/>
      <c r="E350" s="419"/>
      <c r="F350" s="419"/>
      <c r="G350" s="419"/>
      <c r="H350" s="419"/>
      <c r="I350" s="419"/>
      <c r="J350" s="419"/>
      <c r="K350" s="419"/>
      <c r="L350" s="419"/>
      <c r="M350" s="419"/>
      <c r="N350" s="420"/>
    </row>
    <row r="351" spans="1:14" x14ac:dyDescent="0.2">
      <c r="A351" s="24"/>
      <c r="B351" s="26" t="s">
        <v>426</v>
      </c>
      <c r="C351" s="15"/>
      <c r="D351" s="15"/>
      <c r="E351" s="16"/>
      <c r="F351" s="16"/>
      <c r="G351" s="16"/>
      <c r="H351" s="16"/>
      <c r="I351" s="16"/>
      <c r="J351" s="16"/>
      <c r="K351" s="16"/>
      <c r="L351" s="16"/>
      <c r="M351" s="16"/>
      <c r="N351" s="27"/>
    </row>
    <row r="352" spans="1:14" ht="13.5" thickBot="1" x14ac:dyDescent="0.25">
      <c r="A352" s="28"/>
      <c r="B352" s="26" t="s">
        <v>430</v>
      </c>
      <c r="C352" s="29"/>
      <c r="D352" s="29"/>
      <c r="E352" s="30"/>
      <c r="F352" s="30"/>
      <c r="G352" s="30"/>
      <c r="H352" s="30"/>
      <c r="I352" s="30"/>
      <c r="J352" s="30"/>
      <c r="K352" s="30"/>
      <c r="L352" s="30"/>
      <c r="M352" s="30"/>
      <c r="N352" s="31"/>
    </row>
    <row r="353" spans="1:14" ht="13.5" thickBot="1" x14ac:dyDescent="0.25">
      <c r="A353" s="28"/>
      <c r="B353" s="26"/>
      <c r="C353" s="29"/>
      <c r="D353" s="29"/>
      <c r="E353" s="30"/>
      <c r="F353" s="30"/>
      <c r="G353" s="30"/>
      <c r="H353" s="30"/>
      <c r="I353" s="30"/>
      <c r="J353" s="16"/>
      <c r="K353" s="30" t="s">
        <v>908</v>
      </c>
      <c r="L353" s="30"/>
      <c r="M353" s="30"/>
      <c r="N353" s="31"/>
    </row>
    <row r="354" spans="1:14" ht="13.5" thickBot="1" x14ac:dyDescent="0.25">
      <c r="A354" s="28"/>
      <c r="B354" s="21" t="s">
        <v>263</v>
      </c>
      <c r="C354" s="29"/>
      <c r="D354" s="29"/>
      <c r="E354" s="30"/>
      <c r="F354" s="30"/>
      <c r="G354" s="30"/>
      <c r="H354" s="30"/>
      <c r="I354" s="30"/>
      <c r="J354" s="17" t="s">
        <v>907</v>
      </c>
      <c r="K354" s="35" t="s">
        <v>1904</v>
      </c>
      <c r="L354" s="36" t="s">
        <v>1905</v>
      </c>
      <c r="M354" s="36"/>
      <c r="N354" s="36"/>
    </row>
    <row r="355" spans="1:14" x14ac:dyDescent="0.2">
      <c r="A355" s="20"/>
      <c r="B355" s="412" t="s">
        <v>67</v>
      </c>
      <c r="C355" s="412"/>
      <c r="D355" s="412"/>
      <c r="E355" s="22"/>
      <c r="F355" s="22" t="s">
        <v>1180</v>
      </c>
      <c r="G355" s="22" t="s">
        <v>68</v>
      </c>
      <c r="H355" s="22" t="s">
        <v>702</v>
      </c>
      <c r="I355" s="22"/>
      <c r="J355" s="65">
        <f>52/ATHENS!O1*ATHENS!O2</f>
        <v>106.12244897959184</v>
      </c>
      <c r="K355" s="40">
        <f>62/ATHENS!O1*ATHENS!O2</f>
        <v>126.53061224489797</v>
      </c>
      <c r="L355" s="40">
        <f>67/ATHENS!O1*ATHENS!O2</f>
        <v>136.73469387755102</v>
      </c>
      <c r="M355" s="40"/>
      <c r="N355" s="38"/>
    </row>
    <row r="356" spans="1:14" x14ac:dyDescent="0.2">
      <c r="A356" s="24"/>
      <c r="B356" s="411" t="s">
        <v>67</v>
      </c>
      <c r="C356" s="411"/>
      <c r="D356" s="411"/>
      <c r="E356" s="16"/>
      <c r="F356" s="16" t="s">
        <v>1181</v>
      </c>
      <c r="G356" s="16" t="s">
        <v>68</v>
      </c>
      <c r="H356" s="16" t="s">
        <v>702</v>
      </c>
      <c r="I356" s="16"/>
      <c r="J356" s="66">
        <f>31/ATHENS!O1*ATHENS!O2</f>
        <v>63.265306122448983</v>
      </c>
      <c r="K356" s="40">
        <f>37/ATHENS!O1*ATHENS!O2</f>
        <v>75.510204081632651</v>
      </c>
      <c r="L356" s="40">
        <f>42/ATHENS!O1*ATHENS!O2</f>
        <v>85.714285714285722</v>
      </c>
      <c r="M356" s="40"/>
      <c r="N356" s="40"/>
    </row>
    <row r="357" spans="1:14" x14ac:dyDescent="0.2">
      <c r="A357" s="24"/>
      <c r="B357" s="15" t="s">
        <v>67</v>
      </c>
      <c r="C357" s="15"/>
      <c r="D357" s="15"/>
      <c r="E357" s="16"/>
      <c r="F357" s="16" t="s">
        <v>1182</v>
      </c>
      <c r="G357" s="16" t="s">
        <v>68</v>
      </c>
      <c r="H357" s="16" t="s">
        <v>702</v>
      </c>
      <c r="I357" s="16"/>
      <c r="J357" s="66">
        <f>24/ATHENS!O1*ATHENS!O2</f>
        <v>48.979591836734691</v>
      </c>
      <c r="K357" s="40">
        <f>28/ATHENS!O1*ATHENS!O2</f>
        <v>57.142857142857146</v>
      </c>
      <c r="L357" s="40">
        <f>31/ATHENS!O1*ATHENS!O2</f>
        <v>63.265306122448983</v>
      </c>
      <c r="M357" s="40"/>
      <c r="N357" s="40"/>
    </row>
    <row r="358" spans="1:14" ht="13.5" thickBot="1" x14ac:dyDescent="0.25">
      <c r="A358" s="28"/>
      <c r="B358" s="418" t="s">
        <v>902</v>
      </c>
      <c r="C358" s="418"/>
      <c r="D358" s="418"/>
      <c r="E358" s="30"/>
      <c r="F358" s="30"/>
      <c r="G358" s="30"/>
      <c r="H358" s="30" t="s">
        <v>702</v>
      </c>
      <c r="I358" s="30"/>
      <c r="J358" s="67">
        <f>14/ATHENS!O1*ATHENS!O2</f>
        <v>28.571428571428573</v>
      </c>
      <c r="K358" s="42">
        <f>14/ATHENS!O1*ATHENS!O2</f>
        <v>28.571428571428573</v>
      </c>
      <c r="L358" s="42">
        <f>14/ATHENS!O1*ATHENS!O2</f>
        <v>28.571428571428573</v>
      </c>
      <c r="M358" s="42"/>
      <c r="N358" s="42"/>
    </row>
    <row r="359" spans="1:14" x14ac:dyDescent="0.2">
      <c r="A359" s="14"/>
      <c r="B359" s="15"/>
      <c r="C359" s="15"/>
      <c r="D359" s="15"/>
      <c r="E359" s="16"/>
      <c r="F359" s="16"/>
      <c r="G359" s="16"/>
      <c r="H359" s="16"/>
      <c r="I359" s="16"/>
      <c r="J359" s="16"/>
      <c r="K359" s="16"/>
      <c r="L359" s="16"/>
      <c r="M359" s="16"/>
      <c r="N359" s="16"/>
    </row>
    <row r="360" spans="1:14" x14ac:dyDescent="0.2">
      <c r="A360" s="14"/>
      <c r="B360" s="15"/>
      <c r="C360" s="15"/>
      <c r="D360" s="15"/>
      <c r="E360" s="16"/>
      <c r="F360" s="16"/>
      <c r="G360" s="16"/>
      <c r="H360" s="16"/>
      <c r="I360" s="16"/>
      <c r="J360" s="16"/>
      <c r="K360" s="16"/>
      <c r="L360" s="16"/>
      <c r="M360" s="16"/>
      <c r="N360" s="16"/>
    </row>
    <row r="361" spans="1:14" x14ac:dyDescent="0.2">
      <c r="A361" s="14"/>
      <c r="B361" s="15"/>
      <c r="C361" s="15"/>
      <c r="D361" s="15"/>
      <c r="E361" s="16"/>
      <c r="F361" s="16"/>
      <c r="G361" s="16"/>
      <c r="H361" s="16"/>
      <c r="I361" s="16"/>
      <c r="J361" s="16"/>
      <c r="K361" s="16"/>
      <c r="L361" s="16"/>
      <c r="M361" s="16"/>
      <c r="N361" s="16"/>
    </row>
    <row r="362" spans="1:14" x14ac:dyDescent="0.2">
      <c r="A362" s="14"/>
      <c r="B362" s="15"/>
      <c r="C362" s="15"/>
      <c r="D362" s="15"/>
      <c r="E362" s="16"/>
      <c r="F362" s="16"/>
      <c r="G362" s="16"/>
      <c r="H362" s="16"/>
      <c r="I362" s="16"/>
      <c r="J362" s="16"/>
      <c r="K362" s="16"/>
      <c r="L362" s="16"/>
      <c r="M362" s="16"/>
      <c r="N362" s="16"/>
    </row>
    <row r="363" spans="1:14" x14ac:dyDescent="0.2">
      <c r="A363" s="14"/>
      <c r="B363" s="15"/>
      <c r="C363" s="15"/>
      <c r="D363" s="15"/>
      <c r="E363" s="16"/>
      <c r="F363" s="16"/>
      <c r="G363" s="16"/>
      <c r="H363" s="16"/>
      <c r="I363" s="16"/>
      <c r="J363" s="16"/>
      <c r="K363" s="16"/>
      <c r="L363" s="16"/>
      <c r="M363" s="16"/>
      <c r="N363" s="16"/>
    </row>
    <row r="364" spans="1:14" x14ac:dyDescent="0.2">
      <c r="A364" s="14"/>
      <c r="B364" s="15"/>
      <c r="C364" s="15"/>
      <c r="D364" s="15"/>
      <c r="E364" s="16"/>
      <c r="F364" s="16"/>
      <c r="G364" s="16"/>
      <c r="H364" s="16"/>
      <c r="I364" s="16"/>
      <c r="J364" s="16"/>
      <c r="K364" s="16"/>
      <c r="L364" s="16"/>
      <c r="M364" s="16"/>
      <c r="N364" s="16"/>
    </row>
    <row r="365" spans="1:14" x14ac:dyDescent="0.2">
      <c r="A365" s="14"/>
      <c r="B365" s="15"/>
      <c r="C365" s="15"/>
      <c r="D365" s="15"/>
      <c r="E365" s="16"/>
      <c r="F365" s="16"/>
      <c r="G365" s="16"/>
      <c r="H365" s="16"/>
      <c r="I365" s="16"/>
      <c r="J365" s="16"/>
      <c r="K365" s="16"/>
      <c r="L365" s="16"/>
      <c r="M365" s="16"/>
      <c r="N365" s="16"/>
    </row>
    <row r="366" spans="1:14" x14ac:dyDescent="0.2">
      <c r="A366" s="14"/>
      <c r="B366" s="15"/>
      <c r="C366" s="15"/>
      <c r="D366" s="15"/>
      <c r="E366" s="16"/>
      <c r="F366" s="16"/>
      <c r="G366" s="16"/>
      <c r="H366" s="16"/>
      <c r="I366" s="16"/>
      <c r="J366" s="16"/>
      <c r="K366" s="16"/>
      <c r="L366" s="16"/>
      <c r="M366" s="16"/>
      <c r="N366" s="16"/>
    </row>
    <row r="367" spans="1:14" x14ac:dyDescent="0.2">
      <c r="A367" s="14"/>
      <c r="B367" s="15"/>
      <c r="C367" s="15"/>
      <c r="D367" s="15"/>
      <c r="E367" s="16"/>
      <c r="F367" s="16"/>
      <c r="G367" s="16"/>
      <c r="H367" s="16"/>
      <c r="I367" s="16"/>
      <c r="J367" s="16"/>
      <c r="K367" s="16"/>
      <c r="L367" s="16"/>
      <c r="M367" s="16"/>
      <c r="N367" s="16"/>
    </row>
    <row r="368" spans="1:14" x14ac:dyDescent="0.2">
      <c r="A368" s="14"/>
      <c r="B368" s="15"/>
      <c r="C368" s="15"/>
      <c r="D368" s="15"/>
      <c r="E368" s="16"/>
      <c r="F368" s="16"/>
      <c r="G368" s="16"/>
      <c r="H368" s="16"/>
      <c r="I368" s="16"/>
      <c r="J368" s="16"/>
      <c r="K368" s="16"/>
      <c r="L368" s="16"/>
      <c r="M368" s="16"/>
      <c r="N368" s="16"/>
    </row>
    <row r="369" spans="1:14" x14ac:dyDescent="0.2">
      <c r="A369" s="14"/>
      <c r="B369" s="15"/>
      <c r="C369" s="15"/>
      <c r="D369" s="15"/>
      <c r="E369" s="16"/>
      <c r="F369" s="16"/>
      <c r="G369" s="16"/>
      <c r="H369" s="16"/>
      <c r="I369" s="16"/>
      <c r="J369" s="16"/>
      <c r="K369" s="16"/>
      <c r="L369" s="16"/>
      <c r="M369" s="16"/>
      <c r="N369" s="16"/>
    </row>
    <row r="370" spans="1:14" ht="13.5" thickBot="1" x14ac:dyDescent="0.25">
      <c r="A370" s="14"/>
      <c r="B370" s="15"/>
      <c r="C370" s="15"/>
      <c r="D370" s="15"/>
      <c r="E370" s="16"/>
      <c r="F370" s="16"/>
      <c r="G370" s="16"/>
      <c r="H370" s="16"/>
      <c r="I370" s="16"/>
      <c r="J370" s="16"/>
      <c r="K370" s="16"/>
      <c r="L370" s="16"/>
      <c r="M370" s="16"/>
      <c r="N370" s="16"/>
    </row>
    <row r="371" spans="1:14" x14ac:dyDescent="0.2">
      <c r="A371" s="20"/>
      <c r="B371" s="21"/>
      <c r="C371" s="21"/>
      <c r="D371" s="21"/>
      <c r="E371" s="22"/>
      <c r="F371" s="22"/>
      <c r="G371" s="22"/>
      <c r="H371" s="22"/>
      <c r="I371" s="22"/>
      <c r="J371" s="22"/>
      <c r="K371" s="22"/>
      <c r="L371" s="22"/>
      <c r="M371" s="22"/>
      <c r="N371" s="23"/>
    </row>
    <row r="372" spans="1:14" ht="15" x14ac:dyDescent="0.2">
      <c r="A372" s="24"/>
      <c r="B372" s="413" t="s">
        <v>1099</v>
      </c>
      <c r="C372" s="414"/>
      <c r="D372" s="414"/>
      <c r="E372" s="414"/>
      <c r="F372" s="414"/>
      <c r="G372" s="414"/>
      <c r="H372" s="414"/>
      <c r="I372" s="414"/>
      <c r="J372" s="414"/>
      <c r="K372" s="414"/>
      <c r="L372" s="414"/>
      <c r="M372" s="415"/>
      <c r="N372" s="25" t="s">
        <v>1103</v>
      </c>
    </row>
    <row r="373" spans="1:14" x14ac:dyDescent="0.2">
      <c r="A373" s="24"/>
      <c r="B373" s="26" t="s">
        <v>428</v>
      </c>
      <c r="C373" s="15" t="s">
        <v>1142</v>
      </c>
      <c r="D373" s="15"/>
      <c r="E373" s="16"/>
      <c r="F373" s="16"/>
      <c r="G373" s="16"/>
      <c r="H373" s="16"/>
      <c r="I373" s="16"/>
      <c r="J373" s="16"/>
      <c r="K373" s="16"/>
      <c r="L373" s="16"/>
      <c r="M373" s="16"/>
      <c r="N373" s="27"/>
    </row>
    <row r="374" spans="1:14" x14ac:dyDescent="0.2">
      <c r="A374" s="24"/>
      <c r="B374" s="26" t="s">
        <v>429</v>
      </c>
      <c r="C374" s="15" t="s">
        <v>1857</v>
      </c>
      <c r="D374" s="15"/>
      <c r="E374" s="16"/>
      <c r="F374" s="16"/>
      <c r="G374" s="16"/>
      <c r="H374" s="16"/>
      <c r="I374" s="16"/>
      <c r="J374" s="16"/>
      <c r="K374" s="16"/>
      <c r="L374" s="16"/>
      <c r="M374" s="16"/>
      <c r="N374" s="27"/>
    </row>
    <row r="375" spans="1:14" x14ac:dyDescent="0.2">
      <c r="A375" s="24"/>
      <c r="B375" s="26" t="s">
        <v>427</v>
      </c>
      <c r="C375" s="416" t="s">
        <v>1274</v>
      </c>
      <c r="D375" s="416"/>
      <c r="E375" s="416"/>
      <c r="F375" s="416"/>
      <c r="G375" s="416"/>
      <c r="H375" s="416"/>
      <c r="I375" s="416"/>
      <c r="J375" s="416"/>
      <c r="K375" s="416"/>
      <c r="L375" s="416"/>
      <c r="M375" s="416"/>
      <c r="N375" s="417"/>
    </row>
    <row r="376" spans="1:14" x14ac:dyDescent="0.2">
      <c r="A376" s="24"/>
      <c r="B376" s="15"/>
      <c r="C376" s="416"/>
      <c r="D376" s="416"/>
      <c r="E376" s="416"/>
      <c r="F376" s="416"/>
      <c r="G376" s="416"/>
      <c r="H376" s="416"/>
      <c r="I376" s="416"/>
      <c r="J376" s="416"/>
      <c r="K376" s="416"/>
      <c r="L376" s="416"/>
      <c r="M376" s="416"/>
      <c r="N376" s="417"/>
    </row>
    <row r="377" spans="1:14" x14ac:dyDescent="0.2">
      <c r="A377" s="24"/>
      <c r="B377" s="15"/>
      <c r="C377" s="419"/>
      <c r="D377" s="419"/>
      <c r="E377" s="419"/>
      <c r="F377" s="419"/>
      <c r="G377" s="419"/>
      <c r="H377" s="419"/>
      <c r="I377" s="419"/>
      <c r="J377" s="419"/>
      <c r="K377" s="419"/>
      <c r="L377" s="419"/>
      <c r="M377" s="419"/>
      <c r="N377" s="420"/>
    </row>
    <row r="378" spans="1:14" x14ac:dyDescent="0.2">
      <c r="A378" s="24"/>
      <c r="B378" s="26" t="s">
        <v>426</v>
      </c>
      <c r="C378" s="15" t="s">
        <v>539</v>
      </c>
      <c r="D378" s="15"/>
      <c r="E378" s="16"/>
      <c r="F378" s="16"/>
      <c r="G378" s="16"/>
      <c r="H378" s="15"/>
      <c r="I378" s="16"/>
      <c r="J378" s="16"/>
      <c r="K378" s="16"/>
      <c r="L378" s="16"/>
      <c r="M378" s="16"/>
      <c r="N378" s="27"/>
    </row>
    <row r="379" spans="1:14" ht="13.5" thickBot="1" x14ac:dyDescent="0.25">
      <c r="A379" s="28"/>
      <c r="B379" s="26" t="s">
        <v>430</v>
      </c>
      <c r="C379" s="29"/>
      <c r="D379" s="29"/>
      <c r="E379" s="30"/>
      <c r="F379" s="30"/>
      <c r="G379" s="30"/>
      <c r="H379" s="30"/>
      <c r="I379" s="30"/>
      <c r="J379" s="30"/>
      <c r="K379" s="30"/>
      <c r="L379" s="30"/>
      <c r="M379" s="30"/>
      <c r="N379" s="31"/>
    </row>
    <row r="380" spans="1:14" x14ac:dyDescent="0.2">
      <c r="A380" s="20"/>
      <c r="B380" s="21" t="s">
        <v>263</v>
      </c>
      <c r="C380" s="21"/>
      <c r="D380" s="21"/>
      <c r="E380" s="22"/>
      <c r="F380" s="22"/>
      <c r="G380" s="22"/>
      <c r="H380" s="22"/>
      <c r="I380" s="22"/>
      <c r="J380" s="33" t="s">
        <v>1810</v>
      </c>
      <c r="K380" s="33" t="s">
        <v>1811</v>
      </c>
      <c r="L380" s="33" t="s">
        <v>519</v>
      </c>
      <c r="M380" s="33"/>
      <c r="N380" s="33"/>
    </row>
    <row r="381" spans="1:14" ht="13.5" thickBot="1" x14ac:dyDescent="0.25">
      <c r="A381" s="24"/>
      <c r="B381" s="15"/>
      <c r="C381" s="15"/>
      <c r="D381" s="15"/>
      <c r="E381" s="16"/>
      <c r="F381" s="16"/>
      <c r="G381" s="16"/>
      <c r="H381" s="16"/>
      <c r="I381" s="16"/>
      <c r="J381" s="78" t="s">
        <v>278</v>
      </c>
      <c r="K381" s="36" t="s">
        <v>1812</v>
      </c>
      <c r="L381" s="36" t="s">
        <v>1813</v>
      </c>
      <c r="M381" s="36" t="s">
        <v>186</v>
      </c>
      <c r="N381" s="36"/>
    </row>
    <row r="382" spans="1:14" x14ac:dyDescent="0.2">
      <c r="A382" s="20"/>
      <c r="B382" s="412" t="s">
        <v>67</v>
      </c>
      <c r="C382" s="412"/>
      <c r="D382" s="412"/>
      <c r="E382" s="22"/>
      <c r="F382" s="22" t="s">
        <v>1180</v>
      </c>
      <c r="G382" s="22" t="s">
        <v>1484</v>
      </c>
      <c r="H382" s="22" t="s">
        <v>702</v>
      </c>
      <c r="I382" s="22"/>
      <c r="J382" s="66">
        <f>40/ATHENS!O1*ATHENS!O2</f>
        <v>81.632653061224488</v>
      </c>
      <c r="K382" s="66">
        <f>60/ATHENS!O1*ATHENS!O2</f>
        <v>122.44897959183673</v>
      </c>
      <c r="L382" s="66">
        <f>70/ATHENS!O1*ATHENS!O2</f>
        <v>142.85714285714286</v>
      </c>
      <c r="M382" s="66">
        <f>90/ATHENS!O1*ATHENS!O2</f>
        <v>183.67346938775512</v>
      </c>
      <c r="N382" s="38"/>
    </row>
    <row r="383" spans="1:14" x14ac:dyDescent="0.2">
      <c r="A383" s="24"/>
      <c r="B383" s="411" t="s">
        <v>67</v>
      </c>
      <c r="C383" s="411"/>
      <c r="D383" s="411"/>
      <c r="E383" s="16"/>
      <c r="F383" s="16" t="s">
        <v>1181</v>
      </c>
      <c r="G383" s="16" t="s">
        <v>1484</v>
      </c>
      <c r="H383" s="16" t="s">
        <v>702</v>
      </c>
      <c r="I383" s="16"/>
      <c r="J383" s="66">
        <f>26/ATHENS!O1*ATHENS!O2</f>
        <v>53.061224489795919</v>
      </c>
      <c r="K383" s="66">
        <f>39.5/ATHENS!O1*ATHENS!O2</f>
        <v>80.612244897959187</v>
      </c>
      <c r="L383" s="66">
        <f>44.5/ATHENS!O1*ATHENS!O2</f>
        <v>90.816326530612244</v>
      </c>
      <c r="M383" s="66">
        <f>56.5/ATHENS!O1*ATHENS!O2</f>
        <v>115.30612244897959</v>
      </c>
      <c r="N383" s="40"/>
    </row>
    <row r="384" spans="1:14" ht="13.5" thickBot="1" x14ac:dyDescent="0.25">
      <c r="A384" s="28"/>
      <c r="B384" s="418" t="s">
        <v>67</v>
      </c>
      <c r="C384" s="418"/>
      <c r="D384" s="418"/>
      <c r="E384" s="30"/>
      <c r="F384" s="30" t="s">
        <v>1182</v>
      </c>
      <c r="G384" s="30" t="s">
        <v>1484</v>
      </c>
      <c r="H384" s="30" t="s">
        <v>702</v>
      </c>
      <c r="I384" s="30"/>
      <c r="J384" s="67">
        <f>23.5/ATHENS!O1*ATHENS!O2</f>
        <v>47.95918367346939</v>
      </c>
      <c r="K384" s="67">
        <f>36/ATHENS!O1*ATHENS!O2</f>
        <v>73.469387755102048</v>
      </c>
      <c r="L384" s="67">
        <f>40/ATHENS!O1*ATHENS!O2</f>
        <v>81.632653061224488</v>
      </c>
      <c r="M384" s="67">
        <f>51/ATHENS!O1*ATHENS!O2</f>
        <v>104.08163265306122</v>
      </c>
      <c r="N384" s="42"/>
    </row>
    <row r="385" spans="1:15" ht="13.5" thickBot="1" x14ac:dyDescent="0.25">
      <c r="A385" s="14"/>
      <c r="B385" s="15"/>
      <c r="C385" s="15"/>
      <c r="D385" s="15"/>
      <c r="E385" s="16"/>
      <c r="F385" s="16"/>
      <c r="G385" s="16"/>
      <c r="H385" s="16"/>
      <c r="I385" s="16"/>
      <c r="J385" s="16"/>
      <c r="K385" s="16"/>
      <c r="L385" s="16"/>
      <c r="M385" s="16"/>
      <c r="N385" s="16"/>
      <c r="O385" s="59"/>
    </row>
    <row r="386" spans="1:15" x14ac:dyDescent="0.2">
      <c r="A386" s="20"/>
      <c r="B386" s="21"/>
      <c r="C386" s="21"/>
      <c r="D386" s="21"/>
      <c r="E386" s="22"/>
      <c r="F386" s="22"/>
      <c r="G386" s="22"/>
      <c r="H386" s="22"/>
      <c r="I386" s="22"/>
      <c r="J386" s="22"/>
      <c r="K386" s="22"/>
      <c r="L386" s="22"/>
      <c r="M386" s="22"/>
      <c r="N386" s="23"/>
      <c r="O386" s="59"/>
    </row>
    <row r="387" spans="1:15" ht="15" x14ac:dyDescent="0.2">
      <c r="A387" s="24"/>
      <c r="B387" s="413" t="s">
        <v>911</v>
      </c>
      <c r="C387" s="414"/>
      <c r="D387" s="414"/>
      <c r="E387" s="414"/>
      <c r="F387" s="414"/>
      <c r="G387" s="414"/>
      <c r="H387" s="414"/>
      <c r="I387" s="414"/>
      <c r="J387" s="414"/>
      <c r="K387" s="414"/>
      <c r="L387" s="414"/>
      <c r="M387" s="415"/>
      <c r="N387" s="25" t="s">
        <v>96</v>
      </c>
      <c r="O387" s="59"/>
    </row>
    <row r="388" spans="1:15" x14ac:dyDescent="0.2">
      <c r="A388" s="24"/>
      <c r="B388" s="26" t="s">
        <v>428</v>
      </c>
      <c r="C388" s="15" t="s">
        <v>792</v>
      </c>
      <c r="D388" s="15"/>
      <c r="E388" s="16"/>
      <c r="F388" s="16"/>
      <c r="G388" s="16"/>
      <c r="H388" s="16"/>
      <c r="I388" s="16"/>
      <c r="J388" s="16"/>
      <c r="K388" s="16"/>
      <c r="L388" s="16"/>
      <c r="M388" s="16"/>
      <c r="N388" s="27"/>
      <c r="O388" s="59"/>
    </row>
    <row r="389" spans="1:15" x14ac:dyDescent="0.2">
      <c r="A389" s="24"/>
      <c r="B389" s="26" t="s">
        <v>429</v>
      </c>
      <c r="C389" s="15" t="s">
        <v>793</v>
      </c>
      <c r="D389" s="15"/>
      <c r="E389" s="16"/>
      <c r="F389" s="16"/>
      <c r="G389" s="16"/>
      <c r="H389" s="16"/>
      <c r="I389" s="16"/>
      <c r="J389" s="16"/>
      <c r="K389" s="16"/>
      <c r="L389" s="16"/>
      <c r="M389" s="16"/>
      <c r="N389" s="27"/>
      <c r="O389" s="59"/>
    </row>
    <row r="390" spans="1:15" x14ac:dyDescent="0.2">
      <c r="A390" s="24"/>
      <c r="B390" s="26" t="s">
        <v>427</v>
      </c>
      <c r="C390" s="416" t="s">
        <v>912</v>
      </c>
      <c r="D390" s="416"/>
      <c r="E390" s="416"/>
      <c r="F390" s="416"/>
      <c r="G390" s="416"/>
      <c r="H390" s="416"/>
      <c r="I390" s="416"/>
      <c r="J390" s="416"/>
      <c r="K390" s="416"/>
      <c r="L390" s="416"/>
      <c r="M390" s="416"/>
      <c r="N390" s="417"/>
      <c r="O390" s="59"/>
    </row>
    <row r="391" spans="1:15" x14ac:dyDescent="0.2">
      <c r="A391" s="24"/>
      <c r="B391" s="26"/>
      <c r="C391" s="416"/>
      <c r="D391" s="416"/>
      <c r="E391" s="416"/>
      <c r="F391" s="416"/>
      <c r="G391" s="416"/>
      <c r="H391" s="416"/>
      <c r="I391" s="416"/>
      <c r="J391" s="416"/>
      <c r="K391" s="416"/>
      <c r="L391" s="416"/>
      <c r="M391" s="416"/>
      <c r="N391" s="417"/>
      <c r="O391" s="59"/>
    </row>
    <row r="392" spans="1:15" x14ac:dyDescent="0.2">
      <c r="A392" s="24"/>
      <c r="B392" s="26" t="s">
        <v>426</v>
      </c>
      <c r="C392" s="15"/>
      <c r="D392" s="15"/>
      <c r="E392" s="16"/>
      <c r="F392" s="16"/>
      <c r="G392" s="16"/>
      <c r="H392" s="16"/>
      <c r="I392" s="16"/>
      <c r="J392" s="16"/>
      <c r="K392" s="16"/>
      <c r="L392" s="16"/>
      <c r="M392" s="16"/>
      <c r="N392" s="27"/>
      <c r="O392" s="59"/>
    </row>
    <row r="393" spans="1:15" ht="13.5" thickBot="1" x14ac:dyDescent="0.25">
      <c r="A393" s="24"/>
      <c r="B393" s="26" t="s">
        <v>430</v>
      </c>
      <c r="C393" s="15"/>
      <c r="D393" s="15"/>
      <c r="E393" s="16"/>
      <c r="F393" s="16"/>
      <c r="G393" s="16"/>
      <c r="H393" s="16"/>
      <c r="I393" s="16"/>
      <c r="J393" s="16"/>
      <c r="K393" s="16"/>
      <c r="L393" s="16"/>
      <c r="M393" s="16"/>
      <c r="N393" s="27"/>
      <c r="O393" s="59"/>
    </row>
    <row r="394" spans="1:15" x14ac:dyDescent="0.2">
      <c r="A394" s="20"/>
      <c r="B394" s="21" t="s">
        <v>263</v>
      </c>
      <c r="C394" s="21"/>
      <c r="D394" s="21"/>
      <c r="E394" s="22"/>
      <c r="F394" s="22"/>
      <c r="G394" s="22"/>
      <c r="H394" s="22"/>
      <c r="I394" s="22"/>
      <c r="J394" s="32" t="s">
        <v>1573</v>
      </c>
      <c r="K394" s="33" t="s">
        <v>1811</v>
      </c>
      <c r="L394" s="33" t="s">
        <v>519</v>
      </c>
      <c r="M394" s="33"/>
      <c r="N394" s="33"/>
      <c r="O394" s="59"/>
    </row>
    <row r="395" spans="1:15" ht="13.5" thickBot="1" x14ac:dyDescent="0.25">
      <c r="A395" s="28"/>
      <c r="B395" s="29"/>
      <c r="C395" s="29"/>
      <c r="D395" s="29"/>
      <c r="E395" s="30"/>
      <c r="F395" s="30"/>
      <c r="G395" s="30"/>
      <c r="H395" s="30"/>
      <c r="I395" s="30"/>
      <c r="J395" s="44" t="s">
        <v>481</v>
      </c>
      <c r="K395" s="36" t="s">
        <v>341</v>
      </c>
      <c r="L395" s="36" t="s">
        <v>821</v>
      </c>
      <c r="M395" s="36" t="s">
        <v>186</v>
      </c>
      <c r="N395" s="36"/>
      <c r="O395" s="59"/>
    </row>
    <row r="396" spans="1:15" x14ac:dyDescent="0.2">
      <c r="A396" s="20"/>
      <c r="B396" s="412" t="s">
        <v>67</v>
      </c>
      <c r="C396" s="412"/>
      <c r="D396" s="412"/>
      <c r="E396" s="22"/>
      <c r="F396" s="22" t="s">
        <v>1180</v>
      </c>
      <c r="G396" s="22" t="s">
        <v>1487</v>
      </c>
      <c r="H396" s="22" t="s">
        <v>702</v>
      </c>
      <c r="I396" s="22"/>
      <c r="J396" s="65">
        <f>48/ATHENS!O1*ATHENS!O2</f>
        <v>97.959183673469383</v>
      </c>
      <c r="K396" s="65">
        <f>61/ATHENS!O1*ATHENS!O2</f>
        <v>124.48979591836735</v>
      </c>
      <c r="L396" s="65">
        <f>71/ATHENS!O1*ATHENS!O2</f>
        <v>144.89795918367346</v>
      </c>
      <c r="M396" s="65">
        <f>91/ATHENS!O1*ATHENS!O2</f>
        <v>185.71428571428572</v>
      </c>
      <c r="N396" s="38"/>
      <c r="O396" s="59"/>
    </row>
    <row r="397" spans="1:15" x14ac:dyDescent="0.2">
      <c r="A397" s="24"/>
      <c r="B397" s="411" t="s">
        <v>67</v>
      </c>
      <c r="C397" s="411"/>
      <c r="D397" s="411"/>
      <c r="E397" s="16"/>
      <c r="F397" s="16" t="s">
        <v>1181</v>
      </c>
      <c r="G397" s="16" t="s">
        <v>1487</v>
      </c>
      <c r="H397" s="16" t="s">
        <v>702</v>
      </c>
      <c r="I397" s="16"/>
      <c r="J397" s="66">
        <f>35/ATHENS!O1*ATHENS!O2</f>
        <v>71.428571428571431</v>
      </c>
      <c r="K397" s="66">
        <f>44/ATHENS!O1*ATHENS!O2</f>
        <v>89.795918367346943</v>
      </c>
      <c r="L397" s="66">
        <f>50/ATHENS!O1*ATHENS!O2</f>
        <v>102.04081632653062</v>
      </c>
      <c r="M397" s="66">
        <f>64/ATHENS!O1*ATHENS!O2</f>
        <v>130.61224489795919</v>
      </c>
      <c r="N397" s="40"/>
      <c r="O397" s="59"/>
    </row>
    <row r="398" spans="1:15" ht="13.5" thickBot="1" x14ac:dyDescent="0.25">
      <c r="A398" s="28"/>
      <c r="B398" s="418" t="s">
        <v>67</v>
      </c>
      <c r="C398" s="418"/>
      <c r="D398" s="418"/>
      <c r="E398" s="30"/>
      <c r="F398" s="30" t="s">
        <v>1182</v>
      </c>
      <c r="G398" s="30" t="s">
        <v>1487</v>
      </c>
      <c r="H398" s="30" t="s">
        <v>702</v>
      </c>
      <c r="I398" s="30"/>
      <c r="J398" s="67">
        <f>31.5/ATHENS!O1*ATHENS!O2</f>
        <v>64.285714285714292</v>
      </c>
      <c r="K398" s="67">
        <f>39.6/ATHENS!O1*ATHENS!O2</f>
        <v>80.816326530612244</v>
      </c>
      <c r="L398" s="67">
        <f>44.5/ATHENS!O1*ATHENS!O2</f>
        <v>90.816326530612244</v>
      </c>
      <c r="M398" s="67">
        <f>56.5/ATHENS!O1*ATHENS!O2</f>
        <v>115.30612244897959</v>
      </c>
      <c r="N398" s="42"/>
      <c r="O398" s="59"/>
    </row>
    <row r="399" spans="1:15" ht="13.5" thickBot="1" x14ac:dyDescent="0.25">
      <c r="A399" s="14"/>
      <c r="B399" s="15"/>
      <c r="C399" s="15"/>
      <c r="D399" s="15"/>
      <c r="E399" s="16"/>
      <c r="F399" s="16"/>
      <c r="G399" s="16"/>
      <c r="H399" s="16"/>
      <c r="I399" s="16"/>
      <c r="J399" s="68"/>
      <c r="K399" s="68"/>
      <c r="L399" s="68"/>
      <c r="M399" s="68"/>
      <c r="N399" s="47"/>
      <c r="O399" s="59"/>
    </row>
    <row r="400" spans="1:15" x14ac:dyDescent="0.2">
      <c r="A400" s="20"/>
      <c r="B400" s="21"/>
      <c r="C400" s="21"/>
      <c r="D400" s="21"/>
      <c r="E400" s="22"/>
      <c r="F400" s="22"/>
      <c r="G400" s="22"/>
      <c r="H400" s="22"/>
      <c r="I400" s="22"/>
      <c r="J400" s="22"/>
      <c r="K400" s="22"/>
      <c r="L400" s="22"/>
      <c r="M400" s="22"/>
      <c r="N400" s="23"/>
      <c r="O400" s="59"/>
    </row>
    <row r="401" spans="1:15" ht="15" x14ac:dyDescent="0.2">
      <c r="A401" s="24"/>
      <c r="B401" s="413" t="s">
        <v>201</v>
      </c>
      <c r="C401" s="414"/>
      <c r="D401" s="414"/>
      <c r="E401" s="414"/>
      <c r="F401" s="414"/>
      <c r="G401" s="414"/>
      <c r="H401" s="414"/>
      <c r="I401" s="414"/>
      <c r="J401" s="414"/>
      <c r="K401" s="414"/>
      <c r="L401" s="414"/>
      <c r="M401" s="415"/>
      <c r="N401" s="25" t="s">
        <v>1103</v>
      </c>
      <c r="O401" s="59"/>
    </row>
    <row r="402" spans="1:15" x14ac:dyDescent="0.2">
      <c r="A402" s="24"/>
      <c r="B402" s="26" t="s">
        <v>428</v>
      </c>
      <c r="C402" s="15" t="s">
        <v>202</v>
      </c>
      <c r="D402" s="15"/>
      <c r="E402" s="16"/>
      <c r="F402" s="16"/>
      <c r="G402" s="16"/>
      <c r="H402" s="16"/>
      <c r="I402" s="16"/>
      <c r="J402" s="16"/>
      <c r="K402" s="16"/>
      <c r="L402" s="16"/>
      <c r="M402" s="16"/>
      <c r="N402" s="27"/>
      <c r="O402" s="59"/>
    </row>
    <row r="403" spans="1:15" x14ac:dyDescent="0.2">
      <c r="A403" s="24"/>
      <c r="B403" s="26" t="s">
        <v>429</v>
      </c>
      <c r="C403" s="15" t="s">
        <v>794</v>
      </c>
      <c r="D403" s="15"/>
      <c r="E403" s="16"/>
      <c r="F403" s="16"/>
      <c r="G403" s="16"/>
      <c r="H403" s="16"/>
      <c r="I403" s="16"/>
      <c r="J403" s="16"/>
      <c r="K403" s="16"/>
      <c r="L403" s="16"/>
      <c r="M403" s="16"/>
      <c r="N403" s="27"/>
      <c r="O403" s="59"/>
    </row>
    <row r="404" spans="1:15" x14ac:dyDescent="0.2">
      <c r="A404" s="24"/>
      <c r="B404" s="26" t="s">
        <v>427</v>
      </c>
      <c r="C404" s="416" t="s">
        <v>1275</v>
      </c>
      <c r="D404" s="416"/>
      <c r="E404" s="416"/>
      <c r="F404" s="416"/>
      <c r="G404" s="416"/>
      <c r="H404" s="416"/>
      <c r="I404" s="416"/>
      <c r="J404" s="416"/>
      <c r="K404" s="416"/>
      <c r="L404" s="416"/>
      <c r="M404" s="416"/>
      <c r="N404" s="417"/>
      <c r="O404" s="59"/>
    </row>
    <row r="405" spans="1:15" x14ac:dyDescent="0.2">
      <c r="A405" s="24"/>
      <c r="B405" s="15"/>
      <c r="C405" s="416"/>
      <c r="D405" s="416"/>
      <c r="E405" s="416"/>
      <c r="F405" s="416"/>
      <c r="G405" s="416"/>
      <c r="H405" s="416"/>
      <c r="I405" s="416"/>
      <c r="J405" s="416"/>
      <c r="K405" s="416"/>
      <c r="L405" s="416"/>
      <c r="M405" s="416"/>
      <c r="N405" s="417"/>
      <c r="O405" s="59"/>
    </row>
    <row r="406" spans="1:15" x14ac:dyDescent="0.2">
      <c r="A406" s="24"/>
      <c r="B406" s="15"/>
      <c r="C406" s="419"/>
      <c r="D406" s="419"/>
      <c r="E406" s="419"/>
      <c r="F406" s="419"/>
      <c r="G406" s="419"/>
      <c r="H406" s="419"/>
      <c r="I406" s="419"/>
      <c r="J406" s="419"/>
      <c r="K406" s="419"/>
      <c r="L406" s="419"/>
      <c r="M406" s="419"/>
      <c r="N406" s="420"/>
      <c r="O406" s="59"/>
    </row>
    <row r="407" spans="1:15" x14ac:dyDescent="0.2">
      <c r="A407" s="24"/>
      <c r="B407" s="26" t="s">
        <v>426</v>
      </c>
      <c r="C407" s="15" t="s">
        <v>539</v>
      </c>
      <c r="D407" s="15"/>
      <c r="E407" s="16"/>
      <c r="F407" s="16"/>
      <c r="G407" s="16"/>
      <c r="H407" s="15"/>
      <c r="I407" s="16"/>
      <c r="J407" s="16"/>
      <c r="K407" s="16"/>
      <c r="L407" s="16"/>
      <c r="M407" s="16"/>
      <c r="N407" s="27"/>
      <c r="O407" s="59"/>
    </row>
    <row r="408" spans="1:15" ht="13.5" thickBot="1" x14ac:dyDescent="0.25">
      <c r="A408" s="28"/>
      <c r="B408" s="26" t="s">
        <v>430</v>
      </c>
      <c r="C408" s="29"/>
      <c r="D408" s="29"/>
      <c r="E408" s="30"/>
      <c r="F408" s="30"/>
      <c r="G408" s="30"/>
      <c r="H408" s="30"/>
      <c r="I408" s="30"/>
      <c r="J408" s="30"/>
      <c r="K408" s="30"/>
      <c r="L408" s="30"/>
      <c r="M408" s="30"/>
      <c r="N408" s="31"/>
      <c r="O408" s="59"/>
    </row>
    <row r="409" spans="1:15" x14ac:dyDescent="0.2">
      <c r="A409" s="20"/>
      <c r="B409" s="21" t="s">
        <v>263</v>
      </c>
      <c r="C409" s="21"/>
      <c r="D409" s="21"/>
      <c r="E409" s="22"/>
      <c r="F409" s="22"/>
      <c r="G409" s="22"/>
      <c r="H409" s="22"/>
      <c r="I409" s="22"/>
      <c r="J409" s="33" t="s">
        <v>2138</v>
      </c>
      <c r="K409" s="33" t="s">
        <v>2140</v>
      </c>
      <c r="L409" s="33" t="s">
        <v>2141</v>
      </c>
      <c r="M409" s="33"/>
      <c r="N409" s="33"/>
      <c r="O409" s="59"/>
    </row>
    <row r="410" spans="1:15" ht="13.5" thickBot="1" x14ac:dyDescent="0.25">
      <c r="A410" s="24"/>
      <c r="B410" s="15"/>
      <c r="C410" s="15"/>
      <c r="D410" s="15"/>
      <c r="E410" s="16"/>
      <c r="F410" s="16"/>
      <c r="G410" s="16"/>
      <c r="H410" s="16"/>
      <c r="I410" s="16"/>
      <c r="J410" s="36" t="s">
        <v>2139</v>
      </c>
      <c r="K410" s="36" t="s">
        <v>1575</v>
      </c>
      <c r="L410" s="36" t="s">
        <v>510</v>
      </c>
      <c r="M410" s="36" t="s">
        <v>2142</v>
      </c>
      <c r="N410" s="36" t="s">
        <v>2143</v>
      </c>
      <c r="O410" s="59"/>
    </row>
    <row r="411" spans="1:15" x14ac:dyDescent="0.2">
      <c r="A411" s="20"/>
      <c r="B411" s="412" t="s">
        <v>67</v>
      </c>
      <c r="C411" s="412"/>
      <c r="D411" s="412"/>
      <c r="E411" s="22"/>
      <c r="F411" s="22" t="s">
        <v>1180</v>
      </c>
      <c r="G411" s="22" t="s">
        <v>1484</v>
      </c>
      <c r="H411" s="22" t="s">
        <v>702</v>
      </c>
      <c r="I411" s="22"/>
      <c r="J411" s="66">
        <f>84/ATHENS!O1*ATHENS!O2</f>
        <v>171.42857142857144</v>
      </c>
      <c r="K411" s="66">
        <f>114.5/ATHENS!O1*ATHENS!O2</f>
        <v>233.67346938775512</v>
      </c>
      <c r="L411" s="66">
        <f>143.5/ATHENS!O1*ATHENS!O2</f>
        <v>292.85714285714289</v>
      </c>
      <c r="M411" s="66">
        <f>199.6/ATHENS!O1*ATHENS!O2</f>
        <v>407.34693877551018</v>
      </c>
      <c r="N411" s="38">
        <f>220/ATHENS!O1*ATHENS!O2</f>
        <v>448.9795918367347</v>
      </c>
      <c r="O411" s="59"/>
    </row>
    <row r="412" spans="1:15" x14ac:dyDescent="0.2">
      <c r="A412" s="24"/>
      <c r="B412" s="411" t="s">
        <v>67</v>
      </c>
      <c r="C412" s="411"/>
      <c r="D412" s="411"/>
      <c r="E412" s="16"/>
      <c r="F412" s="16" t="s">
        <v>1181</v>
      </c>
      <c r="G412" s="16" t="s">
        <v>1484</v>
      </c>
      <c r="H412" s="16" t="s">
        <v>702</v>
      </c>
      <c r="I412" s="16"/>
      <c r="J412" s="66">
        <f>42/ATHENS!O1*ATHENS!O2</f>
        <v>85.714285714285722</v>
      </c>
      <c r="K412" s="66">
        <f>57.5/ATHENS!O1*ATHENS!O2</f>
        <v>117.34693877551021</v>
      </c>
      <c r="L412" s="66">
        <f>71.5/ATHENS!O1*ATHENS!O2</f>
        <v>145.91836734693877</v>
      </c>
      <c r="M412" s="66">
        <f>99.8/ATHENS!O1*ATHENS!O2</f>
        <v>203.67346938775509</v>
      </c>
      <c r="N412" s="40">
        <f>110/ATHENS!O1*ATHENS!O2</f>
        <v>224.48979591836735</v>
      </c>
      <c r="O412" s="59"/>
    </row>
    <row r="413" spans="1:15" ht="13.5" thickBot="1" x14ac:dyDescent="0.25">
      <c r="A413" s="28"/>
      <c r="B413" s="418" t="s">
        <v>1446</v>
      </c>
      <c r="C413" s="418"/>
      <c r="D413" s="418"/>
      <c r="E413" s="30"/>
      <c r="F413" s="30"/>
      <c r="G413" s="30"/>
      <c r="H413" s="30"/>
      <c r="I413" s="30"/>
      <c r="J413" s="67">
        <f>22/ATHENS!O1*ATHENS!O2</f>
        <v>44.897959183673471</v>
      </c>
      <c r="K413" s="67">
        <f>22/ATHENS!O1*ATHENS!O2</f>
        <v>44.897959183673471</v>
      </c>
      <c r="L413" s="67">
        <f>22/ATHENS!O1*ATHENS!O2</f>
        <v>44.897959183673471</v>
      </c>
      <c r="M413" s="67">
        <f>22/ATHENS!O1*ATHENS!O2</f>
        <v>44.897959183673471</v>
      </c>
      <c r="N413" s="42">
        <f>22/ATHENS!O1*ATHENS!O2</f>
        <v>44.897959183673471</v>
      </c>
      <c r="O413" s="59"/>
    </row>
    <row r="414" spans="1:15" x14ac:dyDescent="0.2">
      <c r="A414" s="14"/>
      <c r="B414" s="15"/>
      <c r="C414" s="15"/>
      <c r="D414" s="15"/>
      <c r="E414" s="16"/>
      <c r="F414" s="16"/>
      <c r="G414" s="16"/>
      <c r="H414" s="16"/>
      <c r="I414" s="16"/>
      <c r="J414" s="68"/>
      <c r="K414" s="68"/>
      <c r="L414" s="68"/>
      <c r="M414" s="68"/>
      <c r="N414" s="47"/>
      <c r="O414" s="59"/>
    </row>
    <row r="415" spans="1:15" x14ac:dyDescent="0.2">
      <c r="A415" s="14"/>
      <c r="B415" s="15"/>
      <c r="C415" s="15"/>
      <c r="D415" s="15"/>
      <c r="E415" s="16"/>
      <c r="F415" s="16"/>
      <c r="G415" s="16"/>
      <c r="H415" s="16"/>
      <c r="I415" s="16"/>
      <c r="J415" s="68"/>
      <c r="K415" s="68"/>
      <c r="L415" s="68"/>
      <c r="M415" s="68"/>
      <c r="N415" s="47"/>
      <c r="O415" s="59"/>
    </row>
    <row r="416" spans="1:15" x14ac:dyDescent="0.2">
      <c r="A416" s="14"/>
      <c r="B416" s="15"/>
      <c r="C416" s="15"/>
      <c r="D416" s="15"/>
      <c r="E416" s="16"/>
      <c r="F416" s="16"/>
      <c r="G416" s="16"/>
      <c r="H416" s="16"/>
      <c r="I416" s="16"/>
      <c r="J416" s="68"/>
      <c r="K416" s="68"/>
      <c r="L416" s="68"/>
      <c r="M416" s="68"/>
      <c r="N416" s="47"/>
      <c r="O416" s="59"/>
    </row>
    <row r="417" spans="1:15" x14ac:dyDescent="0.2">
      <c r="A417" s="14"/>
      <c r="B417" s="15"/>
      <c r="C417" s="15"/>
      <c r="D417" s="15"/>
      <c r="E417" s="16"/>
      <c r="F417" s="16"/>
      <c r="G417" s="16"/>
      <c r="H417" s="16"/>
      <c r="I417" s="16"/>
      <c r="J417" s="68"/>
      <c r="K417" s="68"/>
      <c r="L417" s="68"/>
      <c r="M417" s="68"/>
      <c r="N417" s="47"/>
      <c r="O417" s="59"/>
    </row>
    <row r="418" spans="1:15" x14ac:dyDescent="0.2">
      <c r="A418" s="14"/>
      <c r="B418" s="15"/>
      <c r="C418" s="15"/>
      <c r="D418" s="15"/>
      <c r="E418" s="16"/>
      <c r="F418" s="16"/>
      <c r="G418" s="16"/>
      <c r="H418" s="16"/>
      <c r="I418" s="16"/>
      <c r="J418" s="68"/>
      <c r="K418" s="68"/>
      <c r="L418" s="68"/>
      <c r="M418" s="68"/>
      <c r="N418" s="47"/>
      <c r="O418" s="59"/>
    </row>
    <row r="419" spans="1:15" x14ac:dyDescent="0.2">
      <c r="A419" s="14"/>
      <c r="B419" s="15"/>
      <c r="C419" s="15"/>
      <c r="D419" s="15"/>
      <c r="E419" s="16"/>
      <c r="F419" s="16"/>
      <c r="G419" s="16"/>
      <c r="H419" s="16"/>
      <c r="I419" s="16"/>
      <c r="J419" s="68"/>
      <c r="K419" s="68"/>
      <c r="L419" s="68"/>
      <c r="M419" s="68"/>
      <c r="N419" s="47"/>
      <c r="O419" s="59"/>
    </row>
    <row r="420" spans="1:15" x14ac:dyDescent="0.2">
      <c r="A420" s="14"/>
      <c r="B420" s="15"/>
      <c r="C420" s="15"/>
      <c r="D420" s="15"/>
      <c r="E420" s="16"/>
      <c r="F420" s="16"/>
      <c r="G420" s="16"/>
      <c r="H420" s="16"/>
      <c r="I420" s="16"/>
      <c r="J420" s="68"/>
      <c r="K420" s="68"/>
      <c r="L420" s="68"/>
      <c r="M420" s="68"/>
      <c r="N420" s="47"/>
      <c r="O420" s="59"/>
    </row>
    <row r="421" spans="1:15" x14ac:dyDescent="0.2">
      <c r="A421" s="14"/>
      <c r="B421" s="15"/>
      <c r="C421" s="15"/>
      <c r="D421" s="15"/>
      <c r="E421" s="16"/>
      <c r="F421" s="16"/>
      <c r="G421" s="16"/>
      <c r="H421" s="16"/>
      <c r="I421" s="16"/>
      <c r="J421" s="68"/>
      <c r="K421" s="68"/>
      <c r="L421" s="68"/>
      <c r="M421" s="68"/>
      <c r="N421" s="47"/>
      <c r="O421" s="59"/>
    </row>
    <row r="422" spans="1:15" x14ac:dyDescent="0.2">
      <c r="A422" s="14"/>
      <c r="B422" s="15"/>
      <c r="C422" s="15"/>
      <c r="D422" s="15"/>
      <c r="E422" s="16"/>
      <c r="F422" s="16"/>
      <c r="G422" s="16"/>
      <c r="H422" s="16"/>
      <c r="I422" s="16"/>
      <c r="J422" s="16"/>
      <c r="K422" s="16"/>
      <c r="L422" s="16"/>
      <c r="M422" s="16"/>
      <c r="N422" s="16"/>
    </row>
    <row r="427" spans="1:15" ht="13.5" thickBot="1" x14ac:dyDescent="0.25">
      <c r="A427" s="14"/>
      <c r="B427" s="15"/>
      <c r="C427" s="15"/>
      <c r="D427" s="15"/>
      <c r="E427" s="16"/>
      <c r="F427" s="16"/>
      <c r="G427" s="16"/>
      <c r="H427" s="16"/>
      <c r="I427" s="16"/>
      <c r="J427" s="16"/>
      <c r="K427" s="16"/>
      <c r="L427" s="16"/>
      <c r="M427" s="16"/>
      <c r="N427" s="16"/>
    </row>
    <row r="428" spans="1:15" x14ac:dyDescent="0.2">
      <c r="A428" s="20"/>
      <c r="B428" s="21"/>
      <c r="C428" s="21"/>
      <c r="D428" s="21"/>
      <c r="E428" s="22"/>
      <c r="F428" s="22"/>
      <c r="G428" s="22"/>
      <c r="H428" s="22"/>
      <c r="I428" s="22"/>
      <c r="J428" s="22"/>
      <c r="K428" s="22"/>
      <c r="L428" s="22"/>
      <c r="M428" s="22"/>
      <c r="N428" s="23"/>
    </row>
    <row r="429" spans="1:15" ht="15" x14ac:dyDescent="0.2">
      <c r="A429" s="24"/>
      <c r="B429" s="413" t="s">
        <v>564</v>
      </c>
      <c r="C429" s="414"/>
      <c r="D429" s="414"/>
      <c r="E429" s="414"/>
      <c r="F429" s="414"/>
      <c r="G429" s="414"/>
      <c r="H429" s="414"/>
      <c r="I429" s="414"/>
      <c r="J429" s="414"/>
      <c r="K429" s="414"/>
      <c r="L429" s="414"/>
      <c r="M429" s="415"/>
      <c r="N429" s="25" t="s">
        <v>1103</v>
      </c>
    </row>
    <row r="430" spans="1:15" x14ac:dyDescent="0.2">
      <c r="A430" s="24"/>
      <c r="B430" s="26" t="s">
        <v>428</v>
      </c>
      <c r="C430" s="15" t="s">
        <v>449</v>
      </c>
      <c r="D430" s="15"/>
      <c r="E430" s="16"/>
      <c r="F430" s="16"/>
      <c r="G430" s="16"/>
      <c r="H430" s="16"/>
      <c r="I430" s="16"/>
      <c r="J430" s="16"/>
      <c r="K430" s="16"/>
      <c r="L430" s="16"/>
      <c r="M430" s="16"/>
      <c r="N430" s="27"/>
    </row>
    <row r="431" spans="1:15" x14ac:dyDescent="0.2">
      <c r="A431" s="24"/>
      <c r="B431" s="26" t="s">
        <v>429</v>
      </c>
      <c r="C431" s="15" t="s">
        <v>795</v>
      </c>
      <c r="D431" s="15"/>
      <c r="E431" s="16"/>
      <c r="F431" s="16"/>
      <c r="G431" s="16"/>
      <c r="H431" s="16"/>
      <c r="I431" s="16"/>
      <c r="J431" s="16"/>
      <c r="K431" s="16"/>
      <c r="L431" s="16"/>
      <c r="M431" s="16"/>
      <c r="N431" s="27"/>
    </row>
    <row r="432" spans="1:15" x14ac:dyDescent="0.2">
      <c r="A432" s="24"/>
      <c r="B432" s="26" t="s">
        <v>427</v>
      </c>
      <c r="C432" s="409" t="s">
        <v>1277</v>
      </c>
      <c r="D432" s="409"/>
      <c r="E432" s="409"/>
      <c r="F432" s="409"/>
      <c r="G432" s="409"/>
      <c r="H432" s="409"/>
      <c r="I432" s="409"/>
      <c r="J432" s="409"/>
      <c r="K432" s="409"/>
      <c r="L432" s="409"/>
      <c r="M432" s="409"/>
      <c r="N432" s="410"/>
    </row>
    <row r="433" spans="1:14" x14ac:dyDescent="0.2">
      <c r="A433" s="24"/>
      <c r="B433" s="15"/>
      <c r="C433" s="409"/>
      <c r="D433" s="409"/>
      <c r="E433" s="409"/>
      <c r="F433" s="409"/>
      <c r="G433" s="409"/>
      <c r="H433" s="409"/>
      <c r="I433" s="409"/>
      <c r="J433" s="409"/>
      <c r="K433" s="409"/>
      <c r="L433" s="409"/>
      <c r="M433" s="409"/>
      <c r="N433" s="410"/>
    </row>
    <row r="434" spans="1:14" x14ac:dyDescent="0.2">
      <c r="A434" s="24"/>
      <c r="B434" s="15"/>
      <c r="C434" s="421"/>
      <c r="D434" s="421"/>
      <c r="E434" s="421"/>
      <c r="F434" s="421"/>
      <c r="G434" s="421"/>
      <c r="H434" s="421"/>
      <c r="I434" s="421"/>
      <c r="J434" s="421"/>
      <c r="K434" s="421"/>
      <c r="L434" s="421"/>
      <c r="M434" s="421"/>
      <c r="N434" s="422"/>
    </row>
    <row r="435" spans="1:14" x14ac:dyDescent="0.2">
      <c r="A435" s="24"/>
      <c r="B435" s="15"/>
      <c r="C435" s="421"/>
      <c r="D435" s="421"/>
      <c r="E435" s="421"/>
      <c r="F435" s="421"/>
      <c r="G435" s="421"/>
      <c r="H435" s="421"/>
      <c r="I435" s="421"/>
      <c r="J435" s="421"/>
      <c r="K435" s="421"/>
      <c r="L435" s="421"/>
      <c r="M435" s="421"/>
      <c r="N435" s="422"/>
    </row>
    <row r="436" spans="1:14" x14ac:dyDescent="0.2">
      <c r="A436" s="24"/>
      <c r="B436" s="26" t="s">
        <v>426</v>
      </c>
      <c r="C436" s="15"/>
      <c r="D436" s="15"/>
      <c r="E436" s="16"/>
      <c r="F436" s="16"/>
      <c r="G436" s="16"/>
      <c r="H436" s="16"/>
      <c r="I436" s="16"/>
      <c r="J436" s="16"/>
      <c r="K436" s="16"/>
      <c r="L436" s="16"/>
      <c r="M436" s="16"/>
      <c r="N436" s="27"/>
    </row>
    <row r="437" spans="1:14" ht="13.5" thickBot="1" x14ac:dyDescent="0.25">
      <c r="A437" s="28"/>
      <c r="B437" s="43" t="s">
        <v>430</v>
      </c>
      <c r="C437" s="29"/>
      <c r="D437" s="29"/>
      <c r="E437" s="30"/>
      <c r="F437" s="30"/>
      <c r="G437" s="30"/>
      <c r="H437" s="30"/>
      <c r="I437" s="30"/>
      <c r="J437" s="30"/>
      <c r="K437" s="30"/>
      <c r="L437" s="30"/>
      <c r="M437" s="30"/>
      <c r="N437" s="31"/>
    </row>
    <row r="438" spans="1:14" x14ac:dyDescent="0.2">
      <c r="A438" s="20"/>
      <c r="B438" s="21" t="s">
        <v>263</v>
      </c>
      <c r="C438" s="21"/>
      <c r="D438" s="21"/>
      <c r="E438" s="22"/>
      <c r="F438" s="22"/>
      <c r="G438" s="22"/>
      <c r="H438" s="22"/>
      <c r="I438" s="22"/>
      <c r="J438" s="33" t="s">
        <v>339</v>
      </c>
      <c r="K438" s="33" t="s">
        <v>2145</v>
      </c>
      <c r="L438" s="33"/>
      <c r="M438" s="33"/>
      <c r="N438" s="33"/>
    </row>
    <row r="439" spans="1:14" ht="13.5" thickBot="1" x14ac:dyDescent="0.25">
      <c r="A439" s="28"/>
      <c r="B439" s="29"/>
      <c r="C439" s="29"/>
      <c r="D439" s="29"/>
      <c r="E439" s="30"/>
      <c r="F439" s="30"/>
      <c r="G439" s="30"/>
      <c r="H439" s="30"/>
      <c r="I439" s="30"/>
      <c r="J439" s="36" t="s">
        <v>348</v>
      </c>
      <c r="K439" s="36" t="s">
        <v>2146</v>
      </c>
      <c r="L439" s="36" t="s">
        <v>1405</v>
      </c>
      <c r="M439" s="36" t="s">
        <v>1426</v>
      </c>
      <c r="N439" s="36"/>
    </row>
    <row r="440" spans="1:14" x14ac:dyDescent="0.2">
      <c r="A440" s="20"/>
      <c r="B440" s="412" t="s">
        <v>67</v>
      </c>
      <c r="C440" s="412"/>
      <c r="D440" s="412"/>
      <c r="E440" s="22"/>
      <c r="F440" s="22" t="s">
        <v>1180</v>
      </c>
      <c r="G440" s="22" t="s">
        <v>1484</v>
      </c>
      <c r="H440" s="22" t="s">
        <v>702</v>
      </c>
      <c r="I440" s="22"/>
      <c r="J440" s="38">
        <f>72/ATHENS!O1*ATHENS!O2</f>
        <v>146.9387755102041</v>
      </c>
      <c r="K440" s="38">
        <f>95/ATHENS!O1*ATHENS!O2</f>
        <v>193.87755102040816</v>
      </c>
      <c r="L440" s="38">
        <f>146/ATHENS!O1*ATHENS!O2</f>
        <v>297.9591836734694</v>
      </c>
      <c r="M440" s="38">
        <f>116/ATHENS!O1*ATHENS!O2</f>
        <v>236.73469387755102</v>
      </c>
      <c r="N440" s="38"/>
    </row>
    <row r="441" spans="1:14" x14ac:dyDescent="0.2">
      <c r="A441" s="24"/>
      <c r="B441" s="411" t="s">
        <v>67</v>
      </c>
      <c r="C441" s="411"/>
      <c r="D441" s="411"/>
      <c r="E441" s="16"/>
      <c r="F441" s="16" t="s">
        <v>1181</v>
      </c>
      <c r="G441" s="16" t="s">
        <v>1484</v>
      </c>
      <c r="H441" s="16" t="s">
        <v>702</v>
      </c>
      <c r="I441" s="16"/>
      <c r="J441" s="66">
        <f>39.5/ATHENS!O1*ATHENS!O2</f>
        <v>80.612244897959187</v>
      </c>
      <c r="K441" s="66">
        <f>51.5/ATHENS!O1*ATHENS!O2</f>
        <v>105.10204081632654</v>
      </c>
      <c r="L441" s="66">
        <f>158.8/ATHENS!O1*ATHENS!O2</f>
        <v>324.08163265306126</v>
      </c>
      <c r="M441" s="66">
        <f>63.5/ATHENS!O1*ATHENS!O2</f>
        <v>129.59183673469389</v>
      </c>
      <c r="N441" s="40"/>
    </row>
    <row r="442" spans="1:14" ht="13.5" thickBot="1" x14ac:dyDescent="0.25">
      <c r="A442" s="28"/>
      <c r="B442" s="418" t="s">
        <v>67</v>
      </c>
      <c r="C442" s="418"/>
      <c r="D442" s="418"/>
      <c r="E442" s="30"/>
      <c r="F442" s="30" t="s">
        <v>1182</v>
      </c>
      <c r="G442" s="30" t="s">
        <v>1484</v>
      </c>
      <c r="H442" s="30" t="s">
        <v>702</v>
      </c>
      <c r="I442" s="30"/>
      <c r="J442" s="67">
        <f>36/ATHENS!O1*ATHENS!O2</f>
        <v>73.469387755102048</v>
      </c>
      <c r="K442" s="67">
        <f>46.8/ATHENS!O1*ATHENS!O2</f>
        <v>95.510204081632651</v>
      </c>
      <c r="L442" s="67">
        <f>143.5/ATHENS!O1*ATHENS!O2</f>
        <v>292.85714285714289</v>
      </c>
      <c r="M442" s="67">
        <f>57.6/ATHENS!O1*ATHENS!O2</f>
        <v>117.55102040816327</v>
      </c>
      <c r="N442" s="42"/>
    </row>
    <row r="443" spans="1:14" ht="13.5" thickBot="1" x14ac:dyDescent="0.25">
      <c r="A443" s="14"/>
      <c r="B443" s="15"/>
      <c r="C443" s="15"/>
      <c r="D443" s="15"/>
      <c r="E443" s="16"/>
      <c r="F443" s="16"/>
      <c r="G443" s="16"/>
      <c r="H443" s="16"/>
      <c r="I443" s="16"/>
      <c r="J443" s="68"/>
      <c r="K443" s="68"/>
      <c r="L443" s="68"/>
      <c r="M443" s="68"/>
      <c r="N443" s="47"/>
    </row>
    <row r="444" spans="1:14" x14ac:dyDescent="0.2">
      <c r="A444" s="20"/>
      <c r="B444" s="21"/>
      <c r="C444" s="21"/>
      <c r="D444" s="21"/>
      <c r="E444" s="22"/>
      <c r="F444" s="22"/>
      <c r="G444" s="22"/>
      <c r="H444" s="22"/>
      <c r="I444" s="22"/>
      <c r="J444" s="22"/>
      <c r="K444" s="22"/>
      <c r="L444" s="22"/>
      <c r="M444" s="22"/>
      <c r="N444" s="23"/>
    </row>
    <row r="445" spans="1:14" ht="15" x14ac:dyDescent="0.2">
      <c r="A445" s="24"/>
      <c r="B445" s="413" t="s">
        <v>364</v>
      </c>
      <c r="C445" s="414"/>
      <c r="D445" s="414"/>
      <c r="E445" s="414"/>
      <c r="F445" s="414"/>
      <c r="G445" s="414"/>
      <c r="H445" s="414"/>
      <c r="I445" s="414"/>
      <c r="J445" s="414"/>
      <c r="K445" s="414"/>
      <c r="L445" s="414"/>
      <c r="M445" s="415"/>
      <c r="N445" s="25" t="s">
        <v>1101</v>
      </c>
    </row>
    <row r="446" spans="1:14" x14ac:dyDescent="0.2">
      <c r="A446" s="24"/>
      <c r="B446" s="26" t="s">
        <v>428</v>
      </c>
      <c r="C446" s="15" t="s">
        <v>738</v>
      </c>
      <c r="D446" s="15"/>
      <c r="E446" s="16"/>
      <c r="F446" s="16"/>
      <c r="G446" s="16"/>
      <c r="H446" s="16"/>
      <c r="I446" s="16"/>
      <c r="J446" s="16"/>
      <c r="K446" s="16"/>
      <c r="L446" s="16"/>
      <c r="M446" s="16"/>
      <c r="N446" s="27"/>
    </row>
    <row r="447" spans="1:14" x14ac:dyDescent="0.2">
      <c r="A447" s="24"/>
      <c r="B447" s="26" t="s">
        <v>429</v>
      </c>
      <c r="C447" s="15" t="s">
        <v>897</v>
      </c>
      <c r="D447" s="15"/>
      <c r="E447" s="16"/>
      <c r="F447" s="16"/>
      <c r="G447" s="16"/>
      <c r="H447" s="16"/>
      <c r="I447" s="16"/>
      <c r="J447" s="16"/>
      <c r="K447" s="16"/>
      <c r="L447" s="16"/>
      <c r="M447" s="16"/>
      <c r="N447" s="27"/>
    </row>
    <row r="448" spans="1:14" x14ac:dyDescent="0.2">
      <c r="A448" s="24"/>
      <c r="B448" s="26" t="s">
        <v>427</v>
      </c>
      <c r="C448" s="416" t="s">
        <v>1278</v>
      </c>
      <c r="D448" s="416"/>
      <c r="E448" s="416"/>
      <c r="F448" s="416"/>
      <c r="G448" s="416"/>
      <c r="H448" s="416"/>
      <c r="I448" s="416"/>
      <c r="J448" s="416"/>
      <c r="K448" s="416"/>
      <c r="L448" s="416"/>
      <c r="M448" s="416"/>
      <c r="N448" s="417"/>
    </row>
    <row r="449" spans="1:14" x14ac:dyDescent="0.2">
      <c r="A449" s="24"/>
      <c r="B449" s="15"/>
      <c r="C449" s="416"/>
      <c r="D449" s="416"/>
      <c r="E449" s="416"/>
      <c r="F449" s="416"/>
      <c r="G449" s="416"/>
      <c r="H449" s="416"/>
      <c r="I449" s="416"/>
      <c r="J449" s="416"/>
      <c r="K449" s="416"/>
      <c r="L449" s="416"/>
      <c r="M449" s="416"/>
      <c r="N449" s="417"/>
    </row>
    <row r="450" spans="1:14" x14ac:dyDescent="0.2">
      <c r="A450" s="24"/>
      <c r="B450" s="26" t="s">
        <v>426</v>
      </c>
      <c r="C450" s="15" t="s">
        <v>365</v>
      </c>
      <c r="D450" s="15"/>
      <c r="E450" s="16"/>
      <c r="F450" s="16"/>
      <c r="G450" s="16"/>
      <c r="H450" s="15"/>
      <c r="I450" s="16"/>
      <c r="J450" s="16"/>
      <c r="K450" s="16"/>
      <c r="L450" s="16"/>
      <c r="M450" s="16"/>
      <c r="N450" s="27"/>
    </row>
    <row r="451" spans="1:14" ht="13.5" thickBot="1" x14ac:dyDescent="0.25">
      <c r="A451" s="28"/>
      <c r="B451" s="26" t="s">
        <v>430</v>
      </c>
      <c r="C451" s="29" t="s">
        <v>900</v>
      </c>
      <c r="D451" s="29"/>
      <c r="E451" s="30"/>
      <c r="F451" s="30"/>
      <c r="G451" s="30"/>
      <c r="H451" s="30"/>
      <c r="I451" s="30"/>
      <c r="J451" s="30"/>
      <c r="K451" s="30"/>
      <c r="L451" s="30"/>
      <c r="M451" s="30"/>
      <c r="N451" s="31"/>
    </row>
    <row r="452" spans="1:14" x14ac:dyDescent="0.2">
      <c r="A452" s="20"/>
      <c r="B452" s="21" t="s">
        <v>263</v>
      </c>
      <c r="C452" s="21"/>
      <c r="D452" s="21"/>
      <c r="E452" s="22"/>
      <c r="F452" s="22"/>
      <c r="G452" s="22"/>
      <c r="H452" s="22"/>
      <c r="I452" s="22"/>
      <c r="J452" s="32" t="s">
        <v>2144</v>
      </c>
      <c r="K452" s="33"/>
      <c r="L452" s="33"/>
      <c r="M452" s="33"/>
      <c r="N452" s="33"/>
    </row>
    <row r="453" spans="1:14" ht="13.5" thickBot="1" x14ac:dyDescent="0.25">
      <c r="A453" s="28"/>
      <c r="B453" s="15"/>
      <c r="C453" s="29"/>
      <c r="D453" s="29"/>
      <c r="E453" s="30"/>
      <c r="F453" s="30"/>
      <c r="G453" s="30"/>
      <c r="H453" s="30"/>
      <c r="I453" s="30"/>
      <c r="J453" s="44" t="s">
        <v>481</v>
      </c>
      <c r="K453" s="36" t="s">
        <v>1581</v>
      </c>
      <c r="L453" s="36"/>
      <c r="M453" s="36"/>
      <c r="N453" s="36"/>
    </row>
    <row r="454" spans="1:14" x14ac:dyDescent="0.2">
      <c r="A454" s="20"/>
      <c r="B454" s="412" t="s">
        <v>67</v>
      </c>
      <c r="C454" s="412"/>
      <c r="D454" s="412"/>
      <c r="E454" s="22"/>
      <c r="F454" s="22" t="s">
        <v>1180</v>
      </c>
      <c r="G454" s="22" t="s">
        <v>68</v>
      </c>
      <c r="H454" s="22" t="s">
        <v>702</v>
      </c>
      <c r="I454" s="22"/>
      <c r="J454" s="65">
        <f>135.5/ATHENS!O1*ATHENS!O2</f>
        <v>276.53061224489795</v>
      </c>
      <c r="K454" s="65">
        <f>146.5/ATHENS!O1*ATHENS!O2</f>
        <v>298.9795918367347</v>
      </c>
      <c r="L454" s="68"/>
      <c r="M454" s="38"/>
      <c r="N454" s="38"/>
    </row>
    <row r="455" spans="1:14" x14ac:dyDescent="0.2">
      <c r="A455" s="24"/>
      <c r="B455" s="411" t="s">
        <v>67</v>
      </c>
      <c r="C455" s="411"/>
      <c r="D455" s="411"/>
      <c r="E455" s="16"/>
      <c r="F455" s="16" t="s">
        <v>1181</v>
      </c>
      <c r="G455" s="16" t="s">
        <v>68</v>
      </c>
      <c r="H455" s="16" t="s">
        <v>702</v>
      </c>
      <c r="I455" s="16"/>
      <c r="J455" s="66">
        <f>76.5/ATHENS!O1*ATHENS!O2</f>
        <v>156.12244897959184</v>
      </c>
      <c r="K455" s="66">
        <f>80.8/ATHENS!O1*ATHENS!O2</f>
        <v>164.89795918367346</v>
      </c>
      <c r="L455" s="66"/>
      <c r="M455" s="40"/>
      <c r="N455" s="40"/>
    </row>
    <row r="456" spans="1:14" ht="13.5" thickBot="1" x14ac:dyDescent="0.25">
      <c r="A456" s="28"/>
      <c r="B456" s="418" t="s">
        <v>901</v>
      </c>
      <c r="C456" s="418"/>
      <c r="D456" s="418"/>
      <c r="E456" s="30"/>
      <c r="F456" s="30" t="s">
        <v>518</v>
      </c>
      <c r="G456" s="30" t="s">
        <v>68</v>
      </c>
      <c r="H456" s="30" t="s">
        <v>702</v>
      </c>
      <c r="I456" s="30"/>
      <c r="J456" s="67">
        <f>104.9/ATHENS!O1*ATHENS!O2</f>
        <v>214.08163265306123</v>
      </c>
      <c r="K456" s="67">
        <f>108.5/ATHENS!O1*ATHENS!O2</f>
        <v>221.42857142857144</v>
      </c>
      <c r="L456" s="67"/>
      <c r="M456" s="42"/>
      <c r="N456" s="42"/>
    </row>
    <row r="457" spans="1:14" ht="13.5" thickBot="1" x14ac:dyDescent="0.25">
      <c r="A457" s="14"/>
      <c r="B457" s="15"/>
      <c r="C457" s="15"/>
      <c r="D457" s="15"/>
      <c r="E457" s="16"/>
      <c r="F457" s="16"/>
      <c r="G457" s="16"/>
      <c r="H457" s="16"/>
      <c r="I457" s="16"/>
      <c r="J457" s="68"/>
      <c r="K457" s="68"/>
      <c r="L457" s="68"/>
      <c r="M457" s="68"/>
      <c r="N457" s="47"/>
    </row>
    <row r="458" spans="1:14" x14ac:dyDescent="0.2">
      <c r="A458" s="20"/>
      <c r="B458" s="21"/>
      <c r="C458" s="21"/>
      <c r="D458" s="21"/>
      <c r="E458" s="22"/>
      <c r="F458" s="22"/>
      <c r="G458" s="22"/>
      <c r="H458" s="22"/>
      <c r="I458" s="22"/>
      <c r="J458" s="22"/>
      <c r="K458" s="22"/>
      <c r="L458" s="22"/>
      <c r="M458" s="22"/>
      <c r="N458" s="23"/>
    </row>
    <row r="459" spans="1:14" ht="15" x14ac:dyDescent="0.2">
      <c r="A459" s="24"/>
      <c r="B459" s="413" t="s">
        <v>540</v>
      </c>
      <c r="C459" s="414"/>
      <c r="D459" s="414"/>
      <c r="E459" s="414"/>
      <c r="F459" s="414"/>
      <c r="G459" s="414"/>
      <c r="H459" s="414"/>
      <c r="I459" s="414"/>
      <c r="J459" s="414"/>
      <c r="K459" s="414"/>
      <c r="L459" s="414"/>
      <c r="M459" s="415"/>
      <c r="N459" s="25" t="s">
        <v>1102</v>
      </c>
    </row>
    <row r="460" spans="1:14" x14ac:dyDescent="0.2">
      <c r="A460" s="24"/>
      <c r="B460" s="26" t="s">
        <v>428</v>
      </c>
      <c r="C460" s="15" t="s">
        <v>541</v>
      </c>
      <c r="D460" s="15"/>
      <c r="E460" s="16"/>
      <c r="F460" s="16"/>
      <c r="G460" s="16"/>
      <c r="H460" s="16"/>
      <c r="I460" s="16"/>
      <c r="J460" s="16"/>
      <c r="K460" s="16"/>
      <c r="L460" s="16"/>
      <c r="M460" s="16"/>
      <c r="N460" s="27"/>
    </row>
    <row r="461" spans="1:14" x14ac:dyDescent="0.2">
      <c r="A461" s="24"/>
      <c r="B461" s="26" t="s">
        <v>429</v>
      </c>
      <c r="C461" s="15" t="s">
        <v>377</v>
      </c>
      <c r="D461" s="15"/>
      <c r="E461" s="16"/>
      <c r="F461" s="16"/>
      <c r="G461" s="16"/>
      <c r="H461" s="16"/>
      <c r="I461" s="16"/>
      <c r="J461" s="16"/>
      <c r="K461" s="16"/>
      <c r="L461" s="16"/>
      <c r="M461" s="16"/>
      <c r="N461" s="27"/>
    </row>
    <row r="462" spans="1:14" x14ac:dyDescent="0.2">
      <c r="A462" s="24"/>
      <c r="B462" s="26" t="s">
        <v>427</v>
      </c>
      <c r="C462" s="409" t="s">
        <v>1279</v>
      </c>
      <c r="D462" s="409"/>
      <c r="E462" s="409"/>
      <c r="F462" s="409"/>
      <c r="G462" s="409"/>
      <c r="H462" s="409"/>
      <c r="I462" s="409"/>
      <c r="J462" s="409"/>
      <c r="K462" s="409"/>
      <c r="L462" s="409"/>
      <c r="M462" s="409"/>
      <c r="N462" s="410"/>
    </row>
    <row r="463" spans="1:14" x14ac:dyDescent="0.2">
      <c r="A463" s="24"/>
      <c r="B463" s="15"/>
      <c r="C463" s="409"/>
      <c r="D463" s="409"/>
      <c r="E463" s="409"/>
      <c r="F463" s="409"/>
      <c r="G463" s="409"/>
      <c r="H463" s="409"/>
      <c r="I463" s="409"/>
      <c r="J463" s="409"/>
      <c r="K463" s="409"/>
      <c r="L463" s="409"/>
      <c r="M463" s="409"/>
      <c r="N463" s="410"/>
    </row>
    <row r="464" spans="1:14" x14ac:dyDescent="0.2">
      <c r="A464" s="24"/>
      <c r="B464" s="15"/>
      <c r="C464" s="421"/>
      <c r="D464" s="421"/>
      <c r="E464" s="421"/>
      <c r="F464" s="421"/>
      <c r="G464" s="421"/>
      <c r="H464" s="421"/>
      <c r="I464" s="421"/>
      <c r="J464" s="421"/>
      <c r="K464" s="421"/>
      <c r="L464" s="421"/>
      <c r="M464" s="421"/>
      <c r="N464" s="422"/>
    </row>
    <row r="465" spans="1:14" x14ac:dyDescent="0.2">
      <c r="A465" s="24"/>
      <c r="B465" s="15"/>
      <c r="C465" s="421"/>
      <c r="D465" s="421"/>
      <c r="E465" s="421"/>
      <c r="F465" s="421"/>
      <c r="G465" s="421"/>
      <c r="H465" s="421"/>
      <c r="I465" s="421"/>
      <c r="J465" s="421"/>
      <c r="K465" s="421"/>
      <c r="L465" s="421"/>
      <c r="M465" s="421"/>
      <c r="N465" s="422"/>
    </row>
    <row r="466" spans="1:14" x14ac:dyDescent="0.2">
      <c r="A466" s="24"/>
      <c r="B466" s="26" t="s">
        <v>426</v>
      </c>
      <c r="C466" s="15" t="s">
        <v>448</v>
      </c>
      <c r="D466" s="15"/>
      <c r="E466" s="16"/>
      <c r="F466" s="16"/>
      <c r="G466" s="16"/>
      <c r="H466" s="16"/>
      <c r="I466" s="16"/>
      <c r="J466" s="16"/>
      <c r="K466" s="16"/>
      <c r="L466" s="16"/>
      <c r="M466" s="16"/>
      <c r="N466" s="27"/>
    </row>
    <row r="467" spans="1:14" ht="13.5" thickBot="1" x14ac:dyDescent="0.25">
      <c r="A467" s="28"/>
      <c r="B467" s="43" t="s">
        <v>430</v>
      </c>
      <c r="C467" s="29"/>
      <c r="D467" s="29"/>
      <c r="E467" s="30"/>
      <c r="F467" s="30"/>
      <c r="G467" s="30"/>
      <c r="H467" s="30"/>
      <c r="I467" s="30"/>
      <c r="J467" s="30"/>
      <c r="K467" s="30"/>
      <c r="L467" s="30"/>
      <c r="M467" s="30"/>
      <c r="N467" s="31"/>
    </row>
    <row r="468" spans="1:14" x14ac:dyDescent="0.2">
      <c r="A468" s="20"/>
      <c r="B468" s="21" t="s">
        <v>263</v>
      </c>
      <c r="C468" s="21"/>
      <c r="D468" s="21"/>
      <c r="E468" s="22"/>
      <c r="F468" s="22"/>
      <c r="G468" s="22"/>
      <c r="H468" s="22"/>
      <c r="I468" s="22"/>
      <c r="J468" s="96" t="s">
        <v>908</v>
      </c>
      <c r="K468" s="46"/>
      <c r="L468" s="46"/>
      <c r="M468" s="33"/>
      <c r="N468" s="33"/>
    </row>
    <row r="469" spans="1:14" ht="13.5" thickBot="1" x14ac:dyDescent="0.25">
      <c r="A469" s="28"/>
      <c r="B469" s="29"/>
      <c r="C469" s="29"/>
      <c r="D469" s="29"/>
      <c r="E469" s="30"/>
      <c r="F469" s="30"/>
      <c r="G469" s="30"/>
      <c r="H469" s="30"/>
      <c r="I469" s="30"/>
      <c r="J469" s="88" t="s">
        <v>481</v>
      </c>
      <c r="K469" s="44" t="s">
        <v>221</v>
      </c>
      <c r="L469" s="44"/>
      <c r="M469" s="36"/>
      <c r="N469" s="36"/>
    </row>
    <row r="470" spans="1:14" x14ac:dyDescent="0.2">
      <c r="A470" s="20"/>
      <c r="B470" s="412" t="s">
        <v>67</v>
      </c>
      <c r="C470" s="412"/>
      <c r="D470" s="412"/>
      <c r="E470" s="22"/>
      <c r="F470" s="22" t="s">
        <v>1180</v>
      </c>
      <c r="G470" s="22" t="s">
        <v>68</v>
      </c>
      <c r="H470" s="22" t="s">
        <v>702</v>
      </c>
      <c r="I470" s="22"/>
      <c r="J470" s="91">
        <f>70.8/ATHENS!O1*ATHENS!O2</f>
        <v>144.48979591836735</v>
      </c>
      <c r="K470" s="89">
        <f>75.5/ATHENS!O1*ATHENS!O2</f>
        <v>154.08163265306123</v>
      </c>
      <c r="L470" s="89"/>
      <c r="M470" s="40"/>
      <c r="N470" s="38"/>
    </row>
    <row r="471" spans="1:14" x14ac:dyDescent="0.2">
      <c r="A471" s="24"/>
      <c r="B471" s="15" t="s">
        <v>67</v>
      </c>
      <c r="C471" s="15"/>
      <c r="D471" s="15"/>
      <c r="E471" s="16"/>
      <c r="F471" s="16" t="s">
        <v>1181</v>
      </c>
      <c r="G471" s="16" t="s">
        <v>68</v>
      </c>
      <c r="H471" s="16" t="s">
        <v>702</v>
      </c>
      <c r="I471" s="16"/>
      <c r="J471" s="91">
        <f>41.5/ATHENS!O1*ATHENS!O2</f>
        <v>84.693877551020407</v>
      </c>
      <c r="K471" s="89">
        <f>44.5/ATHENS!O1*ATHENS!O2</f>
        <v>90.816326530612244</v>
      </c>
      <c r="L471" s="89"/>
      <c r="M471" s="40"/>
      <c r="N471" s="40"/>
    </row>
    <row r="472" spans="1:14" ht="13.5" thickBot="1" x14ac:dyDescent="0.25">
      <c r="A472" s="28"/>
      <c r="B472" s="418" t="s">
        <v>227</v>
      </c>
      <c r="C472" s="418"/>
      <c r="D472" s="418"/>
      <c r="E472" s="30"/>
      <c r="F472" s="30" t="s">
        <v>1181</v>
      </c>
      <c r="G472" s="30" t="s">
        <v>68</v>
      </c>
      <c r="H472" s="30" t="s">
        <v>702</v>
      </c>
      <c r="I472" s="30"/>
      <c r="J472" s="94">
        <f>49.5/ATHENS!O1*ATHENS!O2</f>
        <v>101.0204081632653</v>
      </c>
      <c r="K472" s="94">
        <f>53.5/ATHENS!O1*ATHENS!O2</f>
        <v>109.18367346938776</v>
      </c>
      <c r="L472" s="94"/>
      <c r="M472" s="42"/>
      <c r="N472" s="42"/>
    </row>
    <row r="473" spans="1:14" x14ac:dyDescent="0.2">
      <c r="A473" s="14"/>
      <c r="B473" s="15"/>
      <c r="C473" s="15"/>
      <c r="D473" s="15"/>
      <c r="E473" s="16"/>
      <c r="F473" s="16"/>
      <c r="G473" s="16"/>
      <c r="H473" s="16"/>
      <c r="I473" s="16"/>
      <c r="J473" s="68"/>
      <c r="K473" s="68"/>
      <c r="L473" s="68"/>
      <c r="M473" s="68"/>
      <c r="N473" s="47"/>
    </row>
    <row r="474" spans="1:14" x14ac:dyDescent="0.2">
      <c r="A474" s="14"/>
      <c r="B474" s="15"/>
      <c r="C474" s="15"/>
      <c r="D474" s="15"/>
      <c r="E474" s="16"/>
      <c r="F474" s="16"/>
      <c r="G474" s="16"/>
      <c r="H474" s="16"/>
      <c r="I474" s="16"/>
      <c r="J474" s="68"/>
      <c r="K474" s="68"/>
      <c r="L474" s="68"/>
      <c r="M474" s="68"/>
      <c r="N474" s="47"/>
    </row>
    <row r="475" spans="1:14" x14ac:dyDescent="0.2">
      <c r="A475" s="14"/>
      <c r="B475" s="15"/>
      <c r="C475" s="15"/>
      <c r="D475" s="15"/>
      <c r="E475" s="16"/>
      <c r="F475" s="16"/>
      <c r="G475" s="16"/>
      <c r="H475" s="16"/>
      <c r="I475" s="16"/>
      <c r="J475" s="16"/>
      <c r="K475" s="16"/>
      <c r="L475" s="16"/>
      <c r="M475" s="16"/>
      <c r="N475" s="16"/>
    </row>
    <row r="476" spans="1:14" ht="13.5" thickBot="1" x14ac:dyDescent="0.25"/>
    <row r="477" spans="1:14" x14ac:dyDescent="0.2">
      <c r="A477" s="20"/>
      <c r="B477" s="21"/>
      <c r="C477" s="21"/>
      <c r="D477" s="21"/>
      <c r="E477" s="22"/>
      <c r="F477" s="22"/>
      <c r="G477" s="22"/>
      <c r="H477" s="22"/>
      <c r="I477" s="22"/>
      <c r="J477" s="22"/>
      <c r="K477" s="22"/>
      <c r="L477" s="22"/>
      <c r="M477" s="22"/>
      <c r="N477" s="23"/>
    </row>
    <row r="478" spans="1:14" ht="15" x14ac:dyDescent="0.2">
      <c r="A478" s="24"/>
      <c r="B478" s="413" t="s">
        <v>853</v>
      </c>
      <c r="C478" s="414"/>
      <c r="D478" s="414"/>
      <c r="E478" s="414"/>
      <c r="F478" s="414"/>
      <c r="G478" s="414"/>
      <c r="H478" s="414"/>
      <c r="I478" s="414"/>
      <c r="J478" s="414"/>
      <c r="K478" s="414"/>
      <c r="L478" s="414"/>
      <c r="M478" s="415"/>
      <c r="N478" s="25" t="s">
        <v>1102</v>
      </c>
    </row>
    <row r="479" spans="1:14" x14ac:dyDescent="0.2">
      <c r="A479" s="24"/>
      <c r="B479" s="26" t="s">
        <v>428</v>
      </c>
      <c r="C479" s="15" t="s">
        <v>854</v>
      </c>
      <c r="D479" s="15"/>
      <c r="E479" s="16"/>
      <c r="F479" s="16"/>
      <c r="G479" s="16"/>
      <c r="H479" s="16"/>
      <c r="I479" s="16"/>
      <c r="J479" s="16"/>
      <c r="K479" s="16"/>
      <c r="L479" s="16"/>
      <c r="M479" s="16"/>
      <c r="N479" s="27"/>
    </row>
    <row r="480" spans="1:14" x14ac:dyDescent="0.2">
      <c r="A480" s="24"/>
      <c r="B480" s="26" t="s">
        <v>429</v>
      </c>
      <c r="C480" s="15" t="s">
        <v>855</v>
      </c>
      <c r="D480" s="15"/>
      <c r="E480" s="16"/>
      <c r="F480" s="16"/>
      <c r="G480" s="16"/>
      <c r="H480" s="16"/>
      <c r="I480" s="16"/>
      <c r="J480" s="16"/>
      <c r="K480" s="16"/>
      <c r="L480" s="16"/>
      <c r="M480" s="16"/>
      <c r="N480" s="27"/>
    </row>
    <row r="481" spans="1:14" x14ac:dyDescent="0.2">
      <c r="A481" s="24"/>
      <c r="B481" s="26" t="s">
        <v>427</v>
      </c>
      <c r="C481" s="409" t="s">
        <v>1280</v>
      </c>
      <c r="D481" s="409"/>
      <c r="E481" s="409"/>
      <c r="F481" s="409"/>
      <c r="G481" s="409"/>
      <c r="H481" s="409"/>
      <c r="I481" s="409"/>
      <c r="J481" s="409"/>
      <c r="K481" s="409"/>
      <c r="L481" s="409"/>
      <c r="M481" s="409"/>
      <c r="N481" s="410"/>
    </row>
    <row r="482" spans="1:14" x14ac:dyDescent="0.2">
      <c r="A482" s="24"/>
      <c r="B482" s="15"/>
      <c r="C482" s="409"/>
      <c r="D482" s="409"/>
      <c r="E482" s="409"/>
      <c r="F482" s="409"/>
      <c r="G482" s="409"/>
      <c r="H482" s="409"/>
      <c r="I482" s="409"/>
      <c r="J482" s="409"/>
      <c r="K482" s="409"/>
      <c r="L482" s="409"/>
      <c r="M482" s="409"/>
      <c r="N482" s="410"/>
    </row>
    <row r="483" spans="1:14" x14ac:dyDescent="0.2">
      <c r="A483" s="24"/>
      <c r="B483" s="15"/>
      <c r="C483" s="421"/>
      <c r="D483" s="421"/>
      <c r="E483" s="421"/>
      <c r="F483" s="421"/>
      <c r="G483" s="421"/>
      <c r="H483" s="421"/>
      <c r="I483" s="421"/>
      <c r="J483" s="421"/>
      <c r="K483" s="421"/>
      <c r="L483" s="421"/>
      <c r="M483" s="421"/>
      <c r="N483" s="422"/>
    </row>
    <row r="484" spans="1:14" x14ac:dyDescent="0.2">
      <c r="A484" s="24"/>
      <c r="B484" s="26" t="s">
        <v>426</v>
      </c>
      <c r="C484" s="15"/>
      <c r="D484" s="15"/>
      <c r="E484" s="16"/>
      <c r="F484" s="16"/>
      <c r="G484" s="16"/>
      <c r="H484" s="16"/>
      <c r="I484" s="16"/>
      <c r="J484" s="16"/>
      <c r="K484" s="16"/>
      <c r="L484" s="16"/>
      <c r="M484" s="16"/>
      <c r="N484" s="27"/>
    </row>
    <row r="485" spans="1:14" x14ac:dyDescent="0.2">
      <c r="A485" s="24"/>
      <c r="B485" s="26" t="s">
        <v>430</v>
      </c>
      <c r="C485" s="15"/>
      <c r="D485" s="15"/>
      <c r="E485" s="16"/>
      <c r="F485" s="16"/>
      <c r="G485" s="16"/>
      <c r="H485" s="16"/>
      <c r="I485" s="16"/>
      <c r="J485" s="16"/>
      <c r="K485" s="16"/>
      <c r="L485" s="16"/>
      <c r="M485" s="16"/>
      <c r="N485" s="27"/>
    </row>
    <row r="486" spans="1:14" x14ac:dyDescent="0.2">
      <c r="A486" s="313"/>
      <c r="B486" s="301" t="s">
        <v>263</v>
      </c>
      <c r="C486" s="301"/>
      <c r="D486" s="301"/>
      <c r="E486" s="302"/>
      <c r="F486" s="302"/>
      <c r="G486" s="302"/>
      <c r="H486" s="302"/>
      <c r="I486" s="302"/>
      <c r="J486" s="317" t="s">
        <v>521</v>
      </c>
      <c r="K486" s="317" t="s">
        <v>1401</v>
      </c>
      <c r="L486" s="318"/>
      <c r="M486" s="318"/>
      <c r="N486" s="319"/>
    </row>
    <row r="487" spans="1:14" x14ac:dyDescent="0.2">
      <c r="A487" s="314"/>
      <c r="B487" s="15"/>
      <c r="C487" s="15"/>
      <c r="D487" s="15"/>
      <c r="E487" s="16"/>
      <c r="F487" s="16"/>
      <c r="G487" s="16"/>
      <c r="H487" s="16"/>
      <c r="I487" s="16"/>
      <c r="J487" s="54" t="s">
        <v>833</v>
      </c>
      <c r="K487" s="54" t="s">
        <v>754</v>
      </c>
      <c r="L487" s="55" t="s">
        <v>1100</v>
      </c>
      <c r="M487" s="55"/>
      <c r="N487" s="320"/>
    </row>
    <row r="488" spans="1:14" x14ac:dyDescent="0.2">
      <c r="A488" s="313"/>
      <c r="B488" s="427" t="s">
        <v>67</v>
      </c>
      <c r="C488" s="427"/>
      <c r="D488" s="427"/>
      <c r="E488" s="302"/>
      <c r="F488" s="302" t="s">
        <v>1180</v>
      </c>
      <c r="G488" s="302" t="s">
        <v>68</v>
      </c>
      <c r="H488" s="302" t="s">
        <v>702</v>
      </c>
      <c r="I488" s="302"/>
      <c r="J488" s="303">
        <f>49.5/ATHENS!O1*ATHENS!O2</f>
        <v>101.0204081632653</v>
      </c>
      <c r="K488" s="303">
        <f>53/ATHENS!O1*ATHENS!O2</f>
        <v>108.16326530612245</v>
      </c>
      <c r="L488" s="303">
        <f>56.5/ATHENS!O1*ATHENS!O2</f>
        <v>115.30612244897959</v>
      </c>
      <c r="M488" s="304"/>
      <c r="N488" s="305"/>
    </row>
    <row r="489" spans="1:14" x14ac:dyDescent="0.2">
      <c r="A489" s="314"/>
      <c r="B489" s="411" t="s">
        <v>67</v>
      </c>
      <c r="C489" s="411"/>
      <c r="D489" s="411"/>
      <c r="E489" s="16"/>
      <c r="F489" s="16" t="s">
        <v>1181</v>
      </c>
      <c r="G489" s="16" t="s">
        <v>68</v>
      </c>
      <c r="H489" s="16" t="s">
        <v>702</v>
      </c>
      <c r="I489" s="16"/>
      <c r="J489" s="66">
        <f>30.5/ATHENS!O1*ATHENS!O2</f>
        <v>62.244897959183675</v>
      </c>
      <c r="K489" s="66">
        <f>31.8/ATHENS!O1*ATHENS!O2</f>
        <v>64.897959183673478</v>
      </c>
      <c r="L489" s="66">
        <f>34.5/ATHENS!O1*ATHENS!O2</f>
        <v>70.408163265306129</v>
      </c>
      <c r="M489" s="40"/>
      <c r="N489" s="306"/>
    </row>
    <row r="490" spans="1:14" x14ac:dyDescent="0.2">
      <c r="A490" s="315"/>
      <c r="B490" s="424" t="s">
        <v>67</v>
      </c>
      <c r="C490" s="424"/>
      <c r="D490" s="424"/>
      <c r="E490" s="309"/>
      <c r="F490" s="309" t="s">
        <v>1182</v>
      </c>
      <c r="G490" s="309" t="s">
        <v>68</v>
      </c>
      <c r="H490" s="309" t="s">
        <v>702</v>
      </c>
      <c r="I490" s="309"/>
      <c r="J490" s="310">
        <f>28.5/ATHENS!O1*ATHENS!O2</f>
        <v>58.163265306122447</v>
      </c>
      <c r="K490" s="310">
        <f>29.6/ATHENS!O1*ATHENS!O2</f>
        <v>60.408163265306129</v>
      </c>
      <c r="L490" s="310">
        <f>32.6/ATHENS!O1*ATHENS!O2</f>
        <v>66.530612244897966</v>
      </c>
      <c r="M490" s="311"/>
      <c r="N490" s="312"/>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view="pageLayout" topLeftCell="A470">
      <selection activeCell="M51" sqref="M51"/>
      <rowBreaks count="6" manualBreakCount="6">
        <brk id="104" max="16383" man="1"/>
        <brk id="154" max="16383" man="1"/>
        <brk id="262" max="16383" man="1"/>
        <brk id="310" max="16383" man="1"/>
        <brk id="422" max="16383" man="1"/>
        <brk id="475" max="16383" man="1"/>
      </rowBreaks>
      <pageMargins left="0.28125" right="0.25" top="0.6692913385826772" bottom="0.70866141732283472" header="0.23622047244094491" footer="0.47244094488188981"/>
      <printOptions horizontalCentered="1"/>
      <pageSetup paperSize="9" firstPageNumber="34"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120">
    <mergeCell ref="C404:N406"/>
    <mergeCell ref="C448:N449"/>
    <mergeCell ref="B292:D292"/>
    <mergeCell ref="B275:D275"/>
    <mergeCell ref="B294:D294"/>
    <mergeCell ref="B295:D295"/>
    <mergeCell ref="B314:M314"/>
    <mergeCell ref="C317:N318"/>
    <mergeCell ref="B323:D323"/>
    <mergeCell ref="B387:M387"/>
    <mergeCell ref="B396:D396"/>
    <mergeCell ref="B345:M345"/>
    <mergeCell ref="C375:N377"/>
    <mergeCell ref="B358:D358"/>
    <mergeCell ref="C331:N334"/>
    <mergeCell ref="B472:D472"/>
    <mergeCell ref="B227:D227"/>
    <mergeCell ref="B339:D339"/>
    <mergeCell ref="B340:D340"/>
    <mergeCell ref="B276:D276"/>
    <mergeCell ref="B324:D324"/>
    <mergeCell ref="C432:N435"/>
    <mergeCell ref="B445:M445"/>
    <mergeCell ref="B455:D455"/>
    <mergeCell ref="B355:D355"/>
    <mergeCell ref="B328:M328"/>
    <mergeCell ref="B293:D293"/>
    <mergeCell ref="B382:D382"/>
    <mergeCell ref="B383:D383"/>
    <mergeCell ref="C348:N350"/>
    <mergeCell ref="B372:M372"/>
    <mergeCell ref="B413:D413"/>
    <mergeCell ref="B411:D411"/>
    <mergeCell ref="B401:M401"/>
    <mergeCell ref="B442:D442"/>
    <mergeCell ref="B440:D440"/>
    <mergeCell ref="B397:D397"/>
    <mergeCell ref="B459:M459"/>
    <mergeCell ref="B412:D412"/>
    <mergeCell ref="B478:M478"/>
    <mergeCell ref="B488:D488"/>
    <mergeCell ref="B489:D489"/>
    <mergeCell ref="B490:D490"/>
    <mergeCell ref="B291:D291"/>
    <mergeCell ref="C282:N286"/>
    <mergeCell ref="B265:M265"/>
    <mergeCell ref="C233:N236"/>
    <mergeCell ref="B456:D456"/>
    <mergeCell ref="B441:D441"/>
    <mergeCell ref="C481:N483"/>
    <mergeCell ref="B356:D356"/>
    <mergeCell ref="B470:D470"/>
    <mergeCell ref="B454:D454"/>
    <mergeCell ref="B398:D398"/>
    <mergeCell ref="C390:N391"/>
    <mergeCell ref="C462:N465"/>
    <mergeCell ref="B384:D384"/>
    <mergeCell ref="B429:M429"/>
    <mergeCell ref="B256:D256"/>
    <mergeCell ref="C268:N270"/>
    <mergeCell ref="B342:D342"/>
    <mergeCell ref="B341:D341"/>
    <mergeCell ref="B279:M279"/>
    <mergeCell ref="B2:M2"/>
    <mergeCell ref="B19:D19"/>
    <mergeCell ref="B20:D20"/>
    <mergeCell ref="B16:D16"/>
    <mergeCell ref="C5:N10"/>
    <mergeCell ref="B109:M109"/>
    <mergeCell ref="C112:N116"/>
    <mergeCell ref="B122:D122"/>
    <mergeCell ref="B124:D124"/>
    <mergeCell ref="B123:D123"/>
    <mergeCell ref="B44:D44"/>
    <mergeCell ref="C84:N86"/>
    <mergeCell ref="B81:M81"/>
    <mergeCell ref="B91:D91"/>
    <mergeCell ref="B92:D92"/>
    <mergeCell ref="B17:D17"/>
    <mergeCell ref="B18:D18"/>
    <mergeCell ref="B21:D21"/>
    <mergeCell ref="B93:D93"/>
    <mergeCell ref="B25:M25"/>
    <mergeCell ref="B42:D42"/>
    <mergeCell ref="B43:D43"/>
    <mergeCell ref="C28:N36"/>
    <mergeCell ref="B66:M66"/>
    <mergeCell ref="B208:D208"/>
    <mergeCell ref="B209:D209"/>
    <mergeCell ref="B207:D207"/>
    <mergeCell ref="B216:M216"/>
    <mergeCell ref="B226:D226"/>
    <mergeCell ref="B258:D258"/>
    <mergeCell ref="B230:M230"/>
    <mergeCell ref="B139:D139"/>
    <mergeCell ref="C130:N133"/>
    <mergeCell ref="C200:N202"/>
    <mergeCell ref="B197:M197"/>
    <mergeCell ref="B225:D225"/>
    <mergeCell ref="B257:D257"/>
    <mergeCell ref="C249:N251"/>
    <mergeCell ref="B246:M246"/>
    <mergeCell ref="B241:D241"/>
    <mergeCell ref="B242:D242"/>
    <mergeCell ref="B243:D243"/>
    <mergeCell ref="C219:N220"/>
    <mergeCell ref="C69:N70"/>
    <mergeCell ref="B75:D75"/>
    <mergeCell ref="B76:D76"/>
    <mergeCell ref="B78:D78"/>
    <mergeCell ref="C180:N183"/>
    <mergeCell ref="B190:D190"/>
    <mergeCell ref="B191:D191"/>
    <mergeCell ref="B127:M127"/>
    <mergeCell ref="B177:M177"/>
    <mergeCell ref="B158:M158"/>
    <mergeCell ref="B172:D172"/>
    <mergeCell ref="C161:N164"/>
    <mergeCell ref="B173:D173"/>
    <mergeCell ref="B142:D142"/>
  </mergeCells>
  <phoneticPr fontId="0" type="noConversion"/>
  <hyperlinks>
    <hyperlink ref="B109:M109" r:id="rId3" display="Creta Maris" xr:uid="{00000000-0004-0000-0C00-000000000000}"/>
    <hyperlink ref="B177:M177" r:id="rId4" display="Elounda Beach" xr:uid="{00000000-0004-0000-0C00-000001000000}"/>
    <hyperlink ref="B328:M328" r:id="rId5" display="Aquis Silva Beach" xr:uid="{00000000-0004-0000-0C00-000002000000}"/>
    <hyperlink ref="B345:M345" r:id="rId6" display="Astoria Capsis" xr:uid="{00000000-0004-0000-0C00-000003000000}"/>
    <hyperlink ref="B246:M246" r:id="rId7" display="Sensimar Minos Palace" xr:uid="{00000000-0004-0000-0C00-000004000000}"/>
    <hyperlink ref="B429:M429" r:id="rId8" display="Santa Marina Plaza" xr:uid="{00000000-0004-0000-0C00-000005000000}"/>
    <hyperlink ref="B265:M265" r:id="rId9" display="Agapi Beach" xr:uid="{00000000-0004-0000-0C00-000006000000}"/>
    <hyperlink ref="B2:M2" r:id="rId10" display="Aldemar Knossos Royal Village" xr:uid="{00000000-0004-0000-0C00-000007000000}"/>
    <hyperlink ref="B25:M25" r:id="rId11" display="Aldemar Royal Mare &amp; Thalasso" xr:uid="{00000000-0004-0000-0C00-000008000000}"/>
    <hyperlink ref="B81:M81" r:id="rId12" display="Blue Palace" xr:uid="{00000000-0004-0000-0C00-000009000000}"/>
    <hyperlink ref="B127:M127" r:id="rId13" display="Cretan Dream Royal Beach" xr:uid="{00000000-0004-0000-0C00-00000A000000}"/>
    <hyperlink ref="B158:M158" r:id="rId14" display="Elounda Bay" xr:uid="{00000000-0004-0000-0C00-00000B000000}"/>
    <hyperlink ref="B197:M197" r:id="rId15" display="Galaxy" xr:uid="{00000000-0004-0000-0C00-00000C000000}"/>
    <hyperlink ref="B216:M216" r:id="rId16" display="Porto Platanias Beach Resort" xr:uid="{00000000-0004-0000-0C00-00000D000000}"/>
    <hyperlink ref="B230:M230" r:id="rId17" display="Rithymna Beach Aquila Hotel" xr:uid="{00000000-0004-0000-0C00-00000E000000}"/>
    <hyperlink ref="B279:M279" r:id="rId18" display="Aldemar Cretan Village" xr:uid="{00000000-0004-0000-0C00-00000F000000}"/>
    <hyperlink ref="B372:M372" r:id="rId19" display="Hersonissos Maris" xr:uid="{00000000-0004-0000-0C00-000010000000}"/>
    <hyperlink ref="B401:M401" r:id="rId20" display="Knossos Beach " xr:uid="{00000000-0004-0000-0C00-000011000000}"/>
    <hyperlink ref="B445:M445" r:id="rId21" display="Casa Delfino" xr:uid="{00000000-0004-0000-0C00-000012000000}"/>
    <hyperlink ref="B459:M459" r:id="rId22" display="Lato" xr:uid="{00000000-0004-0000-0C00-000013000000}"/>
    <hyperlink ref="B478:M478" r:id="rId23" display="Marin Dream" xr:uid="{00000000-0004-0000-0C00-000014000000}"/>
    <hyperlink ref="B387:M387" r:id="rId24" display="Hersonissos Village" xr:uid="{00000000-0004-0000-0C00-000015000000}"/>
    <hyperlink ref="B66:M66" r:id="rId25" display="Aquila Atlantis" xr:uid="{00000000-0004-0000-0C00-000016000000}"/>
    <hyperlink ref="B314:M314" r:id="rId26" display="Amalthia" xr:uid="{00000000-0004-0000-0C00-000017000000}"/>
  </hyperlinks>
  <printOptions horizontalCentered="1"/>
  <pageMargins left="0.28125" right="0.25" top="0.6692913385826772" bottom="0.70866141732283472" header="0.23622047244094491" footer="0.47244094488188981"/>
  <pageSetup paperSize="9" firstPageNumber="34" orientation="portrait" useFirstPageNumber="1" horizontalDpi="300" verticalDpi="300" r:id="rId27"/>
  <headerFooter scaleWithDoc="0" alignWithMargins="0">
    <oddHeader xml:space="preserve">&amp;C TARIFF 2026
 (EURO)
</oddHeader>
    <oddFooter>&amp;LAll rates are in EURO&amp;C
TARIFF 2026
&amp;RPage &amp;P</oddFooter>
  </headerFooter>
  <rowBreaks count="6" manualBreakCount="6">
    <brk id="104" max="16383" man="1"/>
    <brk id="154" max="16383" man="1"/>
    <brk id="262" max="16383" man="1"/>
    <brk id="310" max="16383" man="1"/>
    <brk id="422" max="16383" man="1"/>
    <brk id="475"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N79"/>
  <sheetViews>
    <sheetView showGridLines="0" view="pageLayout" workbookViewId="0">
      <selection activeCell="L114" sqref="L114"/>
    </sheetView>
  </sheetViews>
  <sheetFormatPr defaultRowHeight="12.75" x14ac:dyDescent="0.2"/>
  <cols>
    <col min="1" max="1" width="1.85546875" style="59" customWidth="1"/>
    <col min="2" max="3" width="10.7109375" style="59" customWidth="1"/>
    <col min="4" max="9" width="3.7109375" style="59" customWidth="1"/>
    <col min="10" max="14" width="10.7109375" style="59" customWidth="1"/>
    <col min="15" max="16384" width="9.140625" style="59"/>
  </cols>
  <sheetData>
    <row r="1" spans="1:14" ht="13.5" thickBot="1" x14ac:dyDescent="0.25"/>
    <row r="2" spans="1:14" x14ac:dyDescent="0.2">
      <c r="A2" s="20"/>
      <c r="B2" s="21"/>
      <c r="C2" s="21"/>
      <c r="D2" s="21"/>
      <c r="E2" s="22"/>
      <c r="F2" s="22"/>
      <c r="G2" s="22"/>
      <c r="H2" s="22"/>
      <c r="I2" s="22"/>
      <c r="J2" s="22"/>
      <c r="K2" s="22"/>
      <c r="L2" s="22"/>
      <c r="M2" s="22"/>
      <c r="N2" s="23"/>
    </row>
    <row r="3" spans="1:14" ht="15" x14ac:dyDescent="0.2">
      <c r="A3" s="24"/>
      <c r="B3" s="413" t="s">
        <v>903</v>
      </c>
      <c r="C3" s="414"/>
      <c r="D3" s="414"/>
      <c r="E3" s="414"/>
      <c r="F3" s="414"/>
      <c r="G3" s="414"/>
      <c r="H3" s="414"/>
      <c r="I3" s="414"/>
      <c r="J3" s="414"/>
      <c r="K3" s="414"/>
      <c r="L3" s="414"/>
      <c r="M3" s="415"/>
      <c r="N3" s="25" t="s">
        <v>1103</v>
      </c>
    </row>
    <row r="4" spans="1:14" x14ac:dyDescent="0.2">
      <c r="A4" s="24"/>
      <c r="B4" s="26" t="s">
        <v>428</v>
      </c>
      <c r="C4" s="15" t="s">
        <v>180</v>
      </c>
      <c r="D4" s="15"/>
      <c r="E4" s="16"/>
      <c r="F4" s="16"/>
      <c r="G4" s="16"/>
      <c r="H4" s="16"/>
      <c r="I4" s="16"/>
      <c r="J4" s="16"/>
      <c r="K4" s="16"/>
      <c r="L4" s="16"/>
      <c r="M4" s="16"/>
      <c r="N4" s="27"/>
    </row>
    <row r="5" spans="1:14" x14ac:dyDescent="0.2">
      <c r="A5" s="24"/>
      <c r="B5" s="26" t="s">
        <v>429</v>
      </c>
      <c r="C5" s="15" t="s">
        <v>936</v>
      </c>
      <c r="D5" s="15"/>
      <c r="E5" s="16"/>
      <c r="F5" s="16"/>
      <c r="G5" s="16"/>
      <c r="H5" s="16"/>
      <c r="I5" s="16"/>
      <c r="J5" s="16"/>
      <c r="K5" s="16"/>
      <c r="L5" s="16"/>
      <c r="M5" s="16"/>
      <c r="N5" s="27"/>
    </row>
    <row r="6" spans="1:14" x14ac:dyDescent="0.2">
      <c r="A6" s="24"/>
      <c r="B6" s="26" t="s">
        <v>427</v>
      </c>
      <c r="C6" s="416" t="s">
        <v>1281</v>
      </c>
      <c r="D6" s="416"/>
      <c r="E6" s="416"/>
      <c r="F6" s="416"/>
      <c r="G6" s="416"/>
      <c r="H6" s="416"/>
      <c r="I6" s="416"/>
      <c r="J6" s="416"/>
      <c r="K6" s="416"/>
      <c r="L6" s="416"/>
      <c r="M6" s="416"/>
      <c r="N6" s="417"/>
    </row>
    <row r="7" spans="1:14" x14ac:dyDescent="0.2">
      <c r="A7" s="24"/>
      <c r="B7" s="15"/>
      <c r="C7" s="416"/>
      <c r="D7" s="416"/>
      <c r="E7" s="416"/>
      <c r="F7" s="416"/>
      <c r="G7" s="416"/>
      <c r="H7" s="416"/>
      <c r="I7" s="416"/>
      <c r="J7" s="416"/>
      <c r="K7" s="416"/>
      <c r="L7" s="416"/>
      <c r="M7" s="416"/>
      <c r="N7" s="417"/>
    </row>
    <row r="8" spans="1:14" x14ac:dyDescent="0.2">
      <c r="A8" s="24"/>
      <c r="B8" s="15"/>
      <c r="C8" s="419"/>
      <c r="D8" s="419"/>
      <c r="E8" s="419"/>
      <c r="F8" s="419"/>
      <c r="G8" s="419"/>
      <c r="H8" s="419"/>
      <c r="I8" s="419"/>
      <c r="J8" s="419"/>
      <c r="K8" s="419"/>
      <c r="L8" s="419"/>
      <c r="M8" s="419"/>
      <c r="N8" s="420"/>
    </row>
    <row r="9" spans="1:14" ht="13.5" thickBot="1" x14ac:dyDescent="0.25">
      <c r="A9" s="24"/>
      <c r="B9" s="26" t="s">
        <v>430</v>
      </c>
      <c r="C9" s="15"/>
      <c r="D9" s="29"/>
      <c r="E9" s="30"/>
      <c r="F9" s="30"/>
      <c r="G9" s="30"/>
      <c r="H9" s="30"/>
      <c r="I9" s="30"/>
      <c r="J9" s="30"/>
      <c r="K9" s="30"/>
      <c r="L9" s="30"/>
      <c r="M9" s="30"/>
      <c r="N9" s="31"/>
    </row>
    <row r="10" spans="1:14" ht="13.5" thickBot="1" x14ac:dyDescent="0.25">
      <c r="A10" s="75"/>
      <c r="B10" s="49" t="s">
        <v>263</v>
      </c>
      <c r="C10" s="49"/>
      <c r="D10" s="29"/>
      <c r="E10" s="30"/>
      <c r="F10" s="30"/>
      <c r="G10" s="30"/>
      <c r="H10" s="30"/>
      <c r="I10" s="30"/>
      <c r="J10" s="44" t="s">
        <v>907</v>
      </c>
      <c r="K10" s="36" t="s">
        <v>611</v>
      </c>
      <c r="L10" s="36"/>
      <c r="M10" s="36"/>
      <c r="N10" s="36"/>
    </row>
    <row r="11" spans="1:14" x14ac:dyDescent="0.2">
      <c r="A11" s="20"/>
      <c r="B11" s="412" t="s">
        <v>67</v>
      </c>
      <c r="C11" s="412"/>
      <c r="D11" s="412"/>
      <c r="E11" s="22"/>
      <c r="F11" s="22" t="s">
        <v>1180</v>
      </c>
      <c r="G11" s="22" t="s">
        <v>68</v>
      </c>
      <c r="H11" s="22" t="s">
        <v>702</v>
      </c>
      <c r="I11" s="22"/>
      <c r="J11" s="65">
        <f>67/ATHENS!O1*ATHENS!O2</f>
        <v>136.73469387755102</v>
      </c>
      <c r="K11" s="38">
        <f>74/ATHENS!O1*ATHENS!O2</f>
        <v>151.0204081632653</v>
      </c>
      <c r="L11" s="38"/>
      <c r="M11" s="38"/>
      <c r="N11" s="38"/>
    </row>
    <row r="12" spans="1:14" x14ac:dyDescent="0.2">
      <c r="A12" s="24"/>
      <c r="B12" s="411" t="s">
        <v>67</v>
      </c>
      <c r="C12" s="411"/>
      <c r="D12" s="411"/>
      <c r="E12" s="16"/>
      <c r="F12" s="16" t="s">
        <v>1181</v>
      </c>
      <c r="G12" s="16" t="s">
        <v>68</v>
      </c>
      <c r="H12" s="16" t="s">
        <v>702</v>
      </c>
      <c r="I12" s="16"/>
      <c r="J12" s="66">
        <f>37.5/ATHENS!O1*ATHENS!O2</f>
        <v>76.530612244897966</v>
      </c>
      <c r="K12" s="40">
        <f>41.5/ATHENS!O1*ATHENS!O2</f>
        <v>84.693877551020407</v>
      </c>
      <c r="L12" s="40"/>
      <c r="M12" s="40"/>
      <c r="N12" s="40"/>
    </row>
    <row r="13" spans="1:14" x14ac:dyDescent="0.2">
      <c r="A13" s="24"/>
      <c r="B13" s="411" t="s">
        <v>67</v>
      </c>
      <c r="C13" s="411"/>
      <c r="D13" s="411"/>
      <c r="E13" s="16"/>
      <c r="F13" s="16" t="s">
        <v>1182</v>
      </c>
      <c r="G13" s="16" t="s">
        <v>68</v>
      </c>
      <c r="H13" s="16" t="s">
        <v>702</v>
      </c>
      <c r="I13" s="16"/>
      <c r="J13" s="66">
        <f>28.5/ATHENS!O1*ATHENS!O2</f>
        <v>58.163265306122447</v>
      </c>
      <c r="K13" s="40">
        <f>30.5/ATHENS!O1*ATHENS!O2</f>
        <v>62.244897959183675</v>
      </c>
      <c r="L13" s="40"/>
      <c r="M13" s="40"/>
      <c r="N13" s="40"/>
    </row>
    <row r="14" spans="1:14" ht="13.5" thickBot="1" x14ac:dyDescent="0.25">
      <c r="A14" s="28"/>
      <c r="B14" s="80"/>
      <c r="C14" s="80"/>
      <c r="D14" s="80"/>
      <c r="E14" s="80"/>
      <c r="F14" s="80"/>
      <c r="G14" s="80"/>
      <c r="H14" s="80"/>
      <c r="I14" s="80"/>
      <c r="J14" s="67"/>
      <c r="K14" s="80"/>
      <c r="L14" s="42"/>
      <c r="M14" s="42"/>
      <c r="N14" s="42"/>
    </row>
    <row r="15" spans="1:14" ht="13.5" thickBot="1" x14ac:dyDescent="0.25">
      <c r="A15" s="14"/>
      <c r="J15" s="68"/>
      <c r="L15" s="47"/>
      <c r="M15" s="47"/>
      <c r="N15" s="47"/>
    </row>
    <row r="16" spans="1:14" x14ac:dyDescent="0.2">
      <c r="A16" s="20"/>
      <c r="B16" s="21"/>
      <c r="C16" s="21"/>
      <c r="D16" s="21"/>
      <c r="E16" s="22"/>
      <c r="F16" s="22"/>
      <c r="G16" s="22"/>
      <c r="H16" s="22"/>
      <c r="I16" s="22"/>
      <c r="J16" s="22"/>
      <c r="K16" s="22"/>
      <c r="L16" s="22"/>
      <c r="M16" s="22"/>
      <c r="N16" s="23"/>
    </row>
    <row r="17" spans="1:14" ht="15" x14ac:dyDescent="0.2">
      <c r="A17" s="24"/>
      <c r="B17" s="413" t="s">
        <v>177</v>
      </c>
      <c r="C17" s="414"/>
      <c r="D17" s="414"/>
      <c r="E17" s="414"/>
      <c r="F17" s="414"/>
      <c r="G17" s="414"/>
      <c r="H17" s="414"/>
      <c r="I17" s="414"/>
      <c r="J17" s="414"/>
      <c r="K17" s="414"/>
      <c r="L17" s="414"/>
      <c r="M17" s="415"/>
      <c r="N17" s="25" t="s">
        <v>1102</v>
      </c>
    </row>
    <row r="18" spans="1:14" x14ac:dyDescent="0.2">
      <c r="A18" s="24"/>
      <c r="B18" s="26" t="s">
        <v>428</v>
      </c>
      <c r="C18" s="15" t="s">
        <v>22</v>
      </c>
      <c r="D18" s="15"/>
      <c r="E18" s="16"/>
      <c r="F18" s="16"/>
      <c r="G18" s="16"/>
      <c r="H18" s="16"/>
      <c r="I18" s="16"/>
      <c r="J18" s="16"/>
      <c r="K18" s="16"/>
      <c r="L18" s="16"/>
      <c r="M18" s="16"/>
      <c r="N18" s="27"/>
    </row>
    <row r="19" spans="1:14" x14ac:dyDescent="0.2">
      <c r="A19" s="24"/>
      <c r="B19" s="26" t="s">
        <v>429</v>
      </c>
      <c r="C19" s="15" t="s">
        <v>937</v>
      </c>
      <c r="D19" s="15"/>
      <c r="E19" s="16"/>
      <c r="F19" s="16"/>
      <c r="G19" s="16"/>
      <c r="H19" s="16"/>
      <c r="I19" s="16"/>
      <c r="J19" s="16"/>
      <c r="K19" s="16"/>
      <c r="L19" s="16"/>
      <c r="M19" s="16"/>
      <c r="N19" s="27"/>
    </row>
    <row r="20" spans="1:14" x14ac:dyDescent="0.2">
      <c r="A20" s="24"/>
      <c r="B20" s="26" t="s">
        <v>427</v>
      </c>
      <c r="C20" s="416" t="s">
        <v>1282</v>
      </c>
      <c r="D20" s="416"/>
      <c r="E20" s="416"/>
      <c r="F20" s="416"/>
      <c r="G20" s="416"/>
      <c r="H20" s="416"/>
      <c r="I20" s="416"/>
      <c r="J20" s="416"/>
      <c r="K20" s="416"/>
      <c r="L20" s="416"/>
      <c r="M20" s="416"/>
      <c r="N20" s="417"/>
    </row>
    <row r="21" spans="1:14" x14ac:dyDescent="0.2">
      <c r="A21" s="24"/>
      <c r="B21" s="26"/>
      <c r="C21" s="416"/>
      <c r="D21" s="416"/>
      <c r="E21" s="416"/>
      <c r="F21" s="416"/>
      <c r="G21" s="416"/>
      <c r="H21" s="416"/>
      <c r="I21" s="416"/>
      <c r="J21" s="416"/>
      <c r="K21" s="416"/>
      <c r="L21" s="416"/>
      <c r="M21" s="416"/>
      <c r="N21" s="417"/>
    </row>
    <row r="22" spans="1:14" x14ac:dyDescent="0.2">
      <c r="A22" s="24"/>
      <c r="B22" s="15"/>
      <c r="C22" s="416"/>
      <c r="D22" s="416"/>
      <c r="E22" s="416"/>
      <c r="F22" s="416"/>
      <c r="G22" s="416"/>
      <c r="H22" s="416"/>
      <c r="I22" s="416"/>
      <c r="J22" s="416"/>
      <c r="K22" s="416"/>
      <c r="L22" s="416"/>
      <c r="M22" s="416"/>
      <c r="N22" s="417"/>
    </row>
    <row r="23" spans="1:14" ht="13.5" thickBot="1" x14ac:dyDescent="0.25">
      <c r="A23" s="28"/>
      <c r="B23" s="26" t="s">
        <v>430</v>
      </c>
      <c r="C23" s="29"/>
      <c r="D23" s="29"/>
      <c r="E23" s="30"/>
      <c r="F23" s="30"/>
      <c r="G23" s="30"/>
      <c r="H23" s="30"/>
      <c r="I23" s="30"/>
      <c r="J23" s="30"/>
      <c r="K23" s="30"/>
      <c r="L23" s="30"/>
      <c r="M23" s="30"/>
      <c r="N23" s="31"/>
    </row>
    <row r="24" spans="1:14" ht="13.5" thickBot="1" x14ac:dyDescent="0.25">
      <c r="A24" s="28"/>
      <c r="B24" s="49" t="s">
        <v>263</v>
      </c>
      <c r="C24" s="29"/>
      <c r="D24" s="29"/>
      <c r="E24" s="30"/>
      <c r="F24" s="30"/>
      <c r="G24" s="30"/>
      <c r="H24" s="30"/>
      <c r="I24" s="30"/>
      <c r="J24" s="44" t="s">
        <v>1177</v>
      </c>
      <c r="K24" s="36"/>
      <c r="L24" s="36"/>
      <c r="M24" s="36"/>
      <c r="N24" s="36"/>
    </row>
    <row r="25" spans="1:14" x14ac:dyDescent="0.2">
      <c r="A25" s="20"/>
      <c r="B25" s="412" t="s">
        <v>67</v>
      </c>
      <c r="C25" s="412"/>
      <c r="D25" s="412"/>
      <c r="E25" s="22"/>
      <c r="F25" s="22" t="s">
        <v>1180</v>
      </c>
      <c r="G25" s="22" t="s">
        <v>68</v>
      </c>
      <c r="H25" s="22" t="s">
        <v>702</v>
      </c>
      <c r="I25" s="22"/>
      <c r="J25" s="65">
        <f>44/ATHENS!O1*ATHENS!O2</f>
        <v>89.795918367346943</v>
      </c>
      <c r="K25" s="38"/>
      <c r="L25" s="38"/>
      <c r="M25" s="38"/>
      <c r="N25" s="38"/>
    </row>
    <row r="26" spans="1:14" x14ac:dyDescent="0.2">
      <c r="A26" s="24"/>
      <c r="B26" s="411" t="s">
        <v>67</v>
      </c>
      <c r="C26" s="411"/>
      <c r="D26" s="411"/>
      <c r="E26" s="16"/>
      <c r="F26" s="16" t="s">
        <v>1181</v>
      </c>
      <c r="G26" s="16" t="s">
        <v>68</v>
      </c>
      <c r="H26" s="16" t="s">
        <v>702</v>
      </c>
      <c r="I26" s="16"/>
      <c r="J26" s="66">
        <f>25.5/ATHENS!O1*ATHENS!O2</f>
        <v>52.04081632653061</v>
      </c>
      <c r="K26" s="40"/>
      <c r="L26" s="40"/>
      <c r="M26" s="40"/>
      <c r="N26" s="40"/>
    </row>
    <row r="27" spans="1:14" x14ac:dyDescent="0.2">
      <c r="A27" s="24"/>
      <c r="B27" s="411" t="s">
        <v>67</v>
      </c>
      <c r="C27" s="411"/>
      <c r="D27" s="411"/>
      <c r="E27" s="16"/>
      <c r="F27" s="16" t="s">
        <v>1182</v>
      </c>
      <c r="G27" s="16" t="s">
        <v>68</v>
      </c>
      <c r="H27" s="16" t="s">
        <v>702</v>
      </c>
      <c r="I27" s="16"/>
      <c r="J27" s="66">
        <f>20.5/ATHENS!O1*ATHENS!O2</f>
        <v>41.836734693877553</v>
      </c>
      <c r="K27" s="40"/>
      <c r="L27" s="40"/>
      <c r="M27" s="40"/>
      <c r="N27" s="40"/>
    </row>
    <row r="28" spans="1:14" ht="13.5" thickBot="1" x14ac:dyDescent="0.25">
      <c r="A28" s="28"/>
      <c r="B28" s="418"/>
      <c r="C28" s="418"/>
      <c r="D28" s="418"/>
      <c r="E28" s="30"/>
      <c r="F28" s="30"/>
      <c r="G28" s="30"/>
      <c r="H28" s="30"/>
      <c r="I28" s="30"/>
      <c r="J28" s="67"/>
      <c r="K28" s="42"/>
      <c r="L28" s="42"/>
      <c r="M28" s="42"/>
      <c r="N28" s="42"/>
    </row>
    <row r="29" spans="1:14" ht="13.5" thickBot="1" x14ac:dyDescent="0.25">
      <c r="A29" s="14"/>
      <c r="B29" s="15"/>
      <c r="C29" s="15"/>
      <c r="D29" s="15"/>
      <c r="E29" s="16"/>
      <c r="F29" s="16"/>
      <c r="G29" s="16"/>
      <c r="H29" s="16"/>
      <c r="I29" s="16"/>
      <c r="J29" s="16"/>
      <c r="K29" s="16"/>
      <c r="L29" s="16"/>
      <c r="M29" s="16"/>
      <c r="N29" s="16"/>
    </row>
    <row r="30" spans="1:14" x14ac:dyDescent="0.2">
      <c r="A30" s="20"/>
      <c r="B30" s="21"/>
      <c r="C30" s="21"/>
      <c r="D30" s="21"/>
      <c r="E30" s="22"/>
      <c r="F30" s="22"/>
      <c r="G30" s="22"/>
      <c r="H30" s="22"/>
      <c r="I30" s="22"/>
      <c r="J30" s="22"/>
      <c r="K30" s="22"/>
      <c r="L30" s="22"/>
      <c r="M30" s="22"/>
      <c r="N30" s="23"/>
    </row>
    <row r="31" spans="1:14" ht="15" x14ac:dyDescent="0.2">
      <c r="A31" s="24"/>
      <c r="B31" s="413" t="s">
        <v>178</v>
      </c>
      <c r="C31" s="414"/>
      <c r="D31" s="414"/>
      <c r="E31" s="414"/>
      <c r="F31" s="414"/>
      <c r="G31" s="414"/>
      <c r="H31" s="414"/>
      <c r="I31" s="414"/>
      <c r="J31" s="414"/>
      <c r="K31" s="414"/>
      <c r="L31" s="414"/>
      <c r="M31" s="415"/>
      <c r="N31" s="25" t="s">
        <v>1102</v>
      </c>
    </row>
    <row r="32" spans="1:14" x14ac:dyDescent="0.2">
      <c r="A32" s="24"/>
      <c r="B32" s="26" t="s">
        <v>428</v>
      </c>
      <c r="C32" s="15" t="s">
        <v>1178</v>
      </c>
      <c r="D32" s="15"/>
      <c r="E32" s="16"/>
      <c r="F32" s="16"/>
      <c r="G32" s="16"/>
      <c r="H32" s="16"/>
      <c r="I32" s="16"/>
      <c r="J32" s="16"/>
      <c r="K32" s="16"/>
      <c r="L32" s="16"/>
      <c r="M32" s="16"/>
      <c r="N32" s="27"/>
    </row>
    <row r="33" spans="1:14" x14ac:dyDescent="0.2">
      <c r="A33" s="24"/>
      <c r="B33" s="26" t="s">
        <v>429</v>
      </c>
      <c r="C33" s="15" t="s">
        <v>938</v>
      </c>
      <c r="D33" s="15"/>
      <c r="E33" s="16"/>
      <c r="F33" s="16"/>
      <c r="G33" s="16"/>
      <c r="H33" s="16"/>
      <c r="I33" s="16"/>
      <c r="J33" s="16"/>
      <c r="K33" s="16"/>
      <c r="L33" s="16"/>
      <c r="M33" s="16"/>
      <c r="N33" s="27"/>
    </row>
    <row r="34" spans="1:14" x14ac:dyDescent="0.2">
      <c r="A34" s="24"/>
      <c r="B34" s="26" t="s">
        <v>427</v>
      </c>
      <c r="C34" s="416" t="s">
        <v>1283</v>
      </c>
      <c r="D34" s="416"/>
      <c r="E34" s="416"/>
      <c r="F34" s="416"/>
      <c r="G34" s="416"/>
      <c r="H34" s="416"/>
      <c r="I34" s="416"/>
      <c r="J34" s="416"/>
      <c r="K34" s="416"/>
      <c r="L34" s="416"/>
      <c r="M34" s="416"/>
      <c r="N34" s="417"/>
    </row>
    <row r="35" spans="1:14" x14ac:dyDescent="0.2">
      <c r="A35" s="24"/>
      <c r="B35" s="15"/>
      <c r="C35" s="416"/>
      <c r="D35" s="416"/>
      <c r="E35" s="416"/>
      <c r="F35" s="416"/>
      <c r="G35" s="416"/>
      <c r="H35" s="416"/>
      <c r="I35" s="416"/>
      <c r="J35" s="416"/>
      <c r="K35" s="416"/>
      <c r="L35" s="416"/>
      <c r="M35" s="416"/>
      <c r="N35" s="417"/>
    </row>
    <row r="36" spans="1:14" ht="13.5" thickBot="1" x14ac:dyDescent="0.25">
      <c r="A36" s="24"/>
      <c r="B36" s="26" t="s">
        <v>430</v>
      </c>
      <c r="C36" s="29"/>
      <c r="D36" s="29"/>
      <c r="E36" s="30"/>
      <c r="F36" s="30"/>
      <c r="G36" s="30"/>
      <c r="H36" s="30"/>
      <c r="I36" s="30"/>
      <c r="J36" s="30"/>
      <c r="K36" s="30"/>
      <c r="L36" s="30"/>
      <c r="M36" s="30"/>
      <c r="N36" s="31"/>
    </row>
    <row r="37" spans="1:14" ht="13.5" thickBot="1" x14ac:dyDescent="0.25">
      <c r="A37" s="75"/>
      <c r="B37" s="49" t="s">
        <v>263</v>
      </c>
      <c r="C37" s="29"/>
      <c r="D37" s="29"/>
      <c r="E37" s="30"/>
      <c r="F37" s="30"/>
      <c r="G37" s="30"/>
      <c r="H37" s="30"/>
      <c r="I37" s="30"/>
      <c r="J37" s="44" t="s">
        <v>1830</v>
      </c>
      <c r="K37" s="36"/>
      <c r="L37" s="36"/>
      <c r="M37" s="36"/>
      <c r="N37" s="36"/>
    </row>
    <row r="38" spans="1:14" x14ac:dyDescent="0.2">
      <c r="A38" s="20"/>
      <c r="B38" s="412" t="s">
        <v>67</v>
      </c>
      <c r="C38" s="412"/>
      <c r="D38" s="412"/>
      <c r="E38" s="22"/>
      <c r="F38" s="22" t="s">
        <v>1180</v>
      </c>
      <c r="G38" s="22" t="s">
        <v>1484</v>
      </c>
      <c r="H38" s="22" t="s">
        <v>702</v>
      </c>
      <c r="I38" s="22"/>
      <c r="J38" s="65">
        <f>38.5/ATHENS!O1*ATHENS!O2</f>
        <v>78.571428571428569</v>
      </c>
      <c r="K38" s="38"/>
      <c r="L38" s="38"/>
      <c r="M38" s="38"/>
      <c r="N38" s="38"/>
    </row>
    <row r="39" spans="1:14" x14ac:dyDescent="0.2">
      <c r="A39" s="24"/>
      <c r="B39" s="411" t="s">
        <v>67</v>
      </c>
      <c r="C39" s="411"/>
      <c r="D39" s="411"/>
      <c r="E39" s="16"/>
      <c r="F39" s="16" t="s">
        <v>1181</v>
      </c>
      <c r="G39" s="16" t="s">
        <v>1484</v>
      </c>
      <c r="H39" s="16" t="s">
        <v>702</v>
      </c>
      <c r="I39" s="16"/>
      <c r="J39" s="66">
        <f>28.5/ATHENS!O1*ATHENS!O2</f>
        <v>58.163265306122447</v>
      </c>
      <c r="K39" s="40"/>
      <c r="L39" s="40"/>
      <c r="M39" s="40"/>
      <c r="N39" s="40"/>
    </row>
    <row r="40" spans="1:14" x14ac:dyDescent="0.2">
      <c r="A40" s="24"/>
      <c r="B40" s="411" t="s">
        <v>67</v>
      </c>
      <c r="C40" s="411"/>
      <c r="D40" s="411"/>
      <c r="E40" s="16"/>
      <c r="F40" s="16" t="s">
        <v>1182</v>
      </c>
      <c r="G40" s="16" t="s">
        <v>1484</v>
      </c>
      <c r="H40" s="16" t="s">
        <v>702</v>
      </c>
      <c r="I40" s="16"/>
      <c r="J40" s="66">
        <f>25.5/ATHENS!O1*ATHENS!O2</f>
        <v>52.04081632653061</v>
      </c>
      <c r="K40" s="40"/>
      <c r="L40" s="40"/>
      <c r="M40" s="40"/>
      <c r="N40" s="40"/>
    </row>
    <row r="41" spans="1:14" ht="13.5" thickBot="1" x14ac:dyDescent="0.25">
      <c r="A41" s="28"/>
      <c r="B41" s="418" t="s">
        <v>67</v>
      </c>
      <c r="C41" s="418"/>
      <c r="D41" s="418"/>
      <c r="E41" s="30"/>
      <c r="F41" s="30" t="s">
        <v>257</v>
      </c>
      <c r="G41" s="30" t="s">
        <v>1484</v>
      </c>
      <c r="H41" s="30" t="s">
        <v>702</v>
      </c>
      <c r="I41" s="30"/>
      <c r="J41" s="67">
        <f>23.5/ATHENS!O1*ATHENS!O2</f>
        <v>47.95918367346939</v>
      </c>
      <c r="K41" s="42"/>
      <c r="L41" s="42"/>
      <c r="M41" s="42"/>
      <c r="N41" s="42"/>
    </row>
    <row r="42" spans="1:14" x14ac:dyDescent="0.2">
      <c r="A42" s="14"/>
      <c r="B42" s="15"/>
      <c r="C42" s="15"/>
      <c r="D42" s="15"/>
      <c r="E42" s="16"/>
      <c r="F42" s="16"/>
      <c r="G42" s="16"/>
      <c r="H42" s="16"/>
      <c r="I42" s="16"/>
      <c r="J42" s="68"/>
      <c r="K42" s="47"/>
      <c r="L42" s="47"/>
      <c r="M42" s="47"/>
      <c r="N42" s="47"/>
    </row>
    <row r="43" spans="1:14" x14ac:dyDescent="0.2">
      <c r="A43" s="14"/>
      <c r="B43" s="15"/>
      <c r="C43" s="15"/>
      <c r="D43" s="15"/>
      <c r="E43" s="16"/>
      <c r="F43" s="16"/>
      <c r="G43" s="16"/>
      <c r="H43" s="16"/>
      <c r="I43" s="16"/>
      <c r="J43" s="68"/>
      <c r="K43" s="47"/>
      <c r="L43" s="47"/>
      <c r="M43" s="47"/>
      <c r="N43" s="47"/>
    </row>
    <row r="44" spans="1:14" x14ac:dyDescent="0.2">
      <c r="A44" s="14"/>
      <c r="B44" s="15"/>
      <c r="C44" s="15"/>
      <c r="D44" s="15"/>
      <c r="E44" s="16"/>
      <c r="F44" s="16"/>
      <c r="G44" s="16"/>
      <c r="H44" s="16"/>
      <c r="I44" s="16"/>
      <c r="J44" s="68"/>
      <c r="K44" s="47"/>
      <c r="L44" s="47"/>
      <c r="M44" s="47"/>
      <c r="N44" s="47"/>
    </row>
    <row r="45" spans="1:14" x14ac:dyDescent="0.2">
      <c r="A45" s="14"/>
      <c r="B45" s="15"/>
      <c r="C45" s="15"/>
      <c r="D45" s="15"/>
      <c r="E45" s="16"/>
      <c r="F45" s="16"/>
      <c r="G45" s="16"/>
      <c r="H45" s="16"/>
      <c r="I45" s="16"/>
      <c r="J45" s="68"/>
      <c r="K45" s="47"/>
      <c r="L45" s="47"/>
      <c r="M45" s="47"/>
      <c r="N45" s="47"/>
    </row>
    <row r="46" spans="1:14" x14ac:dyDescent="0.2">
      <c r="A46" s="14"/>
      <c r="B46" s="15"/>
      <c r="C46" s="15"/>
      <c r="D46" s="15"/>
      <c r="E46" s="16"/>
      <c r="F46" s="16"/>
      <c r="G46" s="16"/>
      <c r="H46" s="16"/>
      <c r="I46" s="16"/>
      <c r="J46" s="68"/>
      <c r="K46" s="47"/>
      <c r="L46" s="47"/>
      <c r="M46" s="47"/>
      <c r="N46" s="47"/>
    </row>
    <row r="47" spans="1:14" x14ac:dyDescent="0.2">
      <c r="A47" s="14"/>
      <c r="B47" s="15"/>
      <c r="C47" s="15"/>
      <c r="D47" s="15"/>
      <c r="E47" s="16"/>
      <c r="F47" s="16"/>
      <c r="G47" s="16"/>
      <c r="H47" s="16"/>
      <c r="I47" s="16"/>
      <c r="J47" s="68"/>
      <c r="K47" s="47"/>
      <c r="L47" s="47"/>
      <c r="M47" s="47"/>
      <c r="N47" s="47"/>
    </row>
    <row r="48" spans="1:14" x14ac:dyDescent="0.2">
      <c r="A48" s="14"/>
      <c r="B48" s="15"/>
      <c r="C48" s="15"/>
      <c r="D48" s="15"/>
      <c r="E48" s="16"/>
      <c r="F48" s="16"/>
      <c r="G48" s="16"/>
      <c r="H48" s="16"/>
      <c r="I48" s="16"/>
      <c r="J48" s="68"/>
      <c r="K48" s="47"/>
      <c r="L48" s="47"/>
      <c r="M48" s="47"/>
      <c r="N48" s="47"/>
    </row>
    <row r="49" spans="1:14" x14ac:dyDescent="0.2">
      <c r="A49" s="14"/>
      <c r="B49" s="15"/>
      <c r="C49" s="15"/>
      <c r="D49" s="15"/>
      <c r="E49" s="16"/>
      <c r="F49" s="16"/>
      <c r="G49" s="16"/>
      <c r="H49" s="16"/>
      <c r="I49" s="16"/>
      <c r="J49" s="68"/>
      <c r="K49" s="47"/>
      <c r="L49" s="47"/>
      <c r="M49" s="47"/>
      <c r="N49" s="47"/>
    </row>
    <row r="50" spans="1:14" x14ac:dyDescent="0.2">
      <c r="A50" s="14"/>
      <c r="B50" s="15"/>
      <c r="C50" s="15"/>
      <c r="D50" s="15"/>
      <c r="E50" s="16"/>
      <c r="F50" s="16"/>
      <c r="G50" s="16"/>
      <c r="H50" s="16"/>
      <c r="I50" s="16"/>
      <c r="J50" s="68"/>
      <c r="K50" s="47"/>
      <c r="L50" s="47"/>
      <c r="M50" s="47"/>
      <c r="N50" s="47"/>
    </row>
    <row r="51" spans="1:14" x14ac:dyDescent="0.2">
      <c r="A51" s="14"/>
      <c r="B51" s="15"/>
      <c r="C51" s="15"/>
      <c r="D51" s="15"/>
      <c r="E51" s="16"/>
      <c r="F51" s="16"/>
      <c r="G51" s="16"/>
      <c r="H51" s="16"/>
      <c r="I51" s="16"/>
      <c r="J51" s="68"/>
      <c r="K51" s="47"/>
      <c r="L51" s="47"/>
      <c r="M51" s="47"/>
      <c r="N51" s="47"/>
    </row>
    <row r="52" spans="1:14" x14ac:dyDescent="0.2">
      <c r="A52" s="14"/>
      <c r="B52" s="15"/>
      <c r="C52" s="15"/>
      <c r="D52" s="15"/>
      <c r="E52" s="16"/>
      <c r="F52" s="16"/>
      <c r="G52" s="16"/>
      <c r="H52" s="16"/>
      <c r="I52" s="16"/>
      <c r="J52" s="68"/>
      <c r="K52" s="47"/>
      <c r="L52" s="47"/>
      <c r="M52" s="47"/>
      <c r="N52" s="47"/>
    </row>
    <row r="53" spans="1:14" x14ac:dyDescent="0.2">
      <c r="A53" s="14"/>
      <c r="B53" s="15"/>
      <c r="C53" s="15"/>
      <c r="D53" s="15"/>
      <c r="E53" s="16"/>
      <c r="F53" s="16"/>
      <c r="G53" s="16"/>
      <c r="H53" s="16"/>
      <c r="I53" s="16"/>
      <c r="J53" s="68"/>
      <c r="K53" s="47"/>
      <c r="L53" s="47"/>
      <c r="M53" s="47"/>
      <c r="N53" s="47"/>
    </row>
    <row r="54" spans="1:14" x14ac:dyDescent="0.2">
      <c r="A54" s="14"/>
      <c r="B54" s="15"/>
      <c r="C54" s="15"/>
      <c r="D54" s="15"/>
      <c r="E54" s="16"/>
      <c r="F54" s="16"/>
      <c r="G54" s="16"/>
      <c r="H54" s="16"/>
      <c r="I54" s="16"/>
      <c r="J54" s="68"/>
      <c r="K54" s="47"/>
      <c r="L54" s="47"/>
      <c r="M54" s="47"/>
      <c r="N54" s="47"/>
    </row>
    <row r="55" spans="1:14" x14ac:dyDescent="0.2">
      <c r="A55" s="14"/>
      <c r="B55" s="15"/>
      <c r="C55" s="15"/>
      <c r="D55" s="15"/>
      <c r="E55" s="16"/>
      <c r="F55" s="16"/>
      <c r="G55" s="16"/>
      <c r="H55" s="16"/>
      <c r="I55" s="16"/>
      <c r="J55" s="68"/>
      <c r="K55" s="47"/>
      <c r="L55" s="47"/>
      <c r="M55" s="47"/>
      <c r="N55" s="47"/>
    </row>
    <row r="56" spans="1:14" x14ac:dyDescent="0.2">
      <c r="A56" s="14"/>
      <c r="B56" s="15"/>
      <c r="C56" s="15"/>
      <c r="D56" s="15"/>
      <c r="E56" s="16"/>
      <c r="F56" s="16"/>
      <c r="G56" s="16"/>
      <c r="H56" s="16"/>
      <c r="I56" s="16"/>
      <c r="J56" s="68"/>
      <c r="K56" s="47"/>
      <c r="L56" s="47"/>
      <c r="M56" s="47"/>
      <c r="N56" s="47"/>
    </row>
    <row r="57" spans="1:14" x14ac:dyDescent="0.2">
      <c r="A57" s="14"/>
      <c r="B57" s="15"/>
      <c r="C57" s="15"/>
      <c r="D57" s="15"/>
      <c r="E57" s="16"/>
      <c r="F57" s="16"/>
      <c r="G57" s="16"/>
      <c r="H57" s="16"/>
      <c r="I57" s="16"/>
      <c r="J57" s="68"/>
      <c r="K57" s="47"/>
      <c r="L57" s="47"/>
      <c r="M57" s="47"/>
      <c r="N57" s="47"/>
    </row>
    <row r="58" spans="1:14" x14ac:dyDescent="0.2">
      <c r="A58" s="14"/>
      <c r="B58" s="15"/>
      <c r="C58" s="15"/>
      <c r="D58" s="15"/>
      <c r="E58" s="16"/>
      <c r="F58" s="16"/>
      <c r="G58" s="16"/>
      <c r="H58" s="16"/>
      <c r="I58" s="16"/>
      <c r="J58" s="68"/>
      <c r="K58" s="47"/>
      <c r="L58" s="47"/>
      <c r="M58" s="47"/>
      <c r="N58" s="47"/>
    </row>
    <row r="59" spans="1:14" x14ac:dyDescent="0.2">
      <c r="A59" s="14"/>
      <c r="B59" s="15"/>
      <c r="C59" s="15"/>
      <c r="D59" s="15"/>
      <c r="E59" s="16"/>
      <c r="F59" s="16"/>
      <c r="G59" s="16"/>
      <c r="H59" s="16"/>
      <c r="I59" s="16"/>
      <c r="J59" s="68"/>
      <c r="K59" s="47"/>
      <c r="L59" s="47"/>
      <c r="M59" s="47"/>
      <c r="N59" s="47"/>
    </row>
    <row r="60" spans="1:14" x14ac:dyDescent="0.2">
      <c r="A60" s="14"/>
      <c r="B60" s="15"/>
      <c r="C60" s="15"/>
      <c r="D60" s="15"/>
      <c r="E60" s="16"/>
      <c r="F60" s="16"/>
      <c r="G60" s="16"/>
      <c r="H60" s="16"/>
      <c r="I60" s="16"/>
      <c r="J60" s="68"/>
      <c r="K60" s="47"/>
      <c r="L60" s="47"/>
      <c r="M60" s="47"/>
      <c r="N60" s="47"/>
    </row>
    <row r="61" spans="1:14" x14ac:dyDescent="0.2">
      <c r="A61" s="14"/>
      <c r="B61" s="15"/>
      <c r="C61" s="15"/>
      <c r="D61" s="15"/>
      <c r="E61" s="16"/>
      <c r="F61" s="16"/>
      <c r="G61" s="16"/>
      <c r="H61" s="16"/>
      <c r="I61" s="16"/>
      <c r="J61" s="68"/>
      <c r="K61" s="47"/>
      <c r="L61" s="47"/>
      <c r="M61" s="47"/>
      <c r="N61" s="47"/>
    </row>
    <row r="62" spans="1:14" ht="13.5" thickBot="1" x14ac:dyDescent="0.25">
      <c r="A62" s="14"/>
      <c r="B62" s="15"/>
      <c r="C62" s="15"/>
      <c r="D62" s="15"/>
      <c r="E62" s="16"/>
      <c r="F62" s="16"/>
      <c r="G62" s="16"/>
      <c r="H62" s="16"/>
      <c r="I62" s="16"/>
      <c r="J62" s="16"/>
      <c r="K62" s="16"/>
      <c r="L62" s="16"/>
      <c r="M62" s="16"/>
      <c r="N62" s="16"/>
    </row>
    <row r="63" spans="1:14" x14ac:dyDescent="0.2">
      <c r="A63" s="20"/>
      <c r="B63" s="21"/>
      <c r="C63" s="21"/>
      <c r="D63" s="21"/>
      <c r="E63" s="22"/>
      <c r="F63" s="22"/>
      <c r="G63" s="22"/>
      <c r="H63" s="22"/>
      <c r="I63" s="22"/>
      <c r="J63" s="22"/>
      <c r="K63" s="22"/>
      <c r="L63" s="22"/>
      <c r="M63" s="22"/>
      <c r="N63" s="23"/>
    </row>
    <row r="64" spans="1:14" ht="15" x14ac:dyDescent="0.2">
      <c r="A64" s="24"/>
      <c r="B64" s="413" t="s">
        <v>179</v>
      </c>
      <c r="C64" s="414"/>
      <c r="D64" s="414"/>
      <c r="E64" s="414"/>
      <c r="F64" s="414"/>
      <c r="G64" s="414"/>
      <c r="H64" s="414"/>
      <c r="I64" s="414"/>
      <c r="J64" s="414"/>
      <c r="K64" s="414"/>
      <c r="L64" s="414"/>
      <c r="M64" s="415"/>
      <c r="N64" s="25" t="s">
        <v>1102</v>
      </c>
    </row>
    <row r="65" spans="1:14" x14ac:dyDescent="0.2">
      <c r="A65" s="24"/>
      <c r="B65" s="26" t="s">
        <v>428</v>
      </c>
      <c r="C65" s="15" t="s">
        <v>587</v>
      </c>
      <c r="D65" s="15"/>
      <c r="E65" s="16"/>
      <c r="F65" s="16"/>
      <c r="G65" s="16"/>
      <c r="H65" s="16"/>
      <c r="I65" s="16"/>
      <c r="J65" s="16"/>
      <c r="K65" s="16"/>
      <c r="L65" s="16"/>
      <c r="M65" s="16"/>
      <c r="N65" s="27"/>
    </row>
    <row r="66" spans="1:14" x14ac:dyDescent="0.2">
      <c r="A66" s="24"/>
      <c r="B66" s="26" t="s">
        <v>429</v>
      </c>
      <c r="C66" s="15" t="s">
        <v>939</v>
      </c>
      <c r="D66" s="15"/>
      <c r="E66" s="16"/>
      <c r="F66" s="16"/>
      <c r="G66" s="16"/>
      <c r="H66" s="16"/>
      <c r="I66" s="16"/>
      <c r="J66" s="16"/>
      <c r="K66" s="16"/>
      <c r="L66" s="16"/>
      <c r="M66" s="16"/>
      <c r="N66" s="27"/>
    </row>
    <row r="67" spans="1:14" x14ac:dyDescent="0.2">
      <c r="A67" s="24"/>
      <c r="B67" s="26" t="s">
        <v>427</v>
      </c>
      <c r="C67" s="416" t="s">
        <v>588</v>
      </c>
      <c r="D67" s="416"/>
      <c r="E67" s="416"/>
      <c r="F67" s="416"/>
      <c r="G67" s="416"/>
      <c r="H67" s="416"/>
      <c r="I67" s="416"/>
      <c r="J67" s="416"/>
      <c r="K67" s="416"/>
      <c r="L67" s="416"/>
      <c r="M67" s="416"/>
      <c r="N67" s="417"/>
    </row>
    <row r="68" spans="1:14" x14ac:dyDescent="0.2">
      <c r="A68" s="24"/>
      <c r="B68" s="15"/>
      <c r="C68" s="416"/>
      <c r="D68" s="416"/>
      <c r="E68" s="416"/>
      <c r="F68" s="416"/>
      <c r="G68" s="416"/>
      <c r="H68" s="416"/>
      <c r="I68" s="416"/>
      <c r="J68" s="416"/>
      <c r="K68" s="416"/>
      <c r="L68" s="416"/>
      <c r="M68" s="416"/>
      <c r="N68" s="417"/>
    </row>
    <row r="69" spans="1:14" x14ac:dyDescent="0.2">
      <c r="A69" s="24"/>
      <c r="B69" s="15"/>
      <c r="C69" s="419"/>
      <c r="D69" s="419"/>
      <c r="E69" s="419"/>
      <c r="F69" s="419"/>
      <c r="G69" s="419"/>
      <c r="H69" s="419"/>
      <c r="I69" s="419"/>
      <c r="J69" s="419"/>
      <c r="K69" s="419"/>
      <c r="L69" s="419"/>
      <c r="M69" s="419"/>
      <c r="N69" s="420"/>
    </row>
    <row r="70" spans="1:14" x14ac:dyDescent="0.2">
      <c r="A70" s="24"/>
      <c r="B70" s="15"/>
      <c r="C70" s="419"/>
      <c r="D70" s="419"/>
      <c r="E70" s="419"/>
      <c r="F70" s="419"/>
      <c r="G70" s="419"/>
      <c r="H70" s="419"/>
      <c r="I70" s="419"/>
      <c r="J70" s="419"/>
      <c r="K70" s="419"/>
      <c r="L70" s="419"/>
      <c r="M70" s="419"/>
      <c r="N70" s="420"/>
    </row>
    <row r="71" spans="1:14" ht="13.5" thickBot="1" x14ac:dyDescent="0.25">
      <c r="A71" s="24"/>
      <c r="B71" s="26" t="s">
        <v>430</v>
      </c>
      <c r="C71" s="29"/>
      <c r="D71" s="29"/>
      <c r="E71" s="30"/>
      <c r="F71" s="30"/>
      <c r="G71" s="30"/>
      <c r="H71" s="30"/>
      <c r="I71" s="30"/>
      <c r="J71" s="30"/>
      <c r="K71" s="30"/>
      <c r="L71" s="30"/>
      <c r="M71" s="30"/>
      <c r="N71" s="31"/>
    </row>
    <row r="72" spans="1:14" ht="13.5" thickBot="1" x14ac:dyDescent="0.25">
      <c r="A72" s="75"/>
      <c r="B72" s="49" t="s">
        <v>263</v>
      </c>
      <c r="C72" s="29"/>
      <c r="D72" s="29"/>
      <c r="E72" s="30"/>
      <c r="F72" s="30"/>
      <c r="G72" s="30"/>
      <c r="H72" s="30"/>
      <c r="I72" s="30"/>
      <c r="J72" s="44" t="s">
        <v>1921</v>
      </c>
      <c r="K72" s="36"/>
      <c r="L72" s="36"/>
      <c r="M72" s="36"/>
      <c r="N72" s="36"/>
    </row>
    <row r="73" spans="1:14" x14ac:dyDescent="0.2">
      <c r="A73" s="20"/>
      <c r="B73" s="412" t="s">
        <v>67</v>
      </c>
      <c r="C73" s="412"/>
      <c r="D73" s="412"/>
      <c r="E73" s="22"/>
      <c r="F73" s="22" t="s">
        <v>1180</v>
      </c>
      <c r="G73" s="22" t="s">
        <v>68</v>
      </c>
      <c r="H73" s="22" t="s">
        <v>702</v>
      </c>
      <c r="I73" s="22"/>
      <c r="J73" s="65">
        <f>36/ATHENS!O1*ATHENS!O2</f>
        <v>73.469387755102048</v>
      </c>
      <c r="K73" s="38"/>
      <c r="L73" s="38"/>
      <c r="M73" s="38"/>
      <c r="N73" s="38"/>
    </row>
    <row r="74" spans="1:14" x14ac:dyDescent="0.2">
      <c r="A74" s="24"/>
      <c r="B74" s="411" t="s">
        <v>67</v>
      </c>
      <c r="C74" s="411"/>
      <c r="D74" s="411"/>
      <c r="E74" s="16"/>
      <c r="F74" s="16" t="s">
        <v>1181</v>
      </c>
      <c r="G74" s="16" t="s">
        <v>68</v>
      </c>
      <c r="H74" s="16" t="s">
        <v>702</v>
      </c>
      <c r="I74" s="16"/>
      <c r="J74" s="66">
        <f>25/ATHENS!O1*ATHENS!O2</f>
        <v>51.020408163265309</v>
      </c>
      <c r="K74" s="40"/>
      <c r="L74" s="40"/>
      <c r="M74" s="40"/>
      <c r="N74" s="40"/>
    </row>
    <row r="75" spans="1:14" x14ac:dyDescent="0.2">
      <c r="A75" s="24"/>
      <c r="B75" s="411" t="s">
        <v>67</v>
      </c>
      <c r="C75" s="411"/>
      <c r="D75" s="411"/>
      <c r="E75" s="16"/>
      <c r="F75" s="16" t="s">
        <v>1182</v>
      </c>
      <c r="G75" s="16" t="s">
        <v>68</v>
      </c>
      <c r="H75" s="16" t="s">
        <v>702</v>
      </c>
      <c r="I75" s="16"/>
      <c r="J75" s="66">
        <f>20/ATHENS!O1*ATHENS!O2</f>
        <v>40.816326530612244</v>
      </c>
      <c r="K75" s="40"/>
      <c r="L75" s="40"/>
      <c r="M75" s="40"/>
      <c r="N75" s="40"/>
    </row>
    <row r="76" spans="1:14" x14ac:dyDescent="0.2">
      <c r="A76" s="24"/>
      <c r="B76" s="411" t="s">
        <v>901</v>
      </c>
      <c r="C76" s="411"/>
      <c r="D76" s="411"/>
      <c r="E76" s="16"/>
      <c r="F76" s="16" t="s">
        <v>706</v>
      </c>
      <c r="G76" s="16" t="s">
        <v>68</v>
      </c>
      <c r="H76" s="16" t="s">
        <v>702</v>
      </c>
      <c r="I76" s="16"/>
      <c r="J76" s="66">
        <f>24/ATHENS!O1*ATHENS!O2</f>
        <v>48.979591836734691</v>
      </c>
      <c r="K76" s="40"/>
      <c r="L76" s="40"/>
      <c r="M76" s="40"/>
      <c r="N76" s="40"/>
    </row>
    <row r="77" spans="1:14" ht="13.5" thickBot="1" x14ac:dyDescent="0.25">
      <c r="A77" s="28"/>
      <c r="B77" s="418"/>
      <c r="C77" s="418"/>
      <c r="D77" s="418"/>
      <c r="E77" s="30"/>
      <c r="F77" s="30"/>
      <c r="G77" s="30"/>
      <c r="H77" s="30"/>
      <c r="I77" s="30"/>
      <c r="J77" s="67"/>
      <c r="K77" s="42"/>
      <c r="L77" s="42"/>
      <c r="M77" s="42"/>
      <c r="N77" s="42"/>
    </row>
    <row r="78" spans="1:14" x14ac:dyDescent="0.2">
      <c r="A78" s="14"/>
      <c r="B78" s="15"/>
      <c r="C78" s="15"/>
      <c r="D78" s="15"/>
      <c r="E78" s="16"/>
      <c r="F78" s="16"/>
      <c r="G78" s="16"/>
      <c r="H78" s="16"/>
      <c r="I78" s="16"/>
      <c r="J78" s="16"/>
      <c r="K78" s="16"/>
      <c r="L78" s="16"/>
      <c r="M78" s="16"/>
      <c r="N78" s="16"/>
    </row>
    <row r="79" spans="1:14" x14ac:dyDescent="0.2">
      <c r="A79" s="14"/>
      <c r="B79" s="15"/>
      <c r="C79" s="15"/>
      <c r="D79" s="15"/>
      <c r="E79" s="16"/>
      <c r="F79" s="16"/>
      <c r="G79" s="16"/>
      <c r="H79" s="16"/>
      <c r="I79" s="16"/>
      <c r="J79" s="16"/>
      <c r="K79" s="16"/>
      <c r="L79" s="16"/>
      <c r="M79" s="16"/>
      <c r="N79" s="16"/>
    </row>
  </sheetData>
  <customSheetViews>
    <customSheetView guid="{3C76061C-A85D-4390-B9DB-73E13038638C}" showPageBreaks="1" showGridLines="0" view="pageLayout" topLeftCell="A100">
      <selection activeCell="M51" sqref="M51"/>
      <pageMargins left="0.28125" right="0.25" top="0.6692913385826772" bottom="0.70866141732283472" header="0.23622047244094491" footer="0.47244094488188981"/>
      <printOptions horizontalCentered="1"/>
      <pageSetup paperSize="9" firstPageNumber="46"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24">
    <mergeCell ref="B17:M17"/>
    <mergeCell ref="C20:N22"/>
    <mergeCell ref="C6:N8"/>
    <mergeCell ref="B26:D26"/>
    <mergeCell ref="B3:M3"/>
    <mergeCell ref="B11:D11"/>
    <mergeCell ref="B12:D12"/>
    <mergeCell ref="B13:D13"/>
    <mergeCell ref="B25:D25"/>
    <mergeCell ref="B28:D28"/>
    <mergeCell ref="B31:M31"/>
    <mergeCell ref="C34:N35"/>
    <mergeCell ref="B38:D38"/>
    <mergeCell ref="B27:D27"/>
    <mergeCell ref="B77:D77"/>
    <mergeCell ref="B76:D76"/>
    <mergeCell ref="B39:D39"/>
    <mergeCell ref="B41:D41"/>
    <mergeCell ref="B64:M64"/>
    <mergeCell ref="B75:D75"/>
    <mergeCell ref="B40:D40"/>
    <mergeCell ref="C67:N70"/>
    <mergeCell ref="B73:D73"/>
    <mergeCell ref="B74:D74"/>
  </mergeCells>
  <phoneticPr fontId="17" type="noConversion"/>
  <hyperlinks>
    <hyperlink ref="B3:M3" r:id="rId2" display="Amalia" xr:uid="{00000000-0004-0000-0D00-000000000000}"/>
    <hyperlink ref="B17:M17" r:id="rId3" display="Acropole" xr:uid="{00000000-0004-0000-0D00-000001000000}"/>
    <hyperlink ref="B31:M31" r:id="rId4" display="Arion" xr:uid="{00000000-0004-0000-0D00-000002000000}"/>
    <hyperlink ref="B64:M64" r:id="rId5" display="Fedriades" xr:uid="{00000000-0004-0000-0D00-000003000000}"/>
  </hyperlinks>
  <printOptions horizontalCentered="1"/>
  <pageMargins left="0.28125" right="0.25" top="0.6692913385826772" bottom="0.70866141732283472" header="0.23622047244094491" footer="0.47244094488188981"/>
  <pageSetup paperSize="9" firstPageNumber="46" orientation="portrait" useFirstPageNumber="1" horizontalDpi="300" verticalDpi="300" r:id="rId6"/>
  <headerFooter scaleWithDoc="0" alignWithMargins="0">
    <oddHeader xml:space="preserve">&amp;C TARIFF 2026
 (EURO)
</oddHeader>
    <oddFooter>&amp;LAll rates are in EURO&amp;C
TARIFF 2026
&amp;RPage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20"/>
  <sheetViews>
    <sheetView showGridLines="0" view="pageLayout" topLeftCell="A22" workbookViewId="0">
      <selection activeCell="L114" sqref="L114"/>
    </sheetView>
  </sheetViews>
  <sheetFormatPr defaultRowHeight="12.75" x14ac:dyDescent="0.2"/>
  <cols>
    <col min="1" max="1" width="1.85546875" style="59" customWidth="1"/>
    <col min="2" max="3" width="10.7109375" style="59" customWidth="1"/>
    <col min="4" max="9" width="3.7109375" style="59" customWidth="1"/>
    <col min="10" max="14" width="10.7109375" style="59" customWidth="1"/>
    <col min="15" max="16384" width="9.140625" style="59"/>
  </cols>
  <sheetData>
    <row r="1" spans="1:14" ht="13.5" thickBot="1" x14ac:dyDescent="0.25">
      <c r="A1" s="14"/>
      <c r="B1" s="18"/>
      <c r="C1" s="18"/>
      <c r="D1" s="18"/>
      <c r="E1" s="19"/>
      <c r="F1" s="19"/>
      <c r="G1" s="19"/>
      <c r="H1" s="19"/>
      <c r="I1" s="19"/>
      <c r="J1" s="19"/>
      <c r="K1" s="19"/>
      <c r="L1" s="19"/>
      <c r="M1" s="19"/>
      <c r="N1" s="19"/>
    </row>
    <row r="2" spans="1:14" x14ac:dyDescent="0.2">
      <c r="A2" s="20"/>
      <c r="B2" s="21"/>
      <c r="C2" s="21"/>
      <c r="D2" s="21"/>
      <c r="E2" s="22"/>
      <c r="F2" s="22"/>
      <c r="G2" s="22"/>
      <c r="H2" s="22"/>
      <c r="I2" s="22"/>
      <c r="J2" s="22"/>
      <c r="K2" s="22"/>
      <c r="L2" s="22"/>
      <c r="M2" s="22"/>
      <c r="N2" s="23"/>
    </row>
    <row r="3" spans="1:14" ht="15" x14ac:dyDescent="0.2">
      <c r="A3" s="24"/>
      <c r="B3" s="413" t="s">
        <v>661</v>
      </c>
      <c r="C3" s="414"/>
      <c r="D3" s="414"/>
      <c r="E3" s="414"/>
      <c r="F3" s="414"/>
      <c r="G3" s="414"/>
      <c r="H3" s="414"/>
      <c r="I3" s="414"/>
      <c r="J3" s="414"/>
      <c r="K3" s="414"/>
      <c r="L3" s="414"/>
      <c r="M3" s="415"/>
      <c r="N3" s="25" t="s">
        <v>91</v>
      </c>
    </row>
    <row r="4" spans="1:14" x14ac:dyDescent="0.2">
      <c r="A4" s="24"/>
      <c r="B4" s="26" t="s">
        <v>428</v>
      </c>
      <c r="C4" s="15" t="s">
        <v>529</v>
      </c>
      <c r="D4" s="15"/>
      <c r="E4" s="16"/>
      <c r="F4" s="16"/>
      <c r="G4" s="16"/>
      <c r="H4" s="16"/>
      <c r="I4" s="16"/>
      <c r="J4" s="16"/>
      <c r="K4" s="16"/>
      <c r="L4" s="16"/>
      <c r="M4" s="16"/>
      <c r="N4" s="27"/>
    </row>
    <row r="5" spans="1:14" x14ac:dyDescent="0.2">
      <c r="A5" s="24"/>
      <c r="B5" s="26" t="s">
        <v>429</v>
      </c>
      <c r="C5" s="15" t="s">
        <v>940</v>
      </c>
      <c r="D5" s="15"/>
      <c r="E5" s="16"/>
      <c r="F5" s="16"/>
      <c r="G5" s="16"/>
      <c r="H5" s="16"/>
      <c r="I5" s="16"/>
      <c r="J5" s="16"/>
      <c r="K5" s="16"/>
      <c r="L5" s="16"/>
      <c r="M5" s="16"/>
      <c r="N5" s="27"/>
    </row>
    <row r="6" spans="1:14" x14ac:dyDescent="0.2">
      <c r="A6" s="24"/>
      <c r="B6" s="26" t="s">
        <v>427</v>
      </c>
      <c r="C6" s="416" t="s">
        <v>530</v>
      </c>
      <c r="D6" s="416"/>
      <c r="E6" s="416"/>
      <c r="F6" s="416"/>
      <c r="G6" s="416"/>
      <c r="H6" s="416"/>
      <c r="I6" s="416"/>
      <c r="J6" s="416"/>
      <c r="K6" s="416"/>
      <c r="L6" s="416"/>
      <c r="M6" s="416"/>
      <c r="N6" s="417"/>
    </row>
    <row r="7" spans="1:14" x14ac:dyDescent="0.2">
      <c r="A7" s="24"/>
      <c r="B7" s="15"/>
      <c r="C7" s="416"/>
      <c r="D7" s="416"/>
      <c r="E7" s="416"/>
      <c r="F7" s="416"/>
      <c r="G7" s="416"/>
      <c r="H7" s="416"/>
      <c r="I7" s="416"/>
      <c r="J7" s="416"/>
      <c r="K7" s="416"/>
      <c r="L7" s="416"/>
      <c r="M7" s="416"/>
      <c r="N7" s="417"/>
    </row>
    <row r="8" spans="1:14" x14ac:dyDescent="0.2">
      <c r="A8" s="24"/>
      <c r="B8" s="15"/>
      <c r="C8" s="419"/>
      <c r="D8" s="419"/>
      <c r="E8" s="419"/>
      <c r="F8" s="419"/>
      <c r="G8" s="419"/>
      <c r="H8" s="419"/>
      <c r="I8" s="419"/>
      <c r="J8" s="419"/>
      <c r="K8" s="419"/>
      <c r="L8" s="419"/>
      <c r="M8" s="419"/>
      <c r="N8" s="420"/>
    </row>
    <row r="9" spans="1:14" x14ac:dyDescent="0.2">
      <c r="A9" s="24"/>
      <c r="B9" s="26" t="s">
        <v>426</v>
      </c>
      <c r="C9" s="15"/>
      <c r="D9" s="15"/>
      <c r="E9" s="16"/>
      <c r="F9" s="16"/>
      <c r="G9" s="16"/>
      <c r="H9" s="16"/>
      <c r="I9" s="16"/>
      <c r="J9" s="16"/>
      <c r="K9" s="16"/>
      <c r="L9" s="16"/>
      <c r="M9" s="16"/>
      <c r="N9" s="27"/>
    </row>
    <row r="10" spans="1:14" ht="13.5" thickBot="1" x14ac:dyDescent="0.25">
      <c r="A10" s="28"/>
      <c r="B10" s="26" t="s">
        <v>430</v>
      </c>
      <c r="C10" s="29"/>
      <c r="D10" s="29"/>
      <c r="E10" s="30"/>
      <c r="F10" s="30"/>
      <c r="G10" s="30"/>
      <c r="H10" s="30"/>
      <c r="I10" s="30"/>
      <c r="J10" s="30"/>
      <c r="K10" s="30"/>
      <c r="L10" s="30"/>
      <c r="M10" s="30"/>
      <c r="N10" s="31"/>
    </row>
    <row r="11" spans="1:14" x14ac:dyDescent="0.2">
      <c r="A11" s="20"/>
      <c r="B11" s="21" t="s">
        <v>263</v>
      </c>
      <c r="C11" s="21"/>
      <c r="D11" s="21"/>
      <c r="E11" s="22"/>
      <c r="F11" s="22"/>
      <c r="G11" s="22"/>
      <c r="H11" s="22"/>
      <c r="I11" s="22"/>
      <c r="J11" s="32"/>
      <c r="K11" s="33" t="s">
        <v>1572</v>
      </c>
      <c r="L11" s="33"/>
      <c r="M11" s="33" t="s">
        <v>1826</v>
      </c>
      <c r="N11" s="33"/>
    </row>
    <row r="12" spans="1:14" x14ac:dyDescent="0.2">
      <c r="A12" s="24"/>
      <c r="B12" s="15"/>
      <c r="C12" s="15"/>
      <c r="D12" s="15"/>
      <c r="E12" s="16"/>
      <c r="F12" s="16"/>
      <c r="G12" s="16"/>
      <c r="H12" s="16"/>
      <c r="I12" s="16"/>
      <c r="J12" s="58" t="s">
        <v>1350</v>
      </c>
      <c r="K12" s="55" t="s">
        <v>1915</v>
      </c>
      <c r="L12" s="55" t="s">
        <v>1352</v>
      </c>
      <c r="M12" s="55" t="s">
        <v>524</v>
      </c>
      <c r="N12" s="55"/>
    </row>
    <row r="13" spans="1:14" ht="13.5" thickBot="1" x14ac:dyDescent="0.25">
      <c r="A13" s="28"/>
      <c r="B13" s="29"/>
      <c r="C13" s="29"/>
      <c r="D13" s="29"/>
      <c r="E13" s="30"/>
      <c r="F13" s="30"/>
      <c r="G13" s="30"/>
      <c r="H13" s="30"/>
      <c r="I13" s="30"/>
      <c r="J13" s="44" t="s">
        <v>1351</v>
      </c>
      <c r="K13" s="36" t="s">
        <v>481</v>
      </c>
      <c r="L13" s="36" t="s">
        <v>832</v>
      </c>
      <c r="M13" s="36" t="s">
        <v>1916</v>
      </c>
      <c r="N13" s="36"/>
    </row>
    <row r="14" spans="1:14" x14ac:dyDescent="0.2">
      <c r="A14" s="20"/>
      <c r="B14" s="412" t="s">
        <v>67</v>
      </c>
      <c r="C14" s="412"/>
      <c r="D14" s="412"/>
      <c r="E14" s="22"/>
      <c r="F14" s="22" t="s">
        <v>1180</v>
      </c>
      <c r="G14" s="22" t="s">
        <v>68</v>
      </c>
      <c r="H14" s="22" t="s">
        <v>702</v>
      </c>
      <c r="I14" s="22"/>
      <c r="J14" s="66">
        <f>100/ATHENS!O1*ATHENS!O2</f>
        <v>204.08163265306123</v>
      </c>
      <c r="K14" s="66">
        <f>111/ATHENS!O1*ATHENS!O2</f>
        <v>226.53061224489795</v>
      </c>
      <c r="L14" s="66">
        <f>130/ATHENS!O1*ATHENS!O2</f>
        <v>265.30612244897958</v>
      </c>
      <c r="M14" s="66">
        <f>154/ATHENS!O1*ATHENS!O2</f>
        <v>314.28571428571428</v>
      </c>
      <c r="N14" s="38"/>
    </row>
    <row r="15" spans="1:14" x14ac:dyDescent="0.2">
      <c r="A15" s="24"/>
      <c r="B15" s="411" t="s">
        <v>67</v>
      </c>
      <c r="C15" s="411"/>
      <c r="D15" s="411"/>
      <c r="E15" s="16"/>
      <c r="F15" s="16" t="s">
        <v>1181</v>
      </c>
      <c r="G15" s="16" t="s">
        <v>68</v>
      </c>
      <c r="H15" s="16" t="s">
        <v>702</v>
      </c>
      <c r="I15" s="16"/>
      <c r="J15" s="66">
        <f>59.5/ATHENS!O1*ATHENS!O2</f>
        <v>121.42857142857143</v>
      </c>
      <c r="K15" s="66">
        <f>66/ATHENS!O1*ATHENS!O2</f>
        <v>134.69387755102042</v>
      </c>
      <c r="L15" s="66">
        <f>79/ATHENS!O1*ATHENS!O2</f>
        <v>161.22448979591837</v>
      </c>
      <c r="M15" s="66">
        <f>93.5/ATHENS!O1*ATHENS!O2</f>
        <v>190.81632653061226</v>
      </c>
      <c r="N15" s="40"/>
    </row>
    <row r="16" spans="1:14" x14ac:dyDescent="0.2">
      <c r="A16" s="24"/>
      <c r="B16" s="411" t="s">
        <v>67</v>
      </c>
      <c r="C16" s="411"/>
      <c r="D16" s="411"/>
      <c r="E16" s="16"/>
      <c r="F16" s="16" t="s">
        <v>1182</v>
      </c>
      <c r="G16" s="16" t="s">
        <v>68</v>
      </c>
      <c r="H16" s="16" t="s">
        <v>702</v>
      </c>
      <c r="I16" s="16"/>
      <c r="J16" s="66">
        <f>54/ATHENS!O1*ATHENS!O2</f>
        <v>110.20408163265306</v>
      </c>
      <c r="K16" s="66">
        <f>60/ATHENS!O1*ATHENS!O2</f>
        <v>122.44897959183673</v>
      </c>
      <c r="L16" s="66">
        <f>72/ATHENS!O1*ATHENS!O2</f>
        <v>146.9387755102041</v>
      </c>
      <c r="M16" s="66">
        <f>85/ATHENS!O1*ATHENS!O2</f>
        <v>173.46938775510205</v>
      </c>
      <c r="N16" s="40"/>
    </row>
    <row r="17" spans="1:14" ht="13.5" thickBot="1" x14ac:dyDescent="0.25">
      <c r="A17" s="28"/>
      <c r="B17" s="80"/>
      <c r="C17" s="80"/>
      <c r="D17" s="80"/>
      <c r="E17" s="80"/>
      <c r="F17" s="80"/>
      <c r="G17" s="80"/>
      <c r="H17" s="80"/>
      <c r="I17" s="30"/>
      <c r="J17" s="67"/>
      <c r="K17" s="67"/>
      <c r="L17" s="67"/>
      <c r="M17" s="67"/>
      <c r="N17" s="42"/>
    </row>
    <row r="18" spans="1:14" x14ac:dyDescent="0.2">
      <c r="A18" s="14"/>
      <c r="B18" s="18"/>
      <c r="C18" s="18"/>
      <c r="D18" s="18"/>
      <c r="E18" s="19"/>
      <c r="F18" s="19"/>
      <c r="G18" s="19"/>
      <c r="H18" s="19"/>
      <c r="I18" s="19"/>
      <c r="J18" s="19"/>
      <c r="K18" s="19"/>
      <c r="L18" s="19"/>
      <c r="M18" s="19"/>
      <c r="N18" s="19"/>
    </row>
    <row r="19" spans="1:14" x14ac:dyDescent="0.2">
      <c r="A19" s="14"/>
      <c r="B19" s="18"/>
      <c r="C19" s="18"/>
      <c r="D19" s="18"/>
      <c r="E19" s="19"/>
      <c r="F19" s="19"/>
      <c r="G19" s="19"/>
      <c r="H19" s="19"/>
      <c r="I19" s="19"/>
      <c r="J19" s="19"/>
      <c r="K19" s="19"/>
      <c r="L19" s="19"/>
      <c r="M19" s="19"/>
      <c r="N19" s="19"/>
    </row>
    <row r="20" spans="1:14" x14ac:dyDescent="0.2">
      <c r="A20" s="14"/>
      <c r="B20" s="18"/>
      <c r="C20" s="18"/>
      <c r="D20" s="18"/>
      <c r="E20" s="19"/>
      <c r="F20" s="19"/>
      <c r="G20" s="19"/>
      <c r="H20" s="19"/>
      <c r="I20" s="19"/>
      <c r="J20" s="19"/>
      <c r="K20" s="19"/>
      <c r="L20" s="19"/>
      <c r="M20" s="19"/>
      <c r="N20" s="19"/>
    </row>
  </sheetData>
  <customSheetViews>
    <customSheetView guid="{3C76061C-A85D-4390-B9DB-73E13038638C}" showPageBreaks="1" showGridLines="0" view="pageLayout" topLeftCell="A22">
      <selection activeCell="M51" sqref="M51"/>
      <pageMargins left="0.28125" right="0.25" top="0.6692913385826772" bottom="0.70866141732283472" header="0.23622047244094491" footer="0.47244094488188981"/>
      <printOptions horizontalCentered="1"/>
      <pageSetup paperSize="9" firstPageNumber="48"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5">
    <mergeCell ref="C6:N8"/>
    <mergeCell ref="B3:M3"/>
    <mergeCell ref="B14:D14"/>
    <mergeCell ref="B15:D15"/>
    <mergeCell ref="B16:D16"/>
  </mergeCells>
  <phoneticPr fontId="17" type="noConversion"/>
  <hyperlinks>
    <hyperlink ref="B3:M3" r:id="rId2" display="Thermae Sylla Spa" xr:uid="{00000000-0004-0000-0E00-000000000000}"/>
  </hyperlinks>
  <printOptions horizontalCentered="1"/>
  <pageMargins left="0.28125" right="0.25" top="0.6692913385826772" bottom="0.70866141732283472" header="0.23622047244094491" footer="0.47244094488188981"/>
  <pageSetup paperSize="9" firstPageNumber="48" orientation="portrait" useFirstPageNumber="1" horizontalDpi="300" verticalDpi="300" r:id="rId3"/>
  <headerFooter scaleWithDoc="0" alignWithMargins="0">
    <oddHeader xml:space="preserve">&amp;C TARIFF 2026
 (EURO)
</oddHeader>
    <oddFooter>&amp;LAll rates are in EURO&amp;C
TARIFF 2026
&amp;RPage &amp;P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N15"/>
  <sheetViews>
    <sheetView view="pageLayout" zoomScaleNormal="100" workbookViewId="0">
      <selection activeCell="L114" sqref="L114"/>
    </sheetView>
  </sheetViews>
  <sheetFormatPr defaultRowHeight="12.75" x14ac:dyDescent="0.2"/>
  <cols>
    <col min="1" max="1" width="5.42578125" customWidth="1"/>
    <col min="4" max="4" width="5.5703125" customWidth="1"/>
    <col min="5" max="5" width="4.85546875" customWidth="1"/>
    <col min="6" max="7" width="5.42578125" customWidth="1"/>
    <col min="8" max="8" width="4.5703125" customWidth="1"/>
    <col min="9" max="9" width="9.85546875" customWidth="1"/>
    <col min="10" max="10" width="11.7109375" customWidth="1"/>
    <col min="11" max="11" width="11.85546875" customWidth="1"/>
    <col min="12" max="12" width="7.5703125" customWidth="1"/>
  </cols>
  <sheetData>
    <row r="2" spans="1:14" ht="13.5" thickBot="1" x14ac:dyDescent="0.25"/>
    <row r="3" spans="1:14" x14ac:dyDescent="0.2">
      <c r="A3" s="20"/>
      <c r="B3" s="21"/>
      <c r="C3" s="21"/>
      <c r="D3" s="21"/>
      <c r="E3" s="22"/>
      <c r="F3" s="22"/>
      <c r="G3" s="22"/>
      <c r="H3" s="22"/>
      <c r="I3" s="22"/>
      <c r="J3" s="22"/>
      <c r="K3" s="22"/>
      <c r="L3" s="22"/>
      <c r="M3" s="22"/>
      <c r="N3" s="23"/>
    </row>
    <row r="4" spans="1:14" x14ac:dyDescent="0.2">
      <c r="A4" s="24"/>
      <c r="B4" s="430" t="s">
        <v>1685</v>
      </c>
      <c r="C4" s="431"/>
      <c r="D4" s="431"/>
      <c r="E4" s="431"/>
      <c r="F4" s="431"/>
      <c r="G4" s="431"/>
      <c r="H4" s="431"/>
      <c r="I4" s="431"/>
      <c r="J4" s="431"/>
      <c r="K4" s="431"/>
      <c r="L4" s="431"/>
      <c r="M4" s="432"/>
      <c r="N4" s="25" t="s">
        <v>96</v>
      </c>
    </row>
    <row r="5" spans="1:14" x14ac:dyDescent="0.2">
      <c r="A5" s="24"/>
      <c r="B5" s="26" t="s">
        <v>428</v>
      </c>
      <c r="C5" s="15" t="s">
        <v>1686</v>
      </c>
      <c r="D5" s="15"/>
      <c r="E5" s="16"/>
      <c r="F5" s="16"/>
      <c r="G5" s="16"/>
      <c r="H5" s="16"/>
      <c r="I5" s="16"/>
      <c r="J5" s="16"/>
      <c r="K5" s="16"/>
      <c r="L5" s="16"/>
      <c r="M5" s="16"/>
      <c r="N5" s="27"/>
    </row>
    <row r="6" spans="1:14" x14ac:dyDescent="0.2">
      <c r="A6" s="24"/>
      <c r="B6" s="26" t="s">
        <v>429</v>
      </c>
      <c r="C6" s="15" t="s">
        <v>1673</v>
      </c>
      <c r="D6" s="15"/>
      <c r="E6" s="16"/>
      <c r="F6" s="16"/>
      <c r="G6" s="16"/>
      <c r="H6" s="16"/>
      <c r="I6" s="16"/>
      <c r="J6" s="16"/>
      <c r="K6" s="16"/>
      <c r="L6" s="16"/>
      <c r="M6" s="16"/>
      <c r="N6" s="27"/>
    </row>
    <row r="7" spans="1:14" x14ac:dyDescent="0.2">
      <c r="A7" s="24"/>
      <c r="B7" s="26" t="s">
        <v>427</v>
      </c>
      <c r="C7" s="416" t="s">
        <v>1687</v>
      </c>
      <c r="D7" s="416"/>
      <c r="E7" s="416"/>
      <c r="F7" s="416"/>
      <c r="G7" s="416"/>
      <c r="H7" s="416"/>
      <c r="I7" s="416"/>
      <c r="J7" s="416"/>
      <c r="K7" s="416"/>
      <c r="L7" s="416"/>
      <c r="M7" s="416"/>
      <c r="N7" s="417"/>
    </row>
    <row r="8" spans="1:14" x14ac:dyDescent="0.2">
      <c r="A8" s="24"/>
      <c r="B8" s="15"/>
      <c r="C8" s="416"/>
      <c r="D8" s="416"/>
      <c r="E8" s="416"/>
      <c r="F8" s="416"/>
      <c r="G8" s="416"/>
      <c r="H8" s="416"/>
      <c r="I8" s="416"/>
      <c r="J8" s="416"/>
      <c r="K8" s="416"/>
      <c r="L8" s="416"/>
      <c r="M8" s="416"/>
      <c r="N8" s="417"/>
    </row>
    <row r="9" spans="1:14" x14ac:dyDescent="0.2">
      <c r="A9" s="24"/>
      <c r="B9" s="26" t="s">
        <v>426</v>
      </c>
      <c r="C9" s="15" t="s">
        <v>1686</v>
      </c>
      <c r="D9" s="15"/>
      <c r="E9" s="16"/>
      <c r="F9" s="16"/>
      <c r="G9" s="16"/>
      <c r="H9" s="16"/>
      <c r="I9" s="16"/>
      <c r="J9" s="16"/>
      <c r="K9" s="16"/>
      <c r="L9" s="16"/>
      <c r="M9" s="16"/>
      <c r="N9" s="27"/>
    </row>
    <row r="10" spans="1:14" ht="13.5" thickBot="1" x14ac:dyDescent="0.25">
      <c r="A10" s="28"/>
      <c r="B10" s="26" t="s">
        <v>430</v>
      </c>
      <c r="C10" s="29"/>
      <c r="D10" s="29"/>
      <c r="E10" s="30"/>
      <c r="F10" s="30"/>
      <c r="G10" s="30"/>
      <c r="H10" s="30"/>
      <c r="I10" s="30"/>
      <c r="J10" s="30"/>
      <c r="K10" s="30"/>
      <c r="L10" s="30"/>
      <c r="M10" s="30"/>
      <c r="N10" s="31"/>
    </row>
    <row r="11" spans="1:14" x14ac:dyDescent="0.2">
      <c r="A11" s="24"/>
      <c r="B11" s="21" t="s">
        <v>263</v>
      </c>
      <c r="C11" s="15"/>
      <c r="D11" s="15"/>
      <c r="E11" s="16"/>
      <c r="F11" s="16"/>
      <c r="G11" s="16"/>
      <c r="H11" s="16"/>
      <c r="I11" s="16" t="s">
        <v>908</v>
      </c>
      <c r="J11" s="58"/>
      <c r="K11" s="55"/>
      <c r="L11" s="55"/>
      <c r="M11" s="55"/>
      <c r="N11" s="55"/>
    </row>
    <row r="12" spans="1:14" ht="13.5" thickBot="1" x14ac:dyDescent="0.25">
      <c r="A12" s="28"/>
      <c r="B12" s="29"/>
      <c r="C12" s="29"/>
      <c r="D12" s="29"/>
      <c r="E12" s="30"/>
      <c r="F12" s="30"/>
      <c r="G12" s="30"/>
      <c r="H12" s="30"/>
      <c r="I12" s="30" t="s">
        <v>1875</v>
      </c>
      <c r="J12" s="44" t="s">
        <v>1412</v>
      </c>
      <c r="K12" s="36"/>
      <c r="L12" s="36"/>
      <c r="M12" s="36"/>
      <c r="N12" s="36"/>
    </row>
    <row r="13" spans="1:14" x14ac:dyDescent="0.2">
      <c r="A13" s="20"/>
      <c r="B13" s="412" t="s">
        <v>67</v>
      </c>
      <c r="C13" s="412"/>
      <c r="D13" s="412"/>
      <c r="E13" s="22"/>
      <c r="F13" s="22" t="s">
        <v>1180</v>
      </c>
      <c r="G13" s="22" t="s">
        <v>68</v>
      </c>
      <c r="H13" s="22" t="s">
        <v>702</v>
      </c>
      <c r="I13" s="66">
        <f>64/ATHENS!O1*ATHENS!O2</f>
        <v>130.61224489795919</v>
      </c>
      <c r="J13" s="66">
        <f>79/ATHENS!O1*ATHENS!O2</f>
        <v>161.22448979591837</v>
      </c>
      <c r="L13" s="40"/>
      <c r="M13" s="38"/>
      <c r="N13" s="38"/>
    </row>
    <row r="14" spans="1:14" x14ac:dyDescent="0.2">
      <c r="A14" s="24"/>
      <c r="B14" s="411" t="s">
        <v>67</v>
      </c>
      <c r="C14" s="411"/>
      <c r="D14" s="411"/>
      <c r="E14" s="16"/>
      <c r="F14" s="16" t="s">
        <v>1181</v>
      </c>
      <c r="G14" s="16" t="s">
        <v>68</v>
      </c>
      <c r="H14" s="16" t="s">
        <v>702</v>
      </c>
      <c r="I14" s="66">
        <f>37/ATHENS!O1*ATHENS!O2</f>
        <v>75.510204081632651</v>
      </c>
      <c r="J14" s="66">
        <f>45/ATHENS!O1*ATHENS!O2</f>
        <v>91.83673469387756</v>
      </c>
      <c r="L14" s="40"/>
      <c r="M14" s="40"/>
      <c r="N14" s="40"/>
    </row>
    <row r="15" spans="1:14" ht="13.5" thickBot="1" x14ac:dyDescent="0.25">
      <c r="A15" s="28"/>
      <c r="B15" s="418" t="s">
        <v>67</v>
      </c>
      <c r="C15" s="418"/>
      <c r="D15" s="418"/>
      <c r="E15" s="30"/>
      <c r="F15" s="296" t="s">
        <v>1182</v>
      </c>
      <c r="G15" s="80" t="s">
        <v>68</v>
      </c>
      <c r="H15" s="30" t="s">
        <v>702</v>
      </c>
      <c r="I15" s="66">
        <f>30/ATHENS!O1*ATHENS!O2</f>
        <v>61.224489795918366</v>
      </c>
      <c r="J15" s="66">
        <f>36.7/ATHENS!O1*ATHENS!O2</f>
        <v>74.897959183673478</v>
      </c>
      <c r="K15" s="67"/>
      <c r="L15" s="42"/>
      <c r="M15" s="42"/>
      <c r="N15" s="42"/>
    </row>
  </sheetData>
  <customSheetViews>
    <customSheetView guid="{3C76061C-A85D-4390-B9DB-73E13038638C}" showPageBreaks="1" view="pageLayout">
      <selection activeCell="M51" sqref="M51"/>
      <pageMargins left="0.28125" right="0.25" top="0.6692913385826772" bottom="0.70866141732283472" header="0.23622047244094491" footer="0.47244094488188981"/>
      <pageSetup paperSize="9" orientation="portrait" horizontalDpi="4294967293" verticalDpi="4294967293" r:id="rId1"/>
      <headerFooter scaleWithDoc="0" alignWithMargins="0">
        <oddHeader>&amp;C TARIFF 2019
 (EURO)
Accommodation in &amp;A</oddHeader>
        <oddFooter>&amp;LAll rates are in EURO&amp;C
TARIFF 2019
&amp;RPage &amp;P</oddFooter>
      </headerFooter>
    </customSheetView>
  </customSheetViews>
  <mergeCells count="5">
    <mergeCell ref="B4:M4"/>
    <mergeCell ref="C7:N8"/>
    <mergeCell ref="B13:D13"/>
    <mergeCell ref="B14:D14"/>
    <mergeCell ref="B15:D15"/>
  </mergeCells>
  <hyperlinks>
    <hyperlink ref="B4:M4" r:id="rId2" display="Akteon Resort" xr:uid="{00000000-0004-0000-0F00-000000000000}"/>
  </hyperlinks>
  <pageMargins left="0.28125" right="0.25" top="0.6692913385826772" bottom="0.70866141732283472" header="0.23622047244094491" footer="0.47244094488188981"/>
  <pageSetup paperSize="9" orientation="portrait" horizontalDpi="4294967293" verticalDpi="4294967293" r:id="rId3"/>
  <headerFooter scaleWithDoc="0" alignWithMargins="0">
    <oddHeader xml:space="preserve">&amp;C TARIFF 2026
 (EURO)
</oddHeader>
    <oddFooter>&amp;LAll rates are in EURO&amp;C
TARIFF 2026
&amp;RPage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N28"/>
  <sheetViews>
    <sheetView showGridLines="0" view="pageLayout" topLeftCell="A49" workbookViewId="0">
      <selection activeCell="L114" sqref="L114"/>
    </sheetView>
  </sheetViews>
  <sheetFormatPr defaultRowHeight="12.75" x14ac:dyDescent="0.2"/>
  <cols>
    <col min="1" max="1" width="1.85546875" style="59" customWidth="1"/>
    <col min="2" max="3" width="10.7109375" style="59" customWidth="1"/>
    <col min="4" max="9" width="3.7109375" style="59" customWidth="1"/>
    <col min="10" max="14" width="10.7109375" style="59" customWidth="1"/>
    <col min="15" max="16384" width="9.140625" style="59"/>
  </cols>
  <sheetData>
    <row r="1" spans="1:14" x14ac:dyDescent="0.2">
      <c r="A1" s="20"/>
      <c r="B1" s="21"/>
      <c r="C1" s="21"/>
      <c r="D1" s="21"/>
      <c r="E1" s="22"/>
      <c r="F1" s="22"/>
      <c r="G1" s="22"/>
      <c r="H1" s="22"/>
      <c r="I1" s="22"/>
      <c r="J1" s="22"/>
      <c r="K1" s="22"/>
      <c r="L1" s="22"/>
      <c r="M1" s="22"/>
      <c r="N1" s="23"/>
    </row>
    <row r="2" spans="1:14" ht="15" x14ac:dyDescent="0.2">
      <c r="A2" s="24"/>
      <c r="B2" s="413" t="s">
        <v>531</v>
      </c>
      <c r="C2" s="414"/>
      <c r="D2" s="414"/>
      <c r="E2" s="414"/>
      <c r="F2" s="414"/>
      <c r="G2" s="414"/>
      <c r="H2" s="414"/>
      <c r="I2" s="414"/>
      <c r="J2" s="414"/>
      <c r="K2" s="414"/>
      <c r="L2" s="414"/>
      <c r="M2" s="415"/>
      <c r="N2" s="25" t="s">
        <v>96</v>
      </c>
    </row>
    <row r="3" spans="1:14" x14ac:dyDescent="0.2">
      <c r="A3" s="24"/>
      <c r="B3" s="26" t="s">
        <v>428</v>
      </c>
      <c r="C3" s="15" t="s">
        <v>941</v>
      </c>
      <c r="D3" s="15"/>
      <c r="E3" s="16"/>
      <c r="F3" s="16"/>
      <c r="G3" s="16"/>
      <c r="H3" s="16"/>
      <c r="I3" s="16"/>
      <c r="J3" s="16"/>
      <c r="K3" s="16"/>
      <c r="L3" s="16"/>
      <c r="M3" s="16"/>
      <c r="N3" s="27"/>
    </row>
    <row r="4" spans="1:14" x14ac:dyDescent="0.2">
      <c r="A4" s="24"/>
      <c r="B4" s="26" t="s">
        <v>429</v>
      </c>
      <c r="C4" s="15" t="s">
        <v>942</v>
      </c>
      <c r="D4" s="15"/>
      <c r="E4" s="16"/>
      <c r="F4" s="16"/>
      <c r="G4" s="16"/>
      <c r="H4" s="16"/>
      <c r="I4" s="16"/>
      <c r="J4" s="16"/>
      <c r="K4" s="16"/>
      <c r="L4" s="16"/>
      <c r="M4" s="16"/>
      <c r="N4" s="27"/>
    </row>
    <row r="5" spans="1:14" x14ac:dyDescent="0.2">
      <c r="A5" s="24"/>
      <c r="B5" s="26" t="s">
        <v>427</v>
      </c>
      <c r="C5" s="416" t="s">
        <v>533</v>
      </c>
      <c r="D5" s="416"/>
      <c r="E5" s="416"/>
      <c r="F5" s="416"/>
      <c r="G5" s="416"/>
      <c r="H5" s="416"/>
      <c r="I5" s="416"/>
      <c r="J5" s="416"/>
      <c r="K5" s="416"/>
      <c r="L5" s="416"/>
      <c r="M5" s="416"/>
      <c r="N5" s="417"/>
    </row>
    <row r="6" spans="1:14" x14ac:dyDescent="0.2">
      <c r="A6" s="24"/>
      <c r="B6" s="15"/>
      <c r="C6" s="416"/>
      <c r="D6" s="416"/>
      <c r="E6" s="416"/>
      <c r="F6" s="416"/>
      <c r="G6" s="416"/>
      <c r="H6" s="416"/>
      <c r="I6" s="416"/>
      <c r="J6" s="416"/>
      <c r="K6" s="416"/>
      <c r="L6" s="416"/>
      <c r="M6" s="416"/>
      <c r="N6" s="417"/>
    </row>
    <row r="7" spans="1:14" x14ac:dyDescent="0.2">
      <c r="A7" s="24"/>
      <c r="B7" s="15"/>
      <c r="C7" s="419"/>
      <c r="D7" s="419"/>
      <c r="E7" s="419"/>
      <c r="F7" s="419"/>
      <c r="G7" s="419"/>
      <c r="H7" s="419"/>
      <c r="I7" s="419"/>
      <c r="J7" s="419"/>
      <c r="K7" s="419"/>
      <c r="L7" s="419"/>
      <c r="M7" s="419"/>
      <c r="N7" s="420"/>
    </row>
    <row r="8" spans="1:14" ht="13.5" thickBot="1" x14ac:dyDescent="0.25">
      <c r="A8" s="28"/>
      <c r="B8" s="26" t="s">
        <v>430</v>
      </c>
      <c r="C8" s="29"/>
      <c r="D8" s="29"/>
      <c r="E8" s="30"/>
      <c r="F8" s="30"/>
      <c r="G8" s="30"/>
      <c r="H8" s="30"/>
      <c r="I8" s="30"/>
      <c r="J8" s="30"/>
      <c r="K8" s="30"/>
      <c r="L8" s="30"/>
      <c r="M8" s="30"/>
      <c r="N8" s="31"/>
    </row>
    <row r="9" spans="1:14" ht="13.5" thickBot="1" x14ac:dyDescent="0.25">
      <c r="A9" s="28"/>
      <c r="B9" s="49"/>
      <c r="C9" s="29"/>
      <c r="D9" s="29"/>
      <c r="E9" s="30"/>
      <c r="F9" s="30"/>
      <c r="G9" s="30"/>
      <c r="H9" s="30"/>
      <c r="I9" s="30"/>
      <c r="J9" s="30" t="s">
        <v>907</v>
      </c>
      <c r="K9" s="30"/>
      <c r="L9" s="30"/>
      <c r="M9" s="30"/>
      <c r="N9" s="31"/>
    </row>
    <row r="10" spans="1:14" ht="13.5" thickBot="1" x14ac:dyDescent="0.25">
      <c r="A10" s="28"/>
      <c r="B10" s="49" t="s">
        <v>263</v>
      </c>
      <c r="C10" s="29"/>
      <c r="D10" s="29"/>
      <c r="E10" s="30"/>
      <c r="F10" s="30"/>
      <c r="G10" s="30"/>
      <c r="H10" s="30"/>
      <c r="I10" s="30"/>
      <c r="J10" s="44" t="s">
        <v>817</v>
      </c>
      <c r="K10" s="36" t="s">
        <v>339</v>
      </c>
      <c r="L10" s="36" t="s">
        <v>610</v>
      </c>
      <c r="M10" s="36"/>
      <c r="N10" s="36"/>
    </row>
    <row r="11" spans="1:14" x14ac:dyDescent="0.2">
      <c r="A11" s="20"/>
      <c r="B11" s="412" t="s">
        <v>67</v>
      </c>
      <c r="C11" s="412"/>
      <c r="D11" s="412"/>
      <c r="E11" s="22"/>
      <c r="F11" s="22" t="s">
        <v>1180</v>
      </c>
      <c r="G11" s="22" t="s">
        <v>68</v>
      </c>
      <c r="H11" s="22" t="s">
        <v>702</v>
      </c>
      <c r="I11" s="22"/>
      <c r="J11" s="40">
        <f>90/ATHENS!O1*ATHENS!O2</f>
        <v>183.67346938775512</v>
      </c>
      <c r="K11" s="40">
        <f>99/ATHENS!O1*ATHENS!O2</f>
        <v>202.0408163265306</v>
      </c>
      <c r="L11" s="40">
        <f>117/ATHENS!O1*ATHENS!O2</f>
        <v>238.77551020408163</v>
      </c>
      <c r="M11" s="38"/>
      <c r="N11" s="38"/>
    </row>
    <row r="12" spans="1:14" x14ac:dyDescent="0.2">
      <c r="A12" s="24"/>
      <c r="B12" s="411" t="s">
        <v>67</v>
      </c>
      <c r="C12" s="411"/>
      <c r="D12" s="411"/>
      <c r="E12" s="16"/>
      <c r="F12" s="16" t="s">
        <v>1181</v>
      </c>
      <c r="G12" s="16" t="s">
        <v>68</v>
      </c>
      <c r="H12" s="16" t="s">
        <v>702</v>
      </c>
      <c r="I12" s="16"/>
      <c r="J12" s="40">
        <f>45/ATHENS!O1*ATHENS!O2</f>
        <v>91.83673469387756</v>
      </c>
      <c r="K12" s="40">
        <f>50/ATHENS!O1*ATHENS!O2</f>
        <v>102.04081632653062</v>
      </c>
      <c r="L12" s="40">
        <f>59/ATHENS!O1*ATHENS!O2</f>
        <v>120.40816326530613</v>
      </c>
      <c r="M12" s="40"/>
      <c r="N12" s="40"/>
    </row>
    <row r="13" spans="1:14" ht="13.5" thickBot="1" x14ac:dyDescent="0.25">
      <c r="A13" s="28"/>
      <c r="B13" s="418" t="s">
        <v>67</v>
      </c>
      <c r="C13" s="418"/>
      <c r="D13" s="418"/>
      <c r="E13" s="30"/>
      <c r="F13" s="30" t="s">
        <v>1182</v>
      </c>
      <c r="G13" s="30" t="s">
        <v>68</v>
      </c>
      <c r="H13" s="30" t="s">
        <v>702</v>
      </c>
      <c r="I13" s="30"/>
      <c r="J13" s="42">
        <f>45/ATHENS!O1*ATHENS!O2</f>
        <v>91.83673469387756</v>
      </c>
      <c r="K13" s="42">
        <f>48/ATHENS!O1*ATHENS!O2</f>
        <v>97.959183673469383</v>
      </c>
      <c r="L13" s="42">
        <f>54/ATHENS!O1*ATHENS!O2</f>
        <v>110.20408163265306</v>
      </c>
      <c r="M13" s="42"/>
      <c r="N13" s="42"/>
    </row>
    <row r="14" spans="1:14" ht="13.5" thickBot="1" x14ac:dyDescent="0.25">
      <c r="A14" s="14"/>
      <c r="B14" s="18"/>
      <c r="C14" s="18"/>
      <c r="D14" s="18"/>
      <c r="E14" s="19"/>
      <c r="F14" s="19"/>
      <c r="G14" s="19"/>
      <c r="H14" s="19"/>
      <c r="I14" s="19"/>
      <c r="J14" s="19"/>
      <c r="K14" s="19"/>
      <c r="L14" s="19"/>
      <c r="M14" s="19"/>
      <c r="N14" s="19"/>
    </row>
    <row r="15" spans="1:14" x14ac:dyDescent="0.2">
      <c r="A15" s="20"/>
      <c r="B15" s="21"/>
      <c r="C15" s="21"/>
      <c r="D15" s="21"/>
      <c r="E15" s="22"/>
      <c r="F15" s="22"/>
      <c r="G15" s="22"/>
      <c r="H15" s="22"/>
      <c r="I15" s="22"/>
      <c r="J15" s="22"/>
      <c r="K15" s="22"/>
      <c r="L15" s="22"/>
      <c r="M15" s="22"/>
      <c r="N15" s="23"/>
    </row>
    <row r="16" spans="1:14" ht="15" x14ac:dyDescent="0.2">
      <c r="A16" s="24"/>
      <c r="B16" s="413" t="s">
        <v>532</v>
      </c>
      <c r="C16" s="414"/>
      <c r="D16" s="414"/>
      <c r="E16" s="414"/>
      <c r="F16" s="414"/>
      <c r="G16" s="414"/>
      <c r="H16" s="414"/>
      <c r="I16" s="414"/>
      <c r="J16" s="414"/>
      <c r="K16" s="414"/>
      <c r="L16" s="414"/>
      <c r="M16" s="415"/>
      <c r="N16" s="25" t="s">
        <v>96</v>
      </c>
    </row>
    <row r="17" spans="1:14" x14ac:dyDescent="0.2">
      <c r="A17" s="24"/>
      <c r="B17" s="26" t="s">
        <v>428</v>
      </c>
      <c r="C17" s="15" t="s">
        <v>534</v>
      </c>
      <c r="D17" s="15"/>
      <c r="E17" s="16"/>
      <c r="F17" s="16"/>
      <c r="G17" s="16"/>
      <c r="H17" s="16"/>
      <c r="I17" s="16"/>
      <c r="J17" s="16"/>
      <c r="K17" s="16"/>
      <c r="L17" s="16"/>
      <c r="M17" s="16"/>
      <c r="N17" s="27"/>
    </row>
    <row r="18" spans="1:14" x14ac:dyDescent="0.2">
      <c r="A18" s="24"/>
      <c r="B18" s="26" t="s">
        <v>429</v>
      </c>
      <c r="C18" s="15" t="s">
        <v>943</v>
      </c>
      <c r="D18" s="15"/>
      <c r="E18" s="16"/>
      <c r="F18" s="16"/>
      <c r="G18" s="16"/>
      <c r="H18" s="16"/>
      <c r="I18" s="16"/>
      <c r="J18" s="16"/>
      <c r="K18" s="16"/>
      <c r="L18" s="16"/>
      <c r="M18" s="16"/>
      <c r="N18" s="27"/>
    </row>
    <row r="19" spans="1:14" x14ac:dyDescent="0.2">
      <c r="A19" s="24"/>
      <c r="B19" s="26" t="s">
        <v>427</v>
      </c>
      <c r="C19" s="416" t="s">
        <v>601</v>
      </c>
      <c r="D19" s="416"/>
      <c r="E19" s="416"/>
      <c r="F19" s="416"/>
      <c r="G19" s="416"/>
      <c r="H19" s="416"/>
      <c r="I19" s="416"/>
      <c r="J19" s="416"/>
      <c r="K19" s="416"/>
      <c r="L19" s="416"/>
      <c r="M19" s="416"/>
      <c r="N19" s="417"/>
    </row>
    <row r="20" spans="1:14" x14ac:dyDescent="0.2">
      <c r="A20" s="24"/>
      <c r="B20" s="15"/>
      <c r="C20" s="416"/>
      <c r="D20" s="416"/>
      <c r="E20" s="416"/>
      <c r="F20" s="416"/>
      <c r="G20" s="416"/>
      <c r="H20" s="416"/>
      <c r="I20" s="416"/>
      <c r="J20" s="416"/>
      <c r="K20" s="416"/>
      <c r="L20" s="416"/>
      <c r="M20" s="416"/>
      <c r="N20" s="417"/>
    </row>
    <row r="21" spans="1:14" ht="13.5" thickBot="1" x14ac:dyDescent="0.25">
      <c r="A21" s="28"/>
      <c r="B21" s="26" t="s">
        <v>430</v>
      </c>
      <c r="C21" s="29"/>
      <c r="D21" s="29"/>
      <c r="E21" s="30"/>
      <c r="F21" s="30"/>
      <c r="G21" s="30"/>
      <c r="H21" s="30"/>
      <c r="I21" s="30"/>
      <c r="J21" s="30"/>
      <c r="K21" s="30"/>
      <c r="L21" s="30"/>
      <c r="M21" s="30"/>
      <c r="N21" s="31"/>
    </row>
    <row r="22" spans="1:14" x14ac:dyDescent="0.2">
      <c r="A22" s="24"/>
      <c r="B22" s="21" t="s">
        <v>263</v>
      </c>
      <c r="C22" s="15"/>
      <c r="D22" s="15"/>
      <c r="E22" s="16"/>
      <c r="F22" s="16"/>
      <c r="G22" s="16"/>
      <c r="H22" s="16"/>
      <c r="I22" s="16"/>
      <c r="J22" s="58" t="s">
        <v>1894</v>
      </c>
      <c r="K22" s="55"/>
      <c r="L22" s="55"/>
      <c r="M22" s="55"/>
      <c r="N22" s="55"/>
    </row>
    <row r="23" spans="1:14" ht="13.5" thickBot="1" x14ac:dyDescent="0.25">
      <c r="A23" s="28"/>
      <c r="B23" s="29"/>
      <c r="C23" s="29"/>
      <c r="D23" s="29"/>
      <c r="E23" s="30"/>
      <c r="F23" s="30"/>
      <c r="G23" s="30"/>
      <c r="H23" s="30"/>
      <c r="I23" s="30"/>
      <c r="J23" s="44" t="s">
        <v>1895</v>
      </c>
      <c r="K23" s="36" t="s">
        <v>1896</v>
      </c>
      <c r="L23" s="36"/>
      <c r="M23" s="36"/>
      <c r="N23" s="36"/>
    </row>
    <row r="24" spans="1:14" x14ac:dyDescent="0.2">
      <c r="A24" s="20"/>
      <c r="B24" s="412" t="s">
        <v>67</v>
      </c>
      <c r="C24" s="412"/>
      <c r="D24" s="412"/>
      <c r="E24" s="22"/>
      <c r="F24" s="22" t="s">
        <v>1180</v>
      </c>
      <c r="G24" s="22" t="s">
        <v>68</v>
      </c>
      <c r="H24" s="22" t="s">
        <v>702</v>
      </c>
      <c r="I24" s="22"/>
      <c r="J24" s="66">
        <f>122.5/ATHENS!O1*ATHENS!O2</f>
        <v>250</v>
      </c>
      <c r="K24" s="66">
        <f>141.5/ATHENS!O1*ATHENS!O2</f>
        <v>288.77551020408163</v>
      </c>
      <c r="L24" s="40"/>
      <c r="M24" s="38"/>
      <c r="N24" s="38"/>
    </row>
    <row r="25" spans="1:14" x14ac:dyDescent="0.2">
      <c r="A25" s="24"/>
      <c r="B25" s="411" t="s">
        <v>67</v>
      </c>
      <c r="C25" s="411"/>
      <c r="D25" s="411"/>
      <c r="E25" s="16"/>
      <c r="F25" s="16" t="s">
        <v>1181</v>
      </c>
      <c r="G25" s="16" t="s">
        <v>68</v>
      </c>
      <c r="H25" s="16" t="s">
        <v>702</v>
      </c>
      <c r="I25" s="16"/>
      <c r="J25" s="66">
        <f>68.5/ATHENS!O1*ATHENS!O2</f>
        <v>139.79591836734693</v>
      </c>
      <c r="K25" s="66">
        <f>77.8/ATHENS!O1*ATHENS!O2</f>
        <v>158.77551020408163</v>
      </c>
      <c r="L25" s="40"/>
      <c r="M25" s="40"/>
      <c r="N25" s="40"/>
    </row>
    <row r="26" spans="1:14" ht="13.5" thickBot="1" x14ac:dyDescent="0.25">
      <c r="A26" s="28"/>
      <c r="B26" s="418" t="s">
        <v>1900</v>
      </c>
      <c r="C26" s="418"/>
      <c r="D26" s="418"/>
      <c r="E26" s="30"/>
      <c r="F26" s="30" t="s">
        <v>1182</v>
      </c>
      <c r="G26" s="30" t="s">
        <v>68</v>
      </c>
      <c r="H26" s="30" t="s">
        <v>702</v>
      </c>
      <c r="I26" s="30"/>
      <c r="J26" s="67">
        <f>89.7/ATHENS!O1*ATHENS!O2</f>
        <v>183.06122448979593</v>
      </c>
      <c r="K26" s="67">
        <f>100.5/ATHENS!O1*ATHENS!O2</f>
        <v>205.10204081632654</v>
      </c>
      <c r="L26" s="42"/>
      <c r="M26" s="42"/>
      <c r="N26" s="42"/>
    </row>
    <row r="27" spans="1:14" x14ac:dyDescent="0.2">
      <c r="A27" s="14"/>
      <c r="B27" s="18"/>
      <c r="C27" s="18"/>
      <c r="D27" s="18"/>
      <c r="E27" s="19"/>
      <c r="F27" s="19"/>
      <c r="G27" s="19"/>
      <c r="H27" s="19"/>
      <c r="I27" s="19"/>
      <c r="J27" s="19"/>
      <c r="K27" s="19"/>
      <c r="L27" s="19"/>
      <c r="M27" s="19"/>
      <c r="N27" s="19"/>
    </row>
    <row r="28" spans="1:14" x14ac:dyDescent="0.2">
      <c r="A28" s="14"/>
      <c r="B28" s="15"/>
      <c r="C28" s="15"/>
      <c r="D28" s="15"/>
      <c r="E28" s="16"/>
      <c r="F28" s="16"/>
      <c r="G28" s="16"/>
      <c r="H28" s="16"/>
      <c r="I28" s="16"/>
      <c r="J28" s="16"/>
      <c r="K28" s="16"/>
      <c r="L28" s="16"/>
      <c r="M28" s="16"/>
      <c r="N28" s="16"/>
    </row>
  </sheetData>
  <customSheetViews>
    <customSheetView guid="{3C76061C-A85D-4390-B9DB-73E13038638C}" showPageBreaks="1" showGridLines="0" view="pageLayout" topLeftCell="A49">
      <selection activeCell="M51" sqref="M51"/>
      <pageMargins left="0.28125" right="0.25" top="0.6692913385826772" bottom="0.70866141732283472" header="0.23622047244094491" footer="0.47244094488188981"/>
      <printOptions horizontalCentered="1"/>
      <pageSetup paperSize="9" firstPageNumber="50"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10">
    <mergeCell ref="B2:M2"/>
    <mergeCell ref="B11:D11"/>
    <mergeCell ref="B12:D12"/>
    <mergeCell ref="B25:D25"/>
    <mergeCell ref="B26:D26"/>
    <mergeCell ref="C5:N7"/>
    <mergeCell ref="B13:D13"/>
    <mergeCell ref="B16:M16"/>
    <mergeCell ref="C19:N20"/>
    <mergeCell ref="B24:D24"/>
  </mergeCells>
  <phoneticPr fontId="17" type="noConversion"/>
  <hyperlinks>
    <hyperlink ref="B2:M2" r:id="rId2" display="Angelika VIP Boutique" xr:uid="{00000000-0004-0000-1000-000000000000}"/>
    <hyperlink ref="B16:M16" r:id="rId3" display="Bratsera Traditional Settlement" xr:uid="{00000000-0004-0000-1000-000001000000}"/>
  </hyperlinks>
  <printOptions horizontalCentered="1"/>
  <pageMargins left="0.28125" right="0.25" top="0.6692913385826772" bottom="0.70866141732283472" header="0.23622047244094491" footer="0.47244094488188981"/>
  <pageSetup paperSize="9" firstPageNumber="50" orientation="portrait" useFirstPageNumber="1" horizontalDpi="300" verticalDpi="300" r:id="rId4"/>
  <headerFooter scaleWithDoc="0" alignWithMargins="0">
    <oddHeader xml:space="preserve">&amp;C TARIFF 2026
 (EURO)
</oddHeader>
    <oddFooter>&amp;LAll rates are in EURO&amp;C
TARIFF 2026
&amp;RPage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0"/>
  <sheetViews>
    <sheetView showGridLines="0" view="pageLayout" topLeftCell="A43" workbookViewId="0">
      <selection activeCell="L114" sqref="L114"/>
    </sheetView>
  </sheetViews>
  <sheetFormatPr defaultRowHeight="12.75" x14ac:dyDescent="0.2"/>
  <cols>
    <col min="1" max="1" width="1.85546875" style="59" customWidth="1"/>
    <col min="2" max="3" width="10.7109375" style="59" customWidth="1"/>
    <col min="4" max="9" width="3.7109375" style="59" customWidth="1"/>
    <col min="10" max="14" width="10.7109375" style="59" customWidth="1"/>
    <col min="15" max="16384" width="9.140625" style="59"/>
  </cols>
  <sheetData>
    <row r="1" spans="1:14" ht="13.5" thickBot="1" x14ac:dyDescent="0.25">
      <c r="A1" s="14"/>
      <c r="B1" s="15"/>
      <c r="C1" s="15"/>
      <c r="D1" s="15"/>
      <c r="E1" s="16"/>
      <c r="F1" s="16"/>
      <c r="G1" s="16"/>
      <c r="H1" s="16"/>
      <c r="I1" s="16"/>
      <c r="J1" s="16"/>
      <c r="K1" s="16"/>
      <c r="L1" s="16"/>
      <c r="M1" s="16"/>
      <c r="N1" s="16"/>
    </row>
    <row r="2" spans="1:14" x14ac:dyDescent="0.2">
      <c r="A2" s="20"/>
      <c r="B2" s="21"/>
      <c r="C2" s="21"/>
      <c r="D2" s="21"/>
      <c r="E2" s="22"/>
      <c r="F2" s="22"/>
      <c r="G2" s="22"/>
      <c r="H2" s="22"/>
      <c r="I2" s="22"/>
      <c r="J2" s="22"/>
      <c r="K2" s="22"/>
      <c r="L2" s="22"/>
      <c r="M2" s="22"/>
      <c r="N2" s="23"/>
    </row>
    <row r="3" spans="1:14" ht="15" x14ac:dyDescent="0.2">
      <c r="A3" s="24"/>
      <c r="B3" s="413" t="s">
        <v>1179</v>
      </c>
      <c r="C3" s="414"/>
      <c r="D3" s="414"/>
      <c r="E3" s="414"/>
      <c r="F3" s="414"/>
      <c r="G3" s="414"/>
      <c r="H3" s="414"/>
      <c r="I3" s="414"/>
      <c r="J3" s="414"/>
      <c r="K3" s="414"/>
      <c r="L3" s="414"/>
      <c r="M3" s="415"/>
      <c r="N3" s="25" t="s">
        <v>1104</v>
      </c>
    </row>
    <row r="4" spans="1:14" x14ac:dyDescent="0.2">
      <c r="A4" s="24"/>
      <c r="B4" s="26" t="s">
        <v>428</v>
      </c>
      <c r="C4" s="15" t="s">
        <v>1502</v>
      </c>
      <c r="D4" s="15"/>
      <c r="E4" s="16"/>
      <c r="F4" s="16"/>
      <c r="G4" s="16"/>
      <c r="H4" s="16"/>
      <c r="I4" s="16"/>
      <c r="J4" s="16"/>
      <c r="K4" s="16"/>
      <c r="L4" s="16"/>
      <c r="M4" s="16"/>
      <c r="N4" s="27"/>
    </row>
    <row r="5" spans="1:14" x14ac:dyDescent="0.2">
      <c r="A5" s="24"/>
      <c r="B5" s="26" t="s">
        <v>429</v>
      </c>
      <c r="C5" s="15" t="s">
        <v>944</v>
      </c>
      <c r="D5" s="15"/>
      <c r="E5" s="16"/>
      <c r="F5" s="16"/>
      <c r="G5" s="16"/>
      <c r="H5" s="16"/>
      <c r="I5" s="16"/>
      <c r="J5" s="16"/>
      <c r="K5" s="16"/>
      <c r="L5" s="16"/>
      <c r="M5" s="16"/>
      <c r="N5" s="27"/>
    </row>
    <row r="6" spans="1:14" x14ac:dyDescent="0.2">
      <c r="A6" s="24"/>
      <c r="B6" s="26" t="s">
        <v>427</v>
      </c>
      <c r="C6" s="416" t="s">
        <v>1634</v>
      </c>
      <c r="D6" s="416"/>
      <c r="E6" s="416"/>
      <c r="F6" s="416"/>
      <c r="G6" s="416"/>
      <c r="H6" s="416"/>
      <c r="I6" s="416"/>
      <c r="J6" s="416"/>
      <c r="K6" s="416"/>
      <c r="L6" s="416"/>
      <c r="M6" s="416"/>
      <c r="N6" s="417"/>
    </row>
    <row r="7" spans="1:14" x14ac:dyDescent="0.2">
      <c r="A7" s="24"/>
      <c r="B7" s="15"/>
      <c r="C7" s="416"/>
      <c r="D7" s="416"/>
      <c r="E7" s="416"/>
      <c r="F7" s="416"/>
      <c r="G7" s="416"/>
      <c r="H7" s="416"/>
      <c r="I7" s="416"/>
      <c r="J7" s="416"/>
      <c r="K7" s="416"/>
      <c r="L7" s="416"/>
      <c r="M7" s="416"/>
      <c r="N7" s="417"/>
    </row>
    <row r="8" spans="1:14" x14ac:dyDescent="0.2">
      <c r="A8" s="24"/>
      <c r="B8" s="15"/>
      <c r="C8" s="419"/>
      <c r="D8" s="419"/>
      <c r="E8" s="419"/>
      <c r="F8" s="419"/>
      <c r="G8" s="419"/>
      <c r="H8" s="419"/>
      <c r="I8" s="419"/>
      <c r="J8" s="419"/>
      <c r="K8" s="419"/>
      <c r="L8" s="419"/>
      <c r="M8" s="419"/>
      <c r="N8" s="420"/>
    </row>
    <row r="9" spans="1:14" x14ac:dyDescent="0.2">
      <c r="A9" s="24"/>
      <c r="B9" s="26" t="s">
        <v>426</v>
      </c>
      <c r="C9" s="15"/>
      <c r="D9" s="15"/>
      <c r="E9" s="16"/>
      <c r="F9" s="16"/>
      <c r="G9" s="16"/>
      <c r="H9" s="15"/>
      <c r="I9" s="16"/>
      <c r="J9" s="15"/>
      <c r="K9" s="16"/>
      <c r="L9" s="16"/>
      <c r="M9" s="16"/>
      <c r="N9" s="27"/>
    </row>
    <row r="10" spans="1:14" ht="13.5" thickBot="1" x14ac:dyDescent="0.25">
      <c r="A10" s="24"/>
      <c r="B10" s="26" t="s">
        <v>430</v>
      </c>
      <c r="C10" s="15"/>
      <c r="D10" s="15"/>
      <c r="E10" s="16"/>
      <c r="F10" s="16"/>
      <c r="G10" s="16"/>
      <c r="H10" s="16"/>
      <c r="I10" s="16"/>
      <c r="J10" s="16"/>
      <c r="K10" s="16"/>
      <c r="L10" s="16"/>
      <c r="M10" s="30"/>
      <c r="N10" s="31"/>
    </row>
    <row r="11" spans="1:14" ht="13.5" thickBot="1" x14ac:dyDescent="0.25">
      <c r="A11" s="14"/>
      <c r="B11" s="325" t="s">
        <v>1893</v>
      </c>
      <c r="C11" s="301"/>
      <c r="D11" s="301"/>
      <c r="E11" s="302"/>
      <c r="F11" s="302"/>
      <c r="G11" s="302"/>
      <c r="H11" s="302"/>
      <c r="I11" s="326"/>
      <c r="J11" s="216"/>
      <c r="K11" s="321"/>
      <c r="L11" s="322" t="s">
        <v>1888</v>
      </c>
      <c r="M11" s="30"/>
      <c r="N11" s="31"/>
    </row>
    <row r="12" spans="1:14" ht="13.5" thickBot="1" x14ac:dyDescent="0.25">
      <c r="A12" s="14"/>
      <c r="B12" s="327"/>
      <c r="C12" s="15"/>
      <c r="D12" s="15"/>
      <c r="E12" s="16"/>
      <c r="F12" s="16"/>
      <c r="G12" s="16"/>
      <c r="H12" s="16"/>
      <c r="I12" s="328"/>
      <c r="J12" s="297"/>
      <c r="K12" s="30"/>
      <c r="L12" s="323" t="s">
        <v>1805</v>
      </c>
      <c r="M12" s="30"/>
      <c r="N12" s="31"/>
    </row>
    <row r="13" spans="1:14" ht="13.5" thickBot="1" x14ac:dyDescent="0.25">
      <c r="A13" s="14"/>
      <c r="B13" s="327"/>
      <c r="C13" s="15"/>
      <c r="D13" s="15"/>
      <c r="E13" s="16"/>
      <c r="F13" s="16"/>
      <c r="G13" s="16"/>
      <c r="H13" s="16"/>
      <c r="I13" s="328"/>
      <c r="J13" s="297" t="s">
        <v>1881</v>
      </c>
      <c r="K13" s="30"/>
      <c r="L13" s="323" t="s">
        <v>1826</v>
      </c>
      <c r="M13" s="30"/>
      <c r="N13" s="31"/>
    </row>
    <row r="14" spans="1:14" ht="13.5" thickBot="1" x14ac:dyDescent="0.25">
      <c r="A14" s="14"/>
      <c r="B14" s="327"/>
      <c r="C14" s="15"/>
      <c r="D14" s="15"/>
      <c r="E14" s="16"/>
      <c r="F14" s="16"/>
      <c r="G14" s="16"/>
      <c r="H14" s="16"/>
      <c r="I14" s="328"/>
      <c r="J14" s="297" t="s">
        <v>1882</v>
      </c>
      <c r="K14" s="30"/>
      <c r="L14" s="323" t="s">
        <v>1889</v>
      </c>
      <c r="M14" s="30"/>
      <c r="N14" s="31"/>
    </row>
    <row r="15" spans="1:14" ht="13.5" thickBot="1" x14ac:dyDescent="0.25">
      <c r="A15" s="14"/>
      <c r="B15" s="327"/>
      <c r="C15" s="15"/>
      <c r="D15" s="15"/>
      <c r="E15" s="16"/>
      <c r="F15" s="16"/>
      <c r="G15" s="16"/>
      <c r="H15" s="16"/>
      <c r="I15" s="328"/>
      <c r="J15" s="297" t="s">
        <v>1883</v>
      </c>
      <c r="K15" s="30"/>
      <c r="L15" s="323" t="s">
        <v>1890</v>
      </c>
      <c r="M15" s="30"/>
      <c r="N15" s="31"/>
    </row>
    <row r="16" spans="1:14" ht="13.5" thickBot="1" x14ac:dyDescent="0.25">
      <c r="A16" s="14"/>
      <c r="B16" s="327"/>
      <c r="C16" s="15"/>
      <c r="D16" s="15"/>
      <c r="E16" s="16"/>
      <c r="F16" s="16"/>
      <c r="G16" s="16"/>
      <c r="H16" s="16"/>
      <c r="I16" s="328"/>
      <c r="J16" s="297" t="s">
        <v>1884</v>
      </c>
      <c r="K16" s="30" t="s">
        <v>1886</v>
      </c>
      <c r="L16" s="323" t="s">
        <v>1891</v>
      </c>
      <c r="M16" s="30"/>
      <c r="N16" s="31"/>
    </row>
    <row r="17" spans="1:14" ht="13.5" thickBot="1" x14ac:dyDescent="0.25">
      <c r="A17" s="14"/>
      <c r="B17" s="307"/>
      <c r="C17" s="308"/>
      <c r="D17" s="308"/>
      <c r="E17" s="309"/>
      <c r="F17" s="309"/>
      <c r="G17" s="309"/>
      <c r="H17" s="309"/>
      <c r="I17" s="324"/>
      <c r="J17" s="298" t="s">
        <v>1885</v>
      </c>
      <c r="K17" s="329" t="s">
        <v>1887</v>
      </c>
      <c r="L17" s="324" t="s">
        <v>1892</v>
      </c>
      <c r="M17" s="31"/>
      <c r="N17" s="36"/>
    </row>
    <row r="18" spans="1:14" x14ac:dyDescent="0.2">
      <c r="A18" s="24"/>
      <c r="B18" s="411" t="s">
        <v>67</v>
      </c>
      <c r="C18" s="411"/>
      <c r="D18" s="411"/>
      <c r="E18" s="16"/>
      <c r="F18" s="16" t="s">
        <v>1180</v>
      </c>
      <c r="G18" s="16" t="s">
        <v>68</v>
      </c>
      <c r="H18" s="16" t="s">
        <v>702</v>
      </c>
      <c r="I18" s="16"/>
      <c r="J18" s="66">
        <f>51.5/ATHENS!O1*ATHENS!O2</f>
        <v>105.10204081632654</v>
      </c>
      <c r="K18" s="40">
        <f>62/ATHENS!O1*ATHENS!O2</f>
        <v>126.53061224489797</v>
      </c>
      <c r="L18" s="40">
        <f>80/ATHENS!O1*ATHENS!O2</f>
        <v>163.26530612244898</v>
      </c>
      <c r="M18" s="38"/>
      <c r="N18" s="38"/>
    </row>
    <row r="19" spans="1:14" x14ac:dyDescent="0.2">
      <c r="A19" s="24"/>
      <c r="B19" s="411" t="s">
        <v>67</v>
      </c>
      <c r="C19" s="411"/>
      <c r="D19" s="411"/>
      <c r="E19" s="16"/>
      <c r="F19" s="16" t="s">
        <v>1181</v>
      </c>
      <c r="G19" s="16" t="s">
        <v>68</v>
      </c>
      <c r="H19" s="16" t="s">
        <v>702</v>
      </c>
      <c r="I19" s="16"/>
      <c r="J19" s="66">
        <f>28.5/ATHENS!O1*ATHENS!O2</f>
        <v>58.163265306122447</v>
      </c>
      <c r="K19" s="40">
        <f>34/ATHENS!O1*ATHENS!O2</f>
        <v>69.387755102040813</v>
      </c>
      <c r="L19" s="40">
        <f>44/ATHENS!O1*ATHENS!O2</f>
        <v>89.795918367346943</v>
      </c>
      <c r="M19" s="40"/>
      <c r="N19" s="40"/>
    </row>
    <row r="20" spans="1:14" ht="13.5" thickBot="1" x14ac:dyDescent="0.25">
      <c r="A20" s="28"/>
      <c r="B20" s="418" t="s">
        <v>67</v>
      </c>
      <c r="C20" s="418"/>
      <c r="D20" s="418"/>
      <c r="E20" s="30"/>
      <c r="F20" s="30" t="s">
        <v>1182</v>
      </c>
      <c r="G20" s="30" t="s">
        <v>68</v>
      </c>
      <c r="H20" s="30" t="s">
        <v>702</v>
      </c>
      <c r="I20" s="30"/>
      <c r="J20" s="67">
        <f>20.5/ATHENS!O1*ATHENS!O2</f>
        <v>41.836734693877553</v>
      </c>
      <c r="K20" s="42">
        <f>25/ATHENS!O1*ATHENS!O2</f>
        <v>51.020408163265309</v>
      </c>
      <c r="L20" s="42">
        <f>34/ATHENS!O1*ATHENS!O2</f>
        <v>69.387755102040813</v>
      </c>
      <c r="M20" s="42"/>
      <c r="N20" s="42"/>
    </row>
  </sheetData>
  <customSheetViews>
    <customSheetView guid="{3C76061C-A85D-4390-B9DB-73E13038638C}" showPageBreaks="1" showGridLines="0" view="pageLayout" topLeftCell="A43">
      <selection activeCell="M51" sqref="M51"/>
      <pageMargins left="0.28125" right="0.25" top="0.6692913385826772" bottom="0.70866141732283472" header="0.23622047244094491" footer="0.47244094488188981"/>
      <printOptions horizontalCentered="1"/>
      <pageSetup paperSize="9" firstPageNumber="51"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5">
    <mergeCell ref="C6:N8"/>
    <mergeCell ref="B18:D18"/>
    <mergeCell ref="B19:D19"/>
    <mergeCell ref="B20:D20"/>
    <mergeCell ref="B3:M3"/>
  </mergeCells>
  <phoneticPr fontId="17" type="noConversion"/>
  <hyperlinks>
    <hyperlink ref="B3:M3" r:id="rId2" display="Epirus Palace &amp; Congress Center" xr:uid="{00000000-0004-0000-1100-000000000000}"/>
  </hyperlinks>
  <printOptions horizontalCentered="1"/>
  <pageMargins left="0.28125" right="0.25" top="0.6692913385826772" bottom="0.70866141732283472" header="0.23622047244094491" footer="0.47244094488188981"/>
  <pageSetup paperSize="9" firstPageNumber="51" orientation="portrait" useFirstPageNumber="1" horizontalDpi="300" verticalDpi="300" r:id="rId3"/>
  <headerFooter scaleWithDoc="0" alignWithMargins="0">
    <oddHeader xml:space="preserve">&amp;C TARIFF 2026
 (EURO)
</oddHeader>
    <oddFooter>&amp;LAll rates are in EURO&amp;C
TARIFF 2026
&amp;RPage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5"/>
  <dimension ref="A1:N62"/>
  <sheetViews>
    <sheetView showGridLines="0" view="pageLayout" topLeftCell="A46" zoomScaleSheetLayoutView="55" workbookViewId="0">
      <selection activeCell="L114" sqref="L114"/>
    </sheetView>
  </sheetViews>
  <sheetFormatPr defaultRowHeight="12.75" x14ac:dyDescent="0.2"/>
  <cols>
    <col min="1" max="1" width="1.85546875" style="17" customWidth="1"/>
    <col min="2" max="3" width="10.7109375" style="17" customWidth="1"/>
    <col min="4" max="9" width="3.7109375" style="17" customWidth="1"/>
    <col min="10" max="14" width="10.7109375" style="17" customWidth="1"/>
    <col min="15" max="15" width="9.5703125" style="17" customWidth="1"/>
    <col min="16" max="16" width="5.7109375" style="17" customWidth="1"/>
    <col min="17" max="17" width="2.7109375" style="17" customWidth="1"/>
    <col min="18" max="18" width="3.5703125" style="17" customWidth="1"/>
    <col min="19" max="19" width="4.140625" style="17" customWidth="1"/>
    <col min="20" max="20" width="3.85546875" style="17" customWidth="1"/>
    <col min="21" max="27" width="2.7109375" style="17" customWidth="1"/>
    <col min="28" max="16384" width="9.140625" style="17"/>
  </cols>
  <sheetData>
    <row r="1" spans="1:14" x14ac:dyDescent="0.2">
      <c r="A1" s="20"/>
      <c r="B1" s="21"/>
      <c r="C1" s="21"/>
      <c r="D1" s="21"/>
      <c r="E1" s="22"/>
      <c r="F1" s="22"/>
      <c r="G1" s="22"/>
      <c r="H1" s="22"/>
      <c r="I1" s="22"/>
      <c r="J1" s="22"/>
      <c r="K1" s="22"/>
      <c r="L1" s="22"/>
      <c r="M1" s="22"/>
      <c r="N1" s="23"/>
    </row>
    <row r="2" spans="1:14" ht="15" x14ac:dyDescent="0.2">
      <c r="A2" s="24"/>
      <c r="B2" s="413" t="s">
        <v>194</v>
      </c>
      <c r="C2" s="414"/>
      <c r="D2" s="414"/>
      <c r="E2" s="414"/>
      <c r="F2" s="414"/>
      <c r="G2" s="414"/>
      <c r="H2" s="414"/>
      <c r="I2" s="414"/>
      <c r="J2" s="414"/>
      <c r="K2" s="414"/>
      <c r="L2" s="414"/>
      <c r="M2" s="415"/>
      <c r="N2" s="25" t="s">
        <v>96</v>
      </c>
    </row>
    <row r="3" spans="1:14" x14ac:dyDescent="0.2">
      <c r="A3" s="24"/>
      <c r="B3" s="26" t="s">
        <v>428</v>
      </c>
      <c r="C3" s="15" t="s">
        <v>1342</v>
      </c>
      <c r="D3" s="15"/>
      <c r="E3" s="16"/>
      <c r="F3" s="16"/>
      <c r="G3" s="16"/>
      <c r="H3" s="16"/>
      <c r="I3" s="16"/>
      <c r="J3" s="16"/>
      <c r="K3" s="16"/>
      <c r="L3" s="16"/>
      <c r="M3" s="16"/>
      <c r="N3" s="27"/>
    </row>
    <row r="4" spans="1:14" x14ac:dyDescent="0.2">
      <c r="A4" s="24"/>
      <c r="B4" s="26" t="s">
        <v>429</v>
      </c>
      <c r="C4" s="15" t="s">
        <v>1143</v>
      </c>
      <c r="D4" s="15"/>
      <c r="E4" s="16"/>
      <c r="F4" s="16"/>
      <c r="G4" s="16"/>
      <c r="H4" s="16"/>
      <c r="I4" s="16"/>
      <c r="J4" s="16"/>
      <c r="K4" s="16"/>
      <c r="L4" s="16"/>
      <c r="M4" s="16"/>
      <c r="N4" s="27"/>
    </row>
    <row r="5" spans="1:14" x14ac:dyDescent="0.2">
      <c r="A5" s="24"/>
      <c r="B5" s="26" t="s">
        <v>427</v>
      </c>
      <c r="C5" s="416" t="s">
        <v>1518</v>
      </c>
      <c r="D5" s="416"/>
      <c r="E5" s="416"/>
      <c r="F5" s="416"/>
      <c r="G5" s="416"/>
      <c r="H5" s="416"/>
      <c r="I5" s="416"/>
      <c r="J5" s="416"/>
      <c r="K5" s="416"/>
      <c r="L5" s="416"/>
      <c r="M5" s="416"/>
      <c r="N5" s="417"/>
    </row>
    <row r="6" spans="1:14" x14ac:dyDescent="0.2">
      <c r="A6" s="24"/>
      <c r="B6" s="26"/>
      <c r="C6" s="416"/>
      <c r="D6" s="416"/>
      <c r="E6" s="416"/>
      <c r="F6" s="416"/>
      <c r="G6" s="416"/>
      <c r="H6" s="416"/>
      <c r="I6" s="416"/>
      <c r="J6" s="416"/>
      <c r="K6" s="416"/>
      <c r="L6" s="416"/>
      <c r="M6" s="416"/>
      <c r="N6" s="417"/>
    </row>
    <row r="7" spans="1:14" x14ac:dyDescent="0.2">
      <c r="A7" s="24"/>
      <c r="B7" s="26"/>
      <c r="C7" s="419"/>
      <c r="D7" s="419"/>
      <c r="E7" s="419"/>
      <c r="F7" s="419"/>
      <c r="G7" s="419"/>
      <c r="H7" s="419"/>
      <c r="I7" s="419"/>
      <c r="J7" s="419"/>
      <c r="K7" s="419"/>
      <c r="L7" s="419"/>
      <c r="M7" s="419"/>
      <c r="N7" s="420"/>
    </row>
    <row r="8" spans="1:14" x14ac:dyDescent="0.2">
      <c r="A8" s="24"/>
      <c r="B8" s="26" t="s">
        <v>426</v>
      </c>
      <c r="C8" s="15" t="s">
        <v>748</v>
      </c>
      <c r="D8" s="15"/>
      <c r="E8" s="16"/>
      <c r="F8" s="16"/>
      <c r="G8" s="16"/>
      <c r="H8" s="16"/>
      <c r="I8" s="16"/>
      <c r="J8" s="16"/>
      <c r="K8" s="16"/>
      <c r="L8" s="16"/>
      <c r="M8" s="16"/>
      <c r="N8" s="27"/>
    </row>
    <row r="9" spans="1:14" ht="13.5" thickBot="1" x14ac:dyDescent="0.25">
      <c r="A9" s="24"/>
      <c r="B9" s="26" t="s">
        <v>430</v>
      </c>
      <c r="C9" s="15" t="s">
        <v>749</v>
      </c>
      <c r="D9" s="15"/>
      <c r="E9" s="16"/>
      <c r="F9" s="16"/>
      <c r="G9" s="16"/>
      <c r="H9" s="16"/>
      <c r="I9" s="16"/>
      <c r="J9" s="16"/>
      <c r="K9" s="16"/>
      <c r="L9" s="16"/>
      <c r="M9" s="16"/>
      <c r="N9" s="27"/>
    </row>
    <row r="10" spans="1:14" x14ac:dyDescent="0.2">
      <c r="A10" s="20"/>
      <c r="B10" s="21" t="s">
        <v>263</v>
      </c>
      <c r="C10" s="21"/>
      <c r="D10" s="21"/>
      <c r="E10" s="22"/>
      <c r="F10" s="22"/>
      <c r="G10" s="22"/>
      <c r="H10" s="22"/>
      <c r="I10" s="22"/>
      <c r="J10" s="82" t="s">
        <v>2101</v>
      </c>
      <c r="K10" s="33" t="s">
        <v>2103</v>
      </c>
      <c r="L10" s="33"/>
      <c r="M10" s="33"/>
      <c r="N10" s="33"/>
    </row>
    <row r="11" spans="1:14" ht="13.5" thickBot="1" x14ac:dyDescent="0.25">
      <c r="A11" s="28"/>
      <c r="B11" s="29"/>
      <c r="C11" s="29"/>
      <c r="D11" s="29"/>
      <c r="E11" s="30"/>
      <c r="F11" s="30"/>
      <c r="G11" s="30"/>
      <c r="H11" s="30"/>
      <c r="I11" s="30"/>
      <c r="J11" s="44" t="s">
        <v>2102</v>
      </c>
      <c r="K11" s="83" t="s">
        <v>273</v>
      </c>
      <c r="L11" s="83" t="s">
        <v>2104</v>
      </c>
      <c r="M11" s="83"/>
      <c r="N11" s="36"/>
    </row>
    <row r="12" spans="1:14" x14ac:dyDescent="0.2">
      <c r="A12" s="20"/>
      <c r="B12" s="412" t="s">
        <v>67</v>
      </c>
      <c r="C12" s="412"/>
      <c r="D12" s="412"/>
      <c r="E12" s="22"/>
      <c r="F12" s="22" t="s">
        <v>1180</v>
      </c>
      <c r="G12" s="22" t="s">
        <v>68</v>
      </c>
      <c r="H12" s="22" t="s">
        <v>702</v>
      </c>
      <c r="I12" s="22"/>
      <c r="J12" s="65">
        <f>54.5/ATHENS!O1*ATHENS!O2</f>
        <v>111.22448979591837</v>
      </c>
      <c r="K12" s="65">
        <f>87.6/ATHENS!O1*ATHENS!O2</f>
        <v>178.77551020408163</v>
      </c>
      <c r="L12" s="65">
        <f>169.95/ATHENS!O1*ATHENS!O2</f>
        <v>346.83673469387753</v>
      </c>
      <c r="M12" s="38"/>
      <c r="N12" s="38"/>
    </row>
    <row r="13" spans="1:14" x14ac:dyDescent="0.2">
      <c r="A13" s="24"/>
      <c r="B13" s="411" t="s">
        <v>67</v>
      </c>
      <c r="C13" s="411"/>
      <c r="D13" s="411"/>
      <c r="E13" s="16"/>
      <c r="F13" s="16" t="s">
        <v>1181</v>
      </c>
      <c r="G13" s="16" t="s">
        <v>68</v>
      </c>
      <c r="H13" s="16" t="s">
        <v>702</v>
      </c>
      <c r="I13" s="16"/>
      <c r="J13" s="66">
        <f>27.5/ATHENS!O1*ATHENS!O2</f>
        <v>56.122448979591837</v>
      </c>
      <c r="K13" s="66">
        <f>43.8/ATHENS!O1*ATHENS!O2</f>
        <v>89.387755102040813</v>
      </c>
      <c r="L13" s="66">
        <f>84.9/ATHENS!O1*ATHENS!O2</f>
        <v>173.265306122449</v>
      </c>
      <c r="M13" s="40"/>
      <c r="N13" s="40"/>
    </row>
    <row r="14" spans="1:14" ht="13.5" thickBot="1" x14ac:dyDescent="0.25">
      <c r="A14" s="28"/>
      <c r="B14" s="418" t="s">
        <v>67</v>
      </c>
      <c r="C14" s="418"/>
      <c r="D14" s="418"/>
      <c r="E14" s="30"/>
      <c r="F14" s="30" t="s">
        <v>1182</v>
      </c>
      <c r="G14" s="30" t="s">
        <v>68</v>
      </c>
      <c r="H14" s="30" t="s">
        <v>702</v>
      </c>
      <c r="I14" s="30"/>
      <c r="J14" s="67">
        <f>24.5/ATHENS!O1*ATHENS!O2</f>
        <v>50</v>
      </c>
      <c r="K14" s="67">
        <f>39.5/ATHENS!O1*ATHENS!O2</f>
        <v>80.612244897959187</v>
      </c>
      <c r="L14" s="67">
        <f>76.5/ATHENS!O1*ATHENS!O2</f>
        <v>156.12244897959184</v>
      </c>
      <c r="M14" s="42"/>
      <c r="N14" s="42"/>
    </row>
    <row r="15" spans="1:14" ht="13.5" thickBot="1" x14ac:dyDescent="0.25">
      <c r="A15" s="75"/>
      <c r="B15" s="49" t="s">
        <v>1114</v>
      </c>
      <c r="C15" s="49"/>
      <c r="D15" s="49"/>
      <c r="E15" s="49"/>
      <c r="F15" s="49"/>
      <c r="G15" s="49"/>
      <c r="H15" s="49"/>
      <c r="I15" s="56"/>
      <c r="J15" s="56"/>
      <c r="K15" s="56"/>
      <c r="L15" s="56"/>
      <c r="M15" s="56"/>
      <c r="N15" s="57"/>
    </row>
    <row r="16" spans="1:14" ht="13.5" thickBot="1" x14ac:dyDescent="0.25">
      <c r="A16" s="14"/>
      <c r="B16" s="15"/>
      <c r="C16" s="15"/>
      <c r="D16" s="15"/>
      <c r="E16" s="16"/>
      <c r="F16" s="16"/>
      <c r="G16" s="16"/>
      <c r="H16" s="16"/>
      <c r="I16" s="16"/>
      <c r="J16" s="16"/>
      <c r="K16" s="16"/>
      <c r="L16" s="16"/>
      <c r="M16" s="16"/>
      <c r="N16" s="16"/>
    </row>
    <row r="17" spans="1:14" x14ac:dyDescent="0.2">
      <c r="A17" s="20"/>
      <c r="B17" s="21"/>
      <c r="C17" s="21"/>
      <c r="D17" s="21"/>
      <c r="E17" s="22"/>
      <c r="F17" s="22"/>
      <c r="G17" s="22"/>
      <c r="H17" s="22"/>
      <c r="I17" s="22"/>
      <c r="J17" s="22"/>
      <c r="K17" s="22"/>
      <c r="L17" s="22"/>
      <c r="M17" s="22"/>
      <c r="N17" s="23"/>
    </row>
    <row r="18" spans="1:14" ht="15" x14ac:dyDescent="0.2">
      <c r="A18" s="24"/>
      <c r="B18" s="413" t="s">
        <v>925</v>
      </c>
      <c r="C18" s="414"/>
      <c r="D18" s="414"/>
      <c r="E18" s="414"/>
      <c r="F18" s="414"/>
      <c r="G18" s="414"/>
      <c r="H18" s="414"/>
      <c r="I18" s="414"/>
      <c r="J18" s="414"/>
      <c r="K18" s="414"/>
      <c r="L18" s="414"/>
      <c r="M18" s="415"/>
      <c r="N18" s="25" t="s">
        <v>685</v>
      </c>
    </row>
    <row r="19" spans="1:14" x14ac:dyDescent="0.2">
      <c r="A19" s="24"/>
      <c r="B19" s="26" t="s">
        <v>428</v>
      </c>
      <c r="C19" s="15" t="s">
        <v>1342</v>
      </c>
      <c r="D19" s="15"/>
      <c r="E19" s="16"/>
      <c r="F19" s="16"/>
      <c r="G19" s="16"/>
      <c r="H19" s="16"/>
      <c r="I19" s="16"/>
      <c r="J19" s="16"/>
      <c r="K19" s="16"/>
      <c r="L19" s="16"/>
      <c r="M19" s="16"/>
      <c r="N19" s="27"/>
    </row>
    <row r="20" spans="1:14" x14ac:dyDescent="0.2">
      <c r="A20" s="24"/>
      <c r="B20" s="26" t="s">
        <v>429</v>
      </c>
      <c r="C20" s="15" t="s">
        <v>394</v>
      </c>
      <c r="D20" s="15"/>
      <c r="E20" s="16"/>
      <c r="F20" s="16"/>
      <c r="G20" s="16"/>
      <c r="H20" s="16"/>
      <c r="I20" s="16"/>
      <c r="J20" s="16"/>
      <c r="K20" s="16"/>
      <c r="L20" s="16"/>
      <c r="M20" s="16"/>
      <c r="N20" s="27"/>
    </row>
    <row r="21" spans="1:14" x14ac:dyDescent="0.2">
      <c r="A21" s="24"/>
      <c r="B21" s="26" t="s">
        <v>427</v>
      </c>
      <c r="C21" s="433" t="s">
        <v>1517</v>
      </c>
      <c r="D21" s="433"/>
      <c r="E21" s="433"/>
      <c r="F21" s="433"/>
      <c r="G21" s="433"/>
      <c r="H21" s="433"/>
      <c r="I21" s="433"/>
      <c r="J21" s="433"/>
      <c r="K21" s="433"/>
      <c r="L21" s="433"/>
      <c r="M21" s="433"/>
      <c r="N21" s="434"/>
    </row>
    <row r="22" spans="1:14" x14ac:dyDescent="0.2">
      <c r="A22" s="24"/>
      <c r="B22" s="15"/>
      <c r="C22" s="433"/>
      <c r="D22" s="433"/>
      <c r="E22" s="433"/>
      <c r="F22" s="433"/>
      <c r="G22" s="433"/>
      <c r="H22" s="433"/>
      <c r="I22" s="433"/>
      <c r="J22" s="433"/>
      <c r="K22" s="433"/>
      <c r="L22" s="433"/>
      <c r="M22" s="433"/>
      <c r="N22" s="434"/>
    </row>
    <row r="23" spans="1:14" x14ac:dyDescent="0.2">
      <c r="A23" s="24"/>
      <c r="B23" s="15"/>
      <c r="C23" s="433"/>
      <c r="D23" s="433"/>
      <c r="E23" s="433"/>
      <c r="F23" s="433"/>
      <c r="G23" s="433"/>
      <c r="H23" s="433"/>
      <c r="I23" s="433"/>
      <c r="J23" s="433"/>
      <c r="K23" s="433"/>
      <c r="L23" s="433"/>
      <c r="M23" s="433"/>
      <c r="N23" s="434"/>
    </row>
    <row r="24" spans="1:14" ht="13.5" thickBot="1" x14ac:dyDescent="0.25">
      <c r="A24" s="24"/>
      <c r="B24" s="26" t="s">
        <v>426</v>
      </c>
      <c r="C24" s="15" t="s">
        <v>924</v>
      </c>
      <c r="D24" s="15"/>
      <c r="E24" s="16"/>
      <c r="F24" s="16"/>
      <c r="G24" s="16"/>
      <c r="H24" s="16"/>
      <c r="I24" s="16"/>
      <c r="J24" s="16"/>
      <c r="K24" s="16"/>
      <c r="L24" s="16"/>
      <c r="M24" s="16"/>
      <c r="N24" s="27"/>
    </row>
    <row r="25" spans="1:14" x14ac:dyDescent="0.2">
      <c r="A25" s="20"/>
      <c r="B25" s="21" t="s">
        <v>263</v>
      </c>
      <c r="C25" s="21"/>
      <c r="D25" s="21"/>
      <c r="E25" s="22"/>
      <c r="F25" s="22"/>
      <c r="G25" s="22"/>
      <c r="H25" s="22"/>
      <c r="I25" s="22"/>
      <c r="J25" s="32" t="s">
        <v>2105</v>
      </c>
      <c r="K25" s="33" t="s">
        <v>2106</v>
      </c>
      <c r="L25" s="33" t="s">
        <v>396</v>
      </c>
      <c r="M25" s="33"/>
      <c r="N25" s="33"/>
    </row>
    <row r="26" spans="1:14" ht="13.5" thickBot="1" x14ac:dyDescent="0.25">
      <c r="A26" s="28"/>
      <c r="B26" s="29"/>
      <c r="C26" s="29"/>
      <c r="D26" s="29"/>
      <c r="E26" s="30"/>
      <c r="F26" s="30"/>
      <c r="G26" s="30"/>
      <c r="H26" s="30"/>
      <c r="I26" s="30"/>
      <c r="J26" s="44" t="s">
        <v>481</v>
      </c>
      <c r="K26" s="36" t="s">
        <v>199</v>
      </c>
      <c r="L26" s="36" t="s">
        <v>200</v>
      </c>
      <c r="M26" s="36" t="s">
        <v>186</v>
      </c>
      <c r="N26" s="36"/>
    </row>
    <row r="27" spans="1:14" x14ac:dyDescent="0.2">
      <c r="A27" s="24"/>
      <c r="B27" s="411" t="s">
        <v>67</v>
      </c>
      <c r="C27" s="411"/>
      <c r="D27" s="411"/>
      <c r="E27" s="16"/>
      <c r="F27" s="16" t="s">
        <v>1180</v>
      </c>
      <c r="G27" s="16" t="s">
        <v>68</v>
      </c>
      <c r="H27" s="16" t="s">
        <v>702</v>
      </c>
      <c r="I27" s="16"/>
      <c r="J27" s="66">
        <f>68.6/ATHENS!O1*ATHENS!O2</f>
        <v>140</v>
      </c>
      <c r="K27" s="66">
        <f>94.5/ATHENS!O1*ATHENS!O2</f>
        <v>192.85714285714286</v>
      </c>
      <c r="L27" s="66">
        <f>117.5/ATHENS!O1*ATHENS!O2</f>
        <v>239.79591836734696</v>
      </c>
      <c r="M27" s="40">
        <f>180/ATHENS!O1*ATHENS!O2</f>
        <v>367.34693877551024</v>
      </c>
      <c r="N27" s="40"/>
    </row>
    <row r="28" spans="1:14" x14ac:dyDescent="0.2">
      <c r="A28" s="24"/>
      <c r="B28" s="411" t="s">
        <v>67</v>
      </c>
      <c r="C28" s="411"/>
      <c r="D28" s="411"/>
      <c r="E28" s="16"/>
      <c r="F28" s="16" t="s">
        <v>1181</v>
      </c>
      <c r="G28" s="16" t="s">
        <v>68</v>
      </c>
      <c r="H28" s="16" t="s">
        <v>702</v>
      </c>
      <c r="I28" s="16"/>
      <c r="J28" s="66">
        <f>25.5/ATHENS!O1*ATHENS!O2</f>
        <v>52.04081632653061</v>
      </c>
      <c r="K28" s="66">
        <f>52.5/ATHENS!O1*ATHENS!O2</f>
        <v>107.14285714285714</v>
      </c>
      <c r="L28" s="66">
        <f>65.5/ATHENS!O1*ATHENS!O2</f>
        <v>133.67346938775509</v>
      </c>
      <c r="M28" s="40">
        <f>100/ATHENS!O1*ATHENS!O2</f>
        <v>204.08163265306123</v>
      </c>
      <c r="N28" s="40"/>
    </row>
    <row r="29" spans="1:14" ht="13.5" thickBot="1" x14ac:dyDescent="0.25">
      <c r="A29" s="28"/>
      <c r="B29" s="418" t="s">
        <v>67</v>
      </c>
      <c r="C29" s="418"/>
      <c r="D29" s="418"/>
      <c r="E29" s="30"/>
      <c r="F29" s="30" t="s">
        <v>1182</v>
      </c>
      <c r="G29" s="30" t="s">
        <v>68</v>
      </c>
      <c r="H29" s="30" t="s">
        <v>702</v>
      </c>
      <c r="I29" s="30"/>
      <c r="J29" s="67">
        <f>35.9/ATHENS!O1*ATHENS!O2</f>
        <v>73.265306122448976</v>
      </c>
      <c r="K29" s="67">
        <f>45.57/ATHENS!O1*ATHENS!O2</f>
        <v>93</v>
      </c>
      <c r="L29" s="67">
        <f>53.9/ATHENS!O1*ATHENS!O2</f>
        <v>110</v>
      </c>
      <c r="M29" s="42">
        <f>77/ATHENS!O1*ATHENS!O2</f>
        <v>157.14285714285714</v>
      </c>
      <c r="N29" s="42"/>
    </row>
    <row r="30" spans="1:14" ht="13.5" thickBot="1" x14ac:dyDescent="0.25">
      <c r="A30" s="14"/>
      <c r="B30" s="15"/>
      <c r="C30" s="15"/>
      <c r="D30" s="15"/>
      <c r="E30" s="16"/>
      <c r="F30" s="16"/>
      <c r="G30" s="16"/>
      <c r="H30" s="16"/>
      <c r="I30" s="16"/>
      <c r="J30" s="16"/>
      <c r="K30" s="16"/>
      <c r="L30" s="16"/>
      <c r="M30" s="16"/>
      <c r="N30" s="16"/>
    </row>
    <row r="31" spans="1:14" x14ac:dyDescent="0.2">
      <c r="A31" s="20"/>
      <c r="B31" s="21"/>
      <c r="C31" s="21"/>
      <c r="D31" s="21"/>
      <c r="E31" s="22"/>
      <c r="F31" s="22"/>
      <c r="G31" s="22"/>
      <c r="H31" s="22"/>
      <c r="I31" s="22"/>
      <c r="J31" s="22"/>
      <c r="K31" s="22"/>
      <c r="L31" s="22"/>
      <c r="M31" s="22"/>
      <c r="N31" s="23"/>
    </row>
    <row r="32" spans="1:14" ht="15" x14ac:dyDescent="0.2">
      <c r="A32" s="24"/>
      <c r="B32" s="413" t="s">
        <v>750</v>
      </c>
      <c r="C32" s="414"/>
      <c r="D32" s="414"/>
      <c r="E32" s="414"/>
      <c r="F32" s="414"/>
      <c r="G32" s="414"/>
      <c r="H32" s="414"/>
      <c r="I32" s="414"/>
      <c r="J32" s="414"/>
      <c r="K32" s="414"/>
      <c r="L32" s="414"/>
      <c r="M32" s="415"/>
      <c r="N32" s="25" t="s">
        <v>685</v>
      </c>
    </row>
    <row r="33" spans="1:14" x14ac:dyDescent="0.2">
      <c r="A33" s="24"/>
      <c r="B33" s="26" t="s">
        <v>428</v>
      </c>
      <c r="C33" s="15" t="s">
        <v>1342</v>
      </c>
      <c r="D33" s="15"/>
      <c r="E33" s="16"/>
      <c r="F33" s="16"/>
      <c r="G33" s="16"/>
      <c r="H33" s="16"/>
      <c r="I33" s="16"/>
      <c r="J33" s="16"/>
      <c r="K33" s="16"/>
      <c r="L33" s="16"/>
      <c r="M33" s="16"/>
      <c r="N33" s="27"/>
    </row>
    <row r="34" spans="1:14" x14ac:dyDescent="0.2">
      <c r="A34" s="24"/>
      <c r="B34" s="26" t="s">
        <v>429</v>
      </c>
      <c r="C34" s="15" t="s">
        <v>1144</v>
      </c>
      <c r="D34" s="15"/>
      <c r="E34" s="16"/>
      <c r="F34" s="16"/>
      <c r="G34" s="16"/>
      <c r="H34" s="16"/>
      <c r="I34" s="16"/>
      <c r="J34" s="16"/>
      <c r="K34" s="16"/>
      <c r="L34" s="16"/>
      <c r="M34" s="16"/>
      <c r="N34" s="27"/>
    </row>
    <row r="35" spans="1:14" x14ac:dyDescent="0.2">
      <c r="A35" s="24"/>
      <c r="B35" s="26" t="s">
        <v>427</v>
      </c>
      <c r="C35" s="416" t="s">
        <v>1635</v>
      </c>
      <c r="D35" s="416"/>
      <c r="E35" s="416"/>
      <c r="F35" s="416"/>
      <c r="G35" s="416"/>
      <c r="H35" s="416"/>
      <c r="I35" s="416"/>
      <c r="J35" s="416"/>
      <c r="K35" s="416"/>
      <c r="L35" s="416"/>
      <c r="M35" s="416"/>
      <c r="N35" s="417"/>
    </row>
    <row r="36" spans="1:14" x14ac:dyDescent="0.2">
      <c r="A36" s="24"/>
      <c r="B36" s="26"/>
      <c r="C36" s="416"/>
      <c r="D36" s="416"/>
      <c r="E36" s="416"/>
      <c r="F36" s="416"/>
      <c r="G36" s="416"/>
      <c r="H36" s="416"/>
      <c r="I36" s="416"/>
      <c r="J36" s="416"/>
      <c r="K36" s="416"/>
      <c r="L36" s="416"/>
      <c r="M36" s="416"/>
      <c r="N36" s="417"/>
    </row>
    <row r="37" spans="1:14" x14ac:dyDescent="0.2">
      <c r="A37" s="24"/>
      <c r="B37" s="26" t="s">
        <v>426</v>
      </c>
      <c r="C37" s="15" t="s">
        <v>920</v>
      </c>
      <c r="D37" s="15"/>
      <c r="E37" s="16"/>
      <c r="F37" s="16"/>
      <c r="G37" s="16"/>
      <c r="H37" s="16"/>
      <c r="I37" s="16"/>
      <c r="J37" s="16"/>
      <c r="K37" s="16"/>
      <c r="L37" s="16"/>
      <c r="M37" s="16"/>
      <c r="N37" s="27"/>
    </row>
    <row r="38" spans="1:14" x14ac:dyDescent="0.2">
      <c r="A38" s="24"/>
      <c r="B38" s="26" t="s">
        <v>430</v>
      </c>
      <c r="C38" s="15" t="s">
        <v>921</v>
      </c>
      <c r="D38" s="15"/>
      <c r="E38" s="16"/>
      <c r="F38" s="16"/>
      <c r="G38" s="16"/>
      <c r="H38" s="16"/>
      <c r="I38" s="16"/>
      <c r="J38" s="16"/>
      <c r="K38" s="16"/>
      <c r="L38" s="16"/>
      <c r="M38" s="16"/>
      <c r="N38" s="27"/>
    </row>
    <row r="39" spans="1:14" ht="13.5" thickBot="1" x14ac:dyDescent="0.25">
      <c r="A39" s="28"/>
      <c r="B39" s="29"/>
      <c r="C39" s="29" t="s">
        <v>922</v>
      </c>
      <c r="D39" s="29"/>
      <c r="E39" s="30"/>
      <c r="F39" s="30"/>
      <c r="G39" s="30"/>
      <c r="H39" s="30"/>
      <c r="I39" s="30"/>
      <c r="J39" s="30"/>
      <c r="K39" s="30"/>
      <c r="L39" s="30"/>
      <c r="M39" s="30"/>
      <c r="N39" s="31"/>
    </row>
    <row r="40" spans="1:14" x14ac:dyDescent="0.2">
      <c r="A40" s="20"/>
      <c r="B40" s="21" t="s">
        <v>263</v>
      </c>
      <c r="C40" s="21"/>
      <c r="D40" s="21"/>
      <c r="E40" s="22"/>
      <c r="F40" s="22"/>
      <c r="G40" s="22"/>
      <c r="H40" s="22"/>
      <c r="I40" s="22"/>
      <c r="J40" s="32" t="s">
        <v>1507</v>
      </c>
      <c r="K40" s="33" t="s">
        <v>1582</v>
      </c>
      <c r="L40" s="33" t="s">
        <v>1914</v>
      </c>
      <c r="M40" s="33"/>
      <c r="N40" s="33"/>
    </row>
    <row r="41" spans="1:14" ht="13.5" thickBot="1" x14ac:dyDescent="0.25">
      <c r="A41" s="28"/>
      <c r="B41" s="29"/>
      <c r="C41" s="29"/>
      <c r="D41" s="29"/>
      <c r="E41" s="30"/>
      <c r="F41" s="30"/>
      <c r="G41" s="30"/>
      <c r="H41" s="30"/>
      <c r="I41" s="30"/>
      <c r="J41" s="44" t="s">
        <v>1836</v>
      </c>
      <c r="K41" s="36" t="s">
        <v>1913</v>
      </c>
      <c r="L41" s="36" t="s">
        <v>804</v>
      </c>
      <c r="M41" s="36" t="s">
        <v>1419</v>
      </c>
      <c r="N41" s="36"/>
    </row>
    <row r="42" spans="1:14" x14ac:dyDescent="0.2">
      <c r="A42" s="20"/>
      <c r="B42" s="412" t="s">
        <v>67</v>
      </c>
      <c r="C42" s="412"/>
      <c r="D42" s="412"/>
      <c r="E42" s="22"/>
      <c r="F42" s="22" t="s">
        <v>1180</v>
      </c>
      <c r="G42" s="22" t="s">
        <v>68</v>
      </c>
      <c r="H42" s="22" t="s">
        <v>702</v>
      </c>
      <c r="I42" s="22"/>
      <c r="J42" s="65">
        <f>38.5/ATHENS!O1*ATHENS!O2</f>
        <v>78.571428571428569</v>
      </c>
      <c r="K42" s="65">
        <f>50/ATHENS!O1*ATHENS!O2</f>
        <v>102.04081632653062</v>
      </c>
      <c r="L42" s="65">
        <f>71.5/ATHENS!O1*ATHENS!O2</f>
        <v>145.91836734693877</v>
      </c>
      <c r="M42" s="38">
        <f>94/ATHENS!O1*ATHENS!O2</f>
        <v>191.83673469387756</v>
      </c>
      <c r="N42" s="38"/>
    </row>
    <row r="43" spans="1:14" x14ac:dyDescent="0.2">
      <c r="A43" s="24"/>
      <c r="B43" s="411" t="s">
        <v>67</v>
      </c>
      <c r="C43" s="411"/>
      <c r="D43" s="411"/>
      <c r="E43" s="16"/>
      <c r="F43" s="16" t="s">
        <v>1181</v>
      </c>
      <c r="G43" s="16" t="s">
        <v>68</v>
      </c>
      <c r="H43" s="16" t="s">
        <v>702</v>
      </c>
      <c r="I43" s="16"/>
      <c r="J43" s="66">
        <f>27.5/ATHENS!O1*ATHENS!O2</f>
        <v>56.122448979591837</v>
      </c>
      <c r="K43" s="66">
        <f>35.7/ATHENS!O1*ATHENS!O2</f>
        <v>72.857142857142861</v>
      </c>
      <c r="L43" s="66">
        <f>46.7/ATHENS!O1*ATHENS!O2</f>
        <v>95.306122448979593</v>
      </c>
      <c r="M43" s="40">
        <f>63/ATHENS!O1*ATHENS!O2</f>
        <v>128.57142857142858</v>
      </c>
      <c r="N43" s="40"/>
    </row>
    <row r="44" spans="1:14" ht="13.5" thickBot="1" x14ac:dyDescent="0.25">
      <c r="A44" s="28"/>
      <c r="B44" s="418" t="s">
        <v>67</v>
      </c>
      <c r="C44" s="418"/>
      <c r="D44" s="418"/>
      <c r="E44" s="30"/>
      <c r="F44" s="30" t="s">
        <v>1182</v>
      </c>
      <c r="G44" s="30" t="s">
        <v>68</v>
      </c>
      <c r="H44" s="30" t="s">
        <v>702</v>
      </c>
      <c r="I44" s="30"/>
      <c r="J44" s="67">
        <f>23.8/ATHENS!O1*ATHENS!O2</f>
        <v>48.571428571428577</v>
      </c>
      <c r="K44" s="67">
        <f>31.5/ATHENS!O1*ATHENS!O2</f>
        <v>64.285714285714292</v>
      </c>
      <c r="L44" s="67">
        <f>40.5/ATHENS!O1*ATHENS!O2</f>
        <v>82.653061224489804</v>
      </c>
      <c r="M44" s="42">
        <f>52/ATHENS!O1*ATHENS!O2</f>
        <v>106.12244897959184</v>
      </c>
      <c r="N44" s="42"/>
    </row>
    <row r="45" spans="1:14" ht="13.5" thickBot="1" x14ac:dyDescent="0.25">
      <c r="A45" s="75"/>
      <c r="B45" s="49" t="s">
        <v>1115</v>
      </c>
      <c r="C45" s="49"/>
      <c r="D45" s="49"/>
      <c r="E45" s="56"/>
      <c r="F45" s="56"/>
      <c r="G45" s="56"/>
      <c r="H45" s="56"/>
      <c r="I45" s="56"/>
      <c r="J45" s="56"/>
      <c r="K45" s="56"/>
      <c r="L45" s="56"/>
      <c r="M45" s="56"/>
      <c r="N45" s="57"/>
    </row>
    <row r="46" spans="1:14" ht="13.5" thickBot="1" x14ac:dyDescent="0.25">
      <c r="A46" s="14"/>
      <c r="B46" s="15"/>
      <c r="C46" s="15"/>
      <c r="D46" s="15"/>
      <c r="E46" s="16"/>
      <c r="F46" s="16"/>
      <c r="G46" s="16"/>
      <c r="H46" s="16"/>
      <c r="I46" s="16"/>
      <c r="J46" s="16"/>
      <c r="K46" s="16"/>
      <c r="L46" s="16"/>
      <c r="M46" s="16"/>
      <c r="N46" s="16"/>
    </row>
    <row r="47" spans="1:14" x14ac:dyDescent="0.2">
      <c r="A47" s="20"/>
      <c r="B47" s="21"/>
      <c r="C47" s="21"/>
      <c r="D47" s="21"/>
      <c r="E47" s="22"/>
      <c r="F47" s="22"/>
      <c r="G47" s="22"/>
      <c r="H47" s="22"/>
      <c r="I47" s="22"/>
      <c r="J47" s="22"/>
      <c r="K47" s="22"/>
      <c r="L47" s="22"/>
      <c r="M47" s="22"/>
      <c r="N47" s="23"/>
    </row>
    <row r="48" spans="1:14" ht="15" x14ac:dyDescent="0.2">
      <c r="A48" s="24"/>
      <c r="B48" s="413" t="s">
        <v>923</v>
      </c>
      <c r="C48" s="414"/>
      <c r="D48" s="414"/>
      <c r="E48" s="414"/>
      <c r="F48" s="414"/>
      <c r="G48" s="414"/>
      <c r="H48" s="414"/>
      <c r="I48" s="414"/>
      <c r="J48" s="414"/>
      <c r="K48" s="414"/>
      <c r="L48" s="414"/>
      <c r="M48" s="415"/>
      <c r="N48" s="25" t="s">
        <v>685</v>
      </c>
    </row>
    <row r="49" spans="1:14" x14ac:dyDescent="0.2">
      <c r="A49" s="24"/>
      <c r="B49" s="26" t="s">
        <v>428</v>
      </c>
      <c r="C49" s="15" t="s">
        <v>1342</v>
      </c>
      <c r="D49" s="15"/>
      <c r="E49" s="16"/>
      <c r="F49" s="16"/>
      <c r="G49" s="16"/>
      <c r="H49" s="16"/>
      <c r="I49" s="16"/>
      <c r="J49" s="16"/>
      <c r="K49" s="16"/>
      <c r="L49" s="16"/>
      <c r="M49" s="16"/>
      <c r="N49" s="27"/>
    </row>
    <row r="50" spans="1:14" x14ac:dyDescent="0.2">
      <c r="A50" s="24"/>
      <c r="B50" s="26" t="s">
        <v>429</v>
      </c>
      <c r="C50" s="15" t="s">
        <v>1145</v>
      </c>
      <c r="D50" s="15"/>
      <c r="E50" s="16"/>
      <c r="F50" s="16"/>
      <c r="G50" s="16"/>
      <c r="H50" s="16"/>
      <c r="I50" s="16"/>
      <c r="J50" s="16"/>
      <c r="K50" s="16"/>
      <c r="L50" s="16"/>
      <c r="M50" s="16"/>
      <c r="N50" s="27"/>
    </row>
    <row r="51" spans="1:14" x14ac:dyDescent="0.2">
      <c r="A51" s="24"/>
      <c r="B51" s="26" t="s">
        <v>427</v>
      </c>
      <c r="C51" s="433" t="s">
        <v>1516</v>
      </c>
      <c r="D51" s="433"/>
      <c r="E51" s="433"/>
      <c r="F51" s="433"/>
      <c r="G51" s="433"/>
      <c r="H51" s="433"/>
      <c r="I51" s="433"/>
      <c r="J51" s="433"/>
      <c r="K51" s="433"/>
      <c r="L51" s="433"/>
      <c r="M51" s="433"/>
      <c r="N51" s="434"/>
    </row>
    <row r="52" spans="1:14" x14ac:dyDescent="0.2">
      <c r="A52" s="24"/>
      <c r="B52" s="26"/>
      <c r="C52" s="433"/>
      <c r="D52" s="433"/>
      <c r="E52" s="433"/>
      <c r="F52" s="433"/>
      <c r="G52" s="433"/>
      <c r="H52" s="433"/>
      <c r="I52" s="433"/>
      <c r="J52" s="433"/>
      <c r="K52" s="433"/>
      <c r="L52" s="433"/>
      <c r="M52" s="433"/>
      <c r="N52" s="434"/>
    </row>
    <row r="53" spans="1:14" x14ac:dyDescent="0.2">
      <c r="A53" s="24"/>
      <c r="B53" s="26" t="s">
        <v>426</v>
      </c>
      <c r="C53" s="15" t="s">
        <v>924</v>
      </c>
      <c r="D53" s="15"/>
      <c r="E53" s="16"/>
      <c r="F53" s="16"/>
      <c r="G53" s="16"/>
      <c r="H53" s="16"/>
      <c r="I53" s="16"/>
      <c r="J53" s="16"/>
      <c r="K53" s="16"/>
      <c r="L53" s="16"/>
      <c r="M53" s="16"/>
      <c r="N53" s="27"/>
    </row>
    <row r="54" spans="1:14" ht="13.5" thickBot="1" x14ac:dyDescent="0.25">
      <c r="A54" s="24"/>
      <c r="B54" s="26" t="s">
        <v>430</v>
      </c>
      <c r="C54" s="15" t="s">
        <v>1478</v>
      </c>
      <c r="D54" s="15"/>
      <c r="E54" s="16"/>
      <c r="F54" s="16"/>
      <c r="G54" s="16"/>
      <c r="H54" s="16"/>
      <c r="I54" s="16"/>
      <c r="J54" s="16"/>
      <c r="K54" s="16"/>
      <c r="L54" s="16"/>
      <c r="M54" s="16"/>
      <c r="N54" s="27"/>
    </row>
    <row r="55" spans="1:14" x14ac:dyDescent="0.2">
      <c r="A55" s="20"/>
      <c r="B55" s="21" t="s">
        <v>263</v>
      </c>
      <c r="C55" s="21"/>
      <c r="D55" s="21"/>
      <c r="E55" s="22"/>
      <c r="F55" s="22"/>
      <c r="G55" s="22"/>
      <c r="H55" s="22"/>
      <c r="I55" s="22"/>
      <c r="J55" s="32" t="s">
        <v>1507</v>
      </c>
      <c r="K55" s="33" t="s">
        <v>1582</v>
      </c>
      <c r="L55" s="33" t="s">
        <v>1914</v>
      </c>
      <c r="M55" s="33"/>
      <c r="N55" s="33"/>
    </row>
    <row r="56" spans="1:14" ht="13.5" thickBot="1" x14ac:dyDescent="0.25">
      <c r="A56" s="28"/>
      <c r="B56" s="29"/>
      <c r="C56" s="29"/>
      <c r="D56" s="29"/>
      <c r="E56" s="30"/>
      <c r="F56" s="30"/>
      <c r="G56" s="30"/>
      <c r="H56" s="30"/>
      <c r="I56" s="30"/>
      <c r="J56" s="44" t="s">
        <v>1836</v>
      </c>
      <c r="K56" s="36" t="s">
        <v>1913</v>
      </c>
      <c r="L56" s="36" t="s">
        <v>804</v>
      </c>
      <c r="M56" s="36" t="s">
        <v>1419</v>
      </c>
      <c r="N56" s="36"/>
    </row>
    <row r="57" spans="1:14" x14ac:dyDescent="0.2">
      <c r="A57" s="20"/>
      <c r="B57" s="412" t="s">
        <v>901</v>
      </c>
      <c r="C57" s="412"/>
      <c r="D57" s="412"/>
      <c r="E57" s="22"/>
      <c r="F57" s="16" t="s">
        <v>1180</v>
      </c>
      <c r="G57" s="22" t="s">
        <v>68</v>
      </c>
      <c r="H57" s="22" t="s">
        <v>702</v>
      </c>
      <c r="I57" s="22"/>
      <c r="J57" s="65">
        <f>38.5/ATHENS!O1*ATHENS!O2</f>
        <v>78.571428571428569</v>
      </c>
      <c r="K57" s="65">
        <f>50/ATHENS!O1*ATHENS!O2</f>
        <v>102.04081632653062</v>
      </c>
      <c r="L57" s="65">
        <f>71.5/ATHENS!O1*ATHENS!O2</f>
        <v>145.91836734693877</v>
      </c>
      <c r="M57" s="38">
        <f>94/ATHENS!O1*ATHENS!O2</f>
        <v>191.83673469387756</v>
      </c>
      <c r="N57" s="38"/>
    </row>
    <row r="58" spans="1:14" x14ac:dyDescent="0.2">
      <c r="A58" s="24"/>
      <c r="B58" s="411" t="s">
        <v>67</v>
      </c>
      <c r="C58" s="411"/>
      <c r="D58" s="411"/>
      <c r="E58" s="16"/>
      <c r="F58" s="16" t="s">
        <v>1181</v>
      </c>
      <c r="G58" s="16" t="s">
        <v>68</v>
      </c>
      <c r="H58" s="16" t="s">
        <v>702</v>
      </c>
      <c r="I58" s="16"/>
      <c r="J58" s="66">
        <f>27.5/ATHENS!O1*ATHENS!O2</f>
        <v>56.122448979591837</v>
      </c>
      <c r="K58" s="66">
        <f>35.7/ATHENS!O1*ATHENS!O2</f>
        <v>72.857142857142861</v>
      </c>
      <c r="L58" s="66">
        <f>46.7/ATHENS!O1*ATHENS!O2</f>
        <v>95.306122448979593</v>
      </c>
      <c r="M58" s="40">
        <f>63/ATHENS!O1*ATHENS!O2</f>
        <v>128.57142857142858</v>
      </c>
      <c r="N58" s="40"/>
    </row>
    <row r="59" spans="1:14" x14ac:dyDescent="0.2">
      <c r="A59" s="24"/>
      <c r="B59" s="411" t="s">
        <v>67</v>
      </c>
      <c r="C59" s="411"/>
      <c r="D59" s="411"/>
      <c r="E59" s="16"/>
      <c r="F59" s="16" t="s">
        <v>1182</v>
      </c>
      <c r="G59" s="16" t="s">
        <v>68</v>
      </c>
      <c r="H59" s="16" t="s">
        <v>702</v>
      </c>
      <c r="I59" s="16"/>
      <c r="J59" s="66">
        <f>23.8/ATHENS!O1*ATHENS!O2</f>
        <v>48.571428571428577</v>
      </c>
      <c r="K59" s="66">
        <f>31.5/ATHENS!O1*ATHENS!O2</f>
        <v>64.285714285714292</v>
      </c>
      <c r="L59" s="66">
        <f>40.5/ATHENS!O1*ATHENS!O2</f>
        <v>82.653061224489804</v>
      </c>
      <c r="M59" s="40">
        <f>52/ATHENS!O1*ATHENS!O2</f>
        <v>106.12244897959184</v>
      </c>
      <c r="N59" s="40"/>
    </row>
    <row r="60" spans="1:14" ht="13.5" thickBot="1" x14ac:dyDescent="0.25">
      <c r="A60" s="28"/>
      <c r="B60" s="418"/>
      <c r="C60" s="418"/>
      <c r="D60" s="418"/>
      <c r="E60" s="30"/>
      <c r="F60" s="84"/>
      <c r="G60" s="30"/>
      <c r="H60" s="30"/>
      <c r="I60" s="30"/>
      <c r="J60" s="67"/>
      <c r="K60" s="67"/>
      <c r="L60" s="67"/>
      <c r="M60" s="42"/>
      <c r="N60" s="42"/>
    </row>
    <row r="61" spans="1:14" x14ac:dyDescent="0.2">
      <c r="A61" s="20"/>
      <c r="B61" s="21" t="s">
        <v>374</v>
      </c>
      <c r="C61" s="21"/>
      <c r="D61" s="21"/>
      <c r="E61" s="22"/>
      <c r="F61" s="22"/>
      <c r="G61" s="22"/>
      <c r="H61" s="22"/>
      <c r="I61" s="22"/>
      <c r="J61" s="22"/>
      <c r="K61" s="22"/>
      <c r="L61" s="22"/>
      <c r="M61" s="22"/>
      <c r="N61" s="23"/>
    </row>
    <row r="62" spans="1:14" ht="13.5" thickBot="1" x14ac:dyDescent="0.25">
      <c r="A62" s="28"/>
      <c r="B62" s="29" t="s">
        <v>1116</v>
      </c>
      <c r="C62" s="29"/>
      <c r="D62" s="29"/>
      <c r="E62" s="30"/>
      <c r="F62" s="30"/>
      <c r="G62" s="30"/>
      <c r="H62" s="30"/>
      <c r="I62" s="30"/>
      <c r="J62" s="30"/>
      <c r="K62" s="30"/>
      <c r="L62" s="30"/>
      <c r="M62" s="30"/>
      <c r="N62" s="31"/>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view="pageLayout" topLeftCell="A46">
      <selection activeCell="M51" sqref="M51"/>
      <rowBreaks count="1" manualBreakCount="1">
        <brk id="46" max="16383" man="1"/>
      </rowBreaks>
      <pageMargins left="0.28125" right="0.25" top="0.6692913385826772" bottom="0.70866141732283472" header="0.23622047244094491" footer="0.47244094488188981"/>
      <printOptions horizontalCentered="1"/>
      <pageSetup paperSize="9" firstPageNumber="52"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21">
    <mergeCell ref="B60:D60"/>
    <mergeCell ref="B58:D58"/>
    <mergeCell ref="C51:N52"/>
    <mergeCell ref="B43:D43"/>
    <mergeCell ref="B48:M48"/>
    <mergeCell ref="B59:D59"/>
    <mergeCell ref="B57:D57"/>
    <mergeCell ref="B44:D44"/>
    <mergeCell ref="B2:M2"/>
    <mergeCell ref="B12:D12"/>
    <mergeCell ref="B13:D13"/>
    <mergeCell ref="C5:N7"/>
    <mergeCell ref="B18:M18"/>
    <mergeCell ref="B14:D14"/>
    <mergeCell ref="C21:N23"/>
    <mergeCell ref="B27:D27"/>
    <mergeCell ref="B32:M32"/>
    <mergeCell ref="B28:D28"/>
    <mergeCell ref="B42:D42"/>
    <mergeCell ref="C35:N36"/>
    <mergeCell ref="B29:D29"/>
  </mergeCells>
  <phoneticPr fontId="0" type="noConversion"/>
  <hyperlinks>
    <hyperlink ref="B32:M32" r:id="rId3" display="Far Out" xr:uid="{00000000-0004-0000-1200-000000000000}"/>
    <hyperlink ref="B2:M2" r:id="rId4" display="Dionysos" xr:uid="{00000000-0004-0000-1200-000001000000}"/>
    <hyperlink ref="B18:M18" r:id="rId5" display="Ios Palace" xr:uid="{00000000-0004-0000-1200-000002000000}"/>
    <hyperlink ref="B48:M48" r:id="rId6" display="Far Out Village" xr:uid="{00000000-0004-0000-1200-000003000000}"/>
  </hyperlinks>
  <printOptions horizontalCentered="1"/>
  <pageMargins left="0.28125" right="0.25" top="0.6692913385826772" bottom="0.70866141732283472" header="0.23622047244094491" footer="0.47244094488188981"/>
  <pageSetup paperSize="9" firstPageNumber="52" orientation="portrait" useFirstPageNumber="1" horizontalDpi="300" verticalDpi="300" r:id="rId7"/>
  <headerFooter scaleWithDoc="0" alignWithMargins="0">
    <oddHeader xml:space="preserve">&amp;C TARIFF 2026
 (EURO)
</oddHeader>
    <oddFooter>&amp;LAll rates are in EURO&amp;C
TARIFF 2026
&amp;RPage &amp;P</oddFooter>
  </headerFooter>
  <rowBreaks count="1" manualBreakCount="1">
    <brk id="4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1"/>
  <dimension ref="A2:G49"/>
  <sheetViews>
    <sheetView showGridLines="0" view="pageLayout" topLeftCell="A50" workbookViewId="0">
      <selection activeCell="L114" sqref="L114"/>
    </sheetView>
  </sheetViews>
  <sheetFormatPr defaultRowHeight="12.75" x14ac:dyDescent="0.2"/>
  <cols>
    <col min="1" max="1" width="2.5703125" customWidth="1"/>
    <col min="7" max="7" width="11.7109375" style="11" bestFit="1" customWidth="1"/>
  </cols>
  <sheetData>
    <row r="2" spans="1:7" x14ac:dyDescent="0.2">
      <c r="B2" s="353"/>
      <c r="C2" s="353"/>
      <c r="D2" s="353"/>
      <c r="E2" s="353"/>
    </row>
    <row r="3" spans="1:7" x14ac:dyDescent="0.2">
      <c r="B3" s="353"/>
      <c r="C3" s="353"/>
      <c r="D3" s="353"/>
      <c r="E3" s="353"/>
    </row>
    <row r="8" spans="1:7" x14ac:dyDescent="0.2">
      <c r="G8" s="11" t="s">
        <v>673</v>
      </c>
    </row>
    <row r="9" spans="1:7" x14ac:dyDescent="0.2">
      <c r="A9" s="12" t="s">
        <v>102</v>
      </c>
      <c r="B9" t="s">
        <v>503</v>
      </c>
      <c r="G9" s="135" t="s">
        <v>670</v>
      </c>
    </row>
    <row r="10" spans="1:7" x14ac:dyDescent="0.2">
      <c r="A10" s="12" t="s">
        <v>102</v>
      </c>
      <c r="B10" t="s">
        <v>112</v>
      </c>
      <c r="G10" s="136" t="s">
        <v>675</v>
      </c>
    </row>
    <row r="11" spans="1:7" x14ac:dyDescent="0.2">
      <c r="A11" s="12" t="s">
        <v>102</v>
      </c>
      <c r="B11" t="s">
        <v>504</v>
      </c>
      <c r="G11" s="136" t="s">
        <v>676</v>
      </c>
    </row>
    <row r="12" spans="1:7" x14ac:dyDescent="0.2">
      <c r="A12" s="12" t="s">
        <v>102</v>
      </c>
      <c r="B12" t="s">
        <v>505</v>
      </c>
      <c r="G12" s="136" t="s">
        <v>669</v>
      </c>
    </row>
    <row r="13" spans="1:7" x14ac:dyDescent="0.2">
      <c r="A13" s="11"/>
      <c r="G13" s="137"/>
    </row>
    <row r="14" spans="1:7" ht="15.75" x14ac:dyDescent="0.25">
      <c r="A14" s="352" t="s">
        <v>674</v>
      </c>
      <c r="B14" s="352"/>
      <c r="C14" s="352"/>
      <c r="G14" s="137"/>
    </row>
    <row r="15" spans="1:7" x14ac:dyDescent="0.2">
      <c r="A15" s="12" t="s">
        <v>102</v>
      </c>
      <c r="B15" s="59" t="s">
        <v>113</v>
      </c>
      <c r="G15" s="228" t="s">
        <v>2219</v>
      </c>
    </row>
    <row r="16" spans="1:7" x14ac:dyDescent="0.2">
      <c r="A16" s="12" t="s">
        <v>102</v>
      </c>
      <c r="B16" s="59" t="s">
        <v>1129</v>
      </c>
      <c r="G16" s="136">
        <v>22</v>
      </c>
    </row>
    <row r="17" spans="1:7" x14ac:dyDescent="0.2">
      <c r="A17" s="12" t="s">
        <v>102</v>
      </c>
      <c r="B17" s="59" t="s">
        <v>1128</v>
      </c>
      <c r="G17" s="136">
        <v>23</v>
      </c>
    </row>
    <row r="18" spans="1:7" x14ac:dyDescent="0.2">
      <c r="A18" s="12" t="s">
        <v>102</v>
      </c>
      <c r="B18" s="59" t="s">
        <v>1130</v>
      </c>
      <c r="G18" s="136">
        <v>24</v>
      </c>
    </row>
    <row r="19" spans="1:7" x14ac:dyDescent="0.2">
      <c r="A19" s="12" t="s">
        <v>102</v>
      </c>
      <c r="B19" s="59" t="s">
        <v>1131</v>
      </c>
      <c r="G19" s="136">
        <v>26</v>
      </c>
    </row>
    <row r="20" spans="1:7" x14ac:dyDescent="0.2">
      <c r="A20" s="12" t="s">
        <v>102</v>
      </c>
      <c r="B20" t="s">
        <v>114</v>
      </c>
      <c r="G20" s="136" t="s">
        <v>2224</v>
      </c>
    </row>
    <row r="21" spans="1:7" x14ac:dyDescent="0.2">
      <c r="A21" s="12" t="s">
        <v>102</v>
      </c>
      <c r="B21" t="s">
        <v>115</v>
      </c>
      <c r="G21" s="136" t="s">
        <v>2225</v>
      </c>
    </row>
    <row r="22" spans="1:7" x14ac:dyDescent="0.2">
      <c r="A22" s="12" t="s">
        <v>102</v>
      </c>
      <c r="B22" t="s">
        <v>1132</v>
      </c>
      <c r="G22" s="136" t="s">
        <v>327</v>
      </c>
    </row>
    <row r="23" spans="1:7" x14ac:dyDescent="0.2">
      <c r="A23" s="12" t="s">
        <v>102</v>
      </c>
      <c r="B23" t="s">
        <v>1513</v>
      </c>
      <c r="G23" s="136">
        <v>48</v>
      </c>
    </row>
    <row r="24" spans="1:7" x14ac:dyDescent="0.2">
      <c r="A24" s="12"/>
      <c r="B24" t="s">
        <v>2221</v>
      </c>
      <c r="G24" s="136">
        <v>49</v>
      </c>
    </row>
    <row r="25" spans="1:7" x14ac:dyDescent="0.2">
      <c r="A25" s="12" t="s">
        <v>102</v>
      </c>
      <c r="B25" t="s">
        <v>1514</v>
      </c>
      <c r="G25" s="136">
        <v>50</v>
      </c>
    </row>
    <row r="26" spans="1:7" x14ac:dyDescent="0.2">
      <c r="A26" s="12" t="s">
        <v>102</v>
      </c>
      <c r="B26" t="s">
        <v>1515</v>
      </c>
      <c r="G26" s="136">
        <v>51</v>
      </c>
    </row>
    <row r="27" spans="1:7" x14ac:dyDescent="0.2">
      <c r="A27" s="12" t="s">
        <v>102</v>
      </c>
      <c r="B27" t="s">
        <v>116</v>
      </c>
      <c r="G27" s="136" t="s">
        <v>328</v>
      </c>
    </row>
    <row r="28" spans="1:7" x14ac:dyDescent="0.2">
      <c r="A28" s="12"/>
      <c r="B28" t="s">
        <v>2220</v>
      </c>
      <c r="G28" s="136">
        <v>54</v>
      </c>
    </row>
    <row r="29" spans="1:7" x14ac:dyDescent="0.2">
      <c r="A29" s="12" t="s">
        <v>102</v>
      </c>
      <c r="B29" t="s">
        <v>1519</v>
      </c>
      <c r="G29" s="136" t="s">
        <v>2226</v>
      </c>
    </row>
    <row r="30" spans="1:7" x14ac:dyDescent="0.2">
      <c r="A30" s="12" t="s">
        <v>102</v>
      </c>
      <c r="B30" t="s">
        <v>1520</v>
      </c>
      <c r="G30" s="136">
        <v>57</v>
      </c>
    </row>
    <row r="31" spans="1:7" x14ac:dyDescent="0.2">
      <c r="A31" s="12" t="s">
        <v>102</v>
      </c>
      <c r="B31" t="s">
        <v>117</v>
      </c>
      <c r="G31" s="136">
        <v>58</v>
      </c>
    </row>
    <row r="32" spans="1:7" x14ac:dyDescent="0.2">
      <c r="A32" s="12" t="s">
        <v>102</v>
      </c>
      <c r="B32" t="s">
        <v>1521</v>
      </c>
      <c r="G32" s="136">
        <v>59</v>
      </c>
    </row>
    <row r="33" spans="1:7" x14ac:dyDescent="0.2">
      <c r="A33" s="12" t="s">
        <v>102</v>
      </c>
      <c r="B33" t="s">
        <v>118</v>
      </c>
      <c r="G33" s="136" t="s">
        <v>329</v>
      </c>
    </row>
    <row r="34" spans="1:7" x14ac:dyDescent="0.2">
      <c r="A34" s="12" t="s">
        <v>102</v>
      </c>
      <c r="B34" t="s">
        <v>1522</v>
      </c>
      <c r="G34" s="136" t="s">
        <v>2227</v>
      </c>
    </row>
    <row r="35" spans="1:7" x14ac:dyDescent="0.2">
      <c r="A35" s="12" t="s">
        <v>102</v>
      </c>
      <c r="B35" s="59" t="s">
        <v>1523</v>
      </c>
      <c r="G35" s="136" t="s">
        <v>2228</v>
      </c>
    </row>
    <row r="36" spans="1:7" x14ac:dyDescent="0.2">
      <c r="A36" s="12" t="s">
        <v>102</v>
      </c>
      <c r="B36" s="59" t="s">
        <v>1524</v>
      </c>
      <c r="G36" s="136">
        <v>75</v>
      </c>
    </row>
    <row r="37" spans="1:7" x14ac:dyDescent="0.2">
      <c r="A37" s="12" t="s">
        <v>102</v>
      </c>
      <c r="B37" s="59" t="s">
        <v>1525</v>
      </c>
      <c r="G37" s="136">
        <v>77</v>
      </c>
    </row>
    <row r="38" spans="1:7" x14ac:dyDescent="0.2">
      <c r="A38" s="12" t="s">
        <v>102</v>
      </c>
      <c r="B38" t="s">
        <v>12</v>
      </c>
      <c r="G38" s="136" t="s">
        <v>2229</v>
      </c>
    </row>
    <row r="39" spans="1:7" x14ac:dyDescent="0.2">
      <c r="A39" s="12" t="s">
        <v>102</v>
      </c>
      <c r="B39" t="s">
        <v>1526</v>
      </c>
      <c r="G39" s="136">
        <v>84</v>
      </c>
    </row>
    <row r="40" spans="1:7" x14ac:dyDescent="0.2">
      <c r="A40" s="12" t="s">
        <v>102</v>
      </c>
      <c r="B40" t="s">
        <v>1527</v>
      </c>
      <c r="G40" s="136">
        <v>85</v>
      </c>
    </row>
    <row r="41" spans="1:7" x14ac:dyDescent="0.2">
      <c r="A41" s="12"/>
      <c r="B41" t="s">
        <v>2223</v>
      </c>
      <c r="G41" s="136">
        <v>86</v>
      </c>
    </row>
    <row r="42" spans="1:7" x14ac:dyDescent="0.2">
      <c r="A42" s="12" t="s">
        <v>102</v>
      </c>
      <c r="B42" t="s">
        <v>535</v>
      </c>
      <c r="G42" s="136" t="s">
        <v>2230</v>
      </c>
    </row>
    <row r="43" spans="1:7" x14ac:dyDescent="0.2">
      <c r="A43" s="12" t="s">
        <v>102</v>
      </c>
      <c r="B43" t="s">
        <v>9</v>
      </c>
      <c r="G43" s="136">
        <v>92</v>
      </c>
    </row>
    <row r="44" spans="1:7" x14ac:dyDescent="0.2">
      <c r="A44" s="12" t="s">
        <v>102</v>
      </c>
      <c r="B44" t="s">
        <v>10</v>
      </c>
      <c r="G44" s="136" t="s">
        <v>2231</v>
      </c>
    </row>
    <row r="45" spans="1:7" x14ac:dyDescent="0.2">
      <c r="A45" s="12" t="s">
        <v>102</v>
      </c>
      <c r="B45" t="s">
        <v>11</v>
      </c>
      <c r="G45" s="136" t="s">
        <v>2232</v>
      </c>
    </row>
    <row r="46" spans="1:7" x14ac:dyDescent="0.2">
      <c r="A46" s="12" t="s">
        <v>102</v>
      </c>
      <c r="B46" t="s">
        <v>1530</v>
      </c>
      <c r="G46" s="136" t="s">
        <v>2233</v>
      </c>
    </row>
    <row r="47" spans="1:7" x14ac:dyDescent="0.2">
      <c r="A47" s="12" t="s">
        <v>102</v>
      </c>
      <c r="B47" t="s">
        <v>2222</v>
      </c>
      <c r="G47" s="136">
        <v>111</v>
      </c>
    </row>
    <row r="48" spans="1:7" x14ac:dyDescent="0.2">
      <c r="A48" s="12" t="s">
        <v>102</v>
      </c>
      <c r="B48" s="59" t="s">
        <v>1531</v>
      </c>
      <c r="G48" s="136" t="s">
        <v>2234</v>
      </c>
    </row>
    <row r="49" spans="1:7" x14ac:dyDescent="0.2">
      <c r="A49" s="12" t="s">
        <v>102</v>
      </c>
      <c r="B49" s="59" t="s">
        <v>1532</v>
      </c>
      <c r="G49" s="136" t="s">
        <v>2235</v>
      </c>
    </row>
  </sheetData>
  <customSheetViews>
    <customSheetView guid="{95D45CB7-1E39-11D6-AFD7-008048E20DDD}" showRuler="0" topLeftCell="A167">
      <selection activeCell="A167" sqref="A167"/>
      <pageMargins left="0.75" right="0.75" top="1" bottom="1" header="0.5" footer="0.5"/>
      <pageSetup paperSize="9" orientation="portrait" horizontalDpi="4294967293" r:id="rId1"/>
      <headerFooter alignWithMargins="0"/>
    </customSheetView>
    <customSheetView guid="{777CFE61-6F99-11D9-974B-0050BFD074B6}" showRuler="0">
      <selection activeCell="L11" sqref="L11"/>
      <pageMargins left="0.75" right="0.75" top="1" bottom="1" header="0.5" footer="0.5"/>
      <pageSetup paperSize="9" orientation="portrait" horizontalDpi="4294967293" r:id="rId2"/>
      <headerFooter alignWithMargins="0"/>
    </customSheetView>
    <customSheetView guid="{3C76061C-A85D-4390-B9DB-73E13038638C}" showPageBreaks="1" showGridLines="0" view="pageLayout">
      <selection activeCell="C10" sqref="C10"/>
      <pageMargins left="0.28125" right="0.25" top="0.6692913385826772" bottom="0.70866141732283472" header="0.23622047244094491" footer="0.47244094488188981"/>
      <printOptions horizontalCentered="1"/>
      <pageSetup paperSize="9" orientation="portrait" r:id="rId3"/>
      <headerFooter scaleWithDoc="0" alignWithMargins="0">
        <oddHeader xml:space="preserve">&amp;C TARIFF 2019
 (EURO)
</oddHeader>
        <oddFooter>&amp;LAll rates are in EURO&amp;C
TARIFF 2019
&amp;RPage &amp;P</oddFooter>
      </headerFooter>
    </customSheetView>
  </customSheetViews>
  <mergeCells count="2">
    <mergeCell ref="A14:C14"/>
    <mergeCell ref="B2:E3"/>
  </mergeCells>
  <phoneticPr fontId="0" type="noConversion"/>
  <hyperlinks>
    <hyperlink ref="G9" location="INFO!A1" display="I" xr:uid="{00000000-0004-0000-0100-000000000000}"/>
    <hyperlink ref="G10" location="PAY!A1" display="II" xr:uid="{00000000-0004-0000-0100-000001000000}"/>
    <hyperlink ref="G11" location="GLOSSARY!A1" display="III" xr:uid="{00000000-0004-0000-0100-000002000000}"/>
    <hyperlink ref="G12" location="TRANSFERS!A1" display="IV – V – VI" xr:uid="{00000000-0004-0000-0100-000003000000}"/>
    <hyperlink ref="G15" location="ATHENS!A1" display="01 – 17" xr:uid="{00000000-0004-0000-0100-000004000000}"/>
    <hyperlink ref="G20" location="CORFU!A1" display="30 - 34" xr:uid="{00000000-0004-0000-0100-000005000000}"/>
    <hyperlink ref="G21" location="CRETE!A1" display="35 – 45" xr:uid="{00000000-0004-0000-0100-000006000000}"/>
    <hyperlink ref="G27" location="IOS!A1" display="53 - 54" xr:uid="{00000000-0004-0000-0100-000007000000}"/>
    <hyperlink ref="G31" location="KOS!A1" display="KOS!A1" xr:uid="{00000000-0004-0000-0100-000008000000}"/>
    <hyperlink ref="G33" location="MYCONOS!A1" display="61 - 70" xr:uid="{00000000-0004-0000-0100-000009000000}"/>
    <hyperlink ref="G38" location="PAROS!A1" display="80 - 81" xr:uid="{00000000-0004-0000-0100-00000A000000}"/>
    <hyperlink ref="G42" location="RHODES!A1" display="84 - 91" xr:uid="{00000000-0004-0000-0100-00000B000000}"/>
    <hyperlink ref="G43" location="SAMOS!A1" display="92 - 93" xr:uid="{00000000-0004-0000-0100-00000C000000}"/>
    <hyperlink ref="G44" location="SANTORINI!A1" display="94 - 105" xr:uid="{00000000-0004-0000-0100-00000D000000}"/>
    <hyperlink ref="G45" location="SKIATHOS!A1" display="106 -108" xr:uid="{00000000-0004-0000-0100-00000E000000}"/>
    <hyperlink ref="G17" location="ARACHOVA!A1" display="ARACHOVA!A1" xr:uid="{00000000-0004-0000-0100-00000F000000}"/>
    <hyperlink ref="G16" location="AEGINA!A1" display="AEGINA!A1" xr:uid="{00000000-0004-0000-0100-000010000000}"/>
    <hyperlink ref="G18" location="CEPHALONIA!A1" display="CEPHALONIA!A1" xr:uid="{00000000-0004-0000-0100-000011000000}"/>
    <hyperlink ref="G19" location="CHALKIDIKI!A1" display="27 - 28" xr:uid="{00000000-0004-0000-0100-000012000000}"/>
    <hyperlink ref="G22" location="DELPHI!A1" display="DELPHI!A1" xr:uid="{00000000-0004-0000-0100-000013000000}"/>
    <hyperlink ref="G23" location="EVIA!A1" display="EVIA!A1" xr:uid="{00000000-0004-0000-0100-000014000000}"/>
    <hyperlink ref="G25" location="HYDRA!A1" display="HYDRA!A1" xr:uid="{00000000-0004-0000-0100-000015000000}"/>
    <hyperlink ref="G26" location="IOANNINA!A1" display="IOANNINA!A1" xr:uid="{00000000-0004-0000-0100-000016000000}"/>
    <hyperlink ref="G29" location="KALAMBAKA!A1" display="55 - 56" xr:uid="{00000000-0004-0000-0100-000017000000}"/>
    <hyperlink ref="G30" location="KAVALA!A1" display="KAVALA!A1" xr:uid="{00000000-0004-0000-0100-000018000000}"/>
    <hyperlink ref="G32" location="LOUTRAKI!A1" display="LOUTRAKI!A1" xr:uid="{00000000-0004-0000-0100-000019000000}"/>
    <hyperlink ref="G34" location="NAFPLIO!A1" display="71 - 73" xr:uid="{00000000-0004-0000-0100-00001A000000}"/>
    <hyperlink ref="G35" location="NAXOS!A1" display="74 - 75" xr:uid="{00000000-0004-0000-0100-00001B000000}"/>
    <hyperlink ref="G36" location="OLYMPIA!A1" display="76 - 77" xr:uid="{00000000-0004-0000-0100-00001C000000}"/>
    <hyperlink ref="G37" location="PATRA!A1" display="76 - 77" xr:uid="{00000000-0004-0000-0100-00001D000000}"/>
    <hyperlink ref="G39" location="PATMOS!A1" display="PATMOS!A1" xr:uid="{00000000-0004-0000-0100-00001E000000}"/>
    <hyperlink ref="G40" location="POROS!A1" display="POROS!A1" xr:uid="{00000000-0004-0000-0100-00001F000000}"/>
    <hyperlink ref="G48" location="THESSALONIKI!A1" display="111 - 115" xr:uid="{00000000-0004-0000-0100-000020000000}"/>
    <hyperlink ref="G46" location="SKOPELOS!A1" display="106 -108" xr:uid="{00000000-0004-0000-0100-000021000000}"/>
    <hyperlink ref="G47" location="SPARTI!A1" display="SPARTI!A1" xr:uid="{00000000-0004-0000-0100-000022000000}"/>
    <hyperlink ref="G49" location="ZAKYNTHOS!A1" display="106 -108" xr:uid="{00000000-0004-0000-0100-000023000000}"/>
  </hyperlinks>
  <printOptions horizontalCentered="1"/>
  <pageMargins left="0.28125" right="0.25" top="0.6692913385826772" bottom="0.70866141732283472" header="0.23622047244094491" footer="0.47244094488188981"/>
  <pageSetup paperSize="9" orientation="portrait" r:id="rId4"/>
  <headerFooter scaleWithDoc="0" alignWithMargins="0">
    <oddHeader xml:space="preserve">&amp;C TARIFF 2026
 (EURO)
</oddHeader>
    <oddFooter>&amp;LAll rates are in EURO&amp;C
TARIFF 2026
&amp;RPage &amp;P</oddFooter>
  </headerFooter>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3:N32"/>
  <sheetViews>
    <sheetView view="pageLayout" topLeftCell="A46" zoomScaleNormal="100" workbookViewId="0">
      <selection activeCell="L114" sqref="L114"/>
    </sheetView>
  </sheetViews>
  <sheetFormatPr defaultRowHeight="12.75" x14ac:dyDescent="0.2"/>
  <cols>
    <col min="1" max="1" width="3.85546875" customWidth="1"/>
    <col min="2" max="2" width="7.140625" customWidth="1"/>
    <col min="3" max="3" width="4.42578125" customWidth="1"/>
    <col min="4" max="4" width="3.42578125" customWidth="1"/>
    <col min="5" max="5" width="2" customWidth="1"/>
    <col min="6" max="6" width="3.42578125" customWidth="1"/>
    <col min="7" max="7" width="4.5703125" customWidth="1"/>
    <col min="8" max="8" width="3" customWidth="1"/>
    <col min="9" max="9" width="2.140625" customWidth="1"/>
    <col min="10" max="10" width="10.5703125" customWidth="1"/>
    <col min="11" max="11" width="10.7109375" customWidth="1"/>
    <col min="12" max="12" width="10.140625" customWidth="1"/>
    <col min="13" max="13" width="10.28515625" customWidth="1"/>
    <col min="14" max="14" width="10.5703125" customWidth="1"/>
  </cols>
  <sheetData>
    <row r="3" spans="1:14" ht="13.5" thickBot="1" x14ac:dyDescent="0.25"/>
    <row r="4" spans="1:14" x14ac:dyDescent="0.2">
      <c r="A4" s="20"/>
      <c r="B4" s="21"/>
      <c r="C4" s="21"/>
      <c r="D4" s="21"/>
      <c r="E4" s="22"/>
      <c r="F4" s="22"/>
      <c r="G4" s="22"/>
      <c r="H4" s="22"/>
      <c r="I4" s="22"/>
      <c r="J4" s="22"/>
      <c r="K4" s="22"/>
      <c r="L4" s="22"/>
      <c r="M4" s="22"/>
      <c r="N4" s="23"/>
    </row>
    <row r="5" spans="1:14" ht="15" x14ac:dyDescent="0.2">
      <c r="A5" s="24"/>
      <c r="B5" s="413" t="s">
        <v>1688</v>
      </c>
      <c r="C5" s="414"/>
      <c r="D5" s="414"/>
      <c r="E5" s="414"/>
      <c r="F5" s="414"/>
      <c r="G5" s="414"/>
      <c r="H5" s="414"/>
      <c r="I5" s="414"/>
      <c r="J5" s="414"/>
      <c r="K5" s="414"/>
      <c r="L5" s="414"/>
      <c r="M5" s="415"/>
      <c r="N5" s="25" t="s">
        <v>96</v>
      </c>
    </row>
    <row r="6" spans="1:14" x14ac:dyDescent="0.2">
      <c r="A6" s="24"/>
      <c r="B6" s="26" t="s">
        <v>428</v>
      </c>
      <c r="C6" s="15" t="s">
        <v>1689</v>
      </c>
      <c r="D6" s="15"/>
      <c r="E6" s="16"/>
      <c r="F6" s="16"/>
      <c r="G6" s="16"/>
      <c r="H6" s="16"/>
      <c r="I6" s="16"/>
      <c r="J6" s="16"/>
      <c r="K6" s="16"/>
      <c r="L6" s="16"/>
      <c r="M6" s="16"/>
      <c r="N6" s="27"/>
    </row>
    <row r="7" spans="1:14" x14ac:dyDescent="0.2">
      <c r="A7" s="24"/>
      <c r="B7" s="26" t="s">
        <v>429</v>
      </c>
      <c r="C7" s="15" t="s">
        <v>1820</v>
      </c>
      <c r="D7" s="15"/>
      <c r="E7" s="16"/>
      <c r="F7" s="16"/>
      <c r="G7" s="16"/>
      <c r="H7" s="16"/>
      <c r="I7" s="16"/>
      <c r="J7" s="16"/>
      <c r="K7" s="16"/>
      <c r="L7" s="16"/>
      <c r="M7" s="16"/>
      <c r="N7" s="27"/>
    </row>
    <row r="8" spans="1:14" x14ac:dyDescent="0.2">
      <c r="A8" s="24"/>
      <c r="B8" s="26" t="s">
        <v>427</v>
      </c>
      <c r="C8" s="416" t="s">
        <v>1691</v>
      </c>
      <c r="D8" s="416"/>
      <c r="E8" s="416"/>
      <c r="F8" s="416"/>
      <c r="G8" s="416"/>
      <c r="H8" s="416"/>
      <c r="I8" s="416"/>
      <c r="J8" s="416"/>
      <c r="K8" s="416"/>
      <c r="L8" s="416"/>
      <c r="M8" s="416"/>
      <c r="N8" s="417"/>
    </row>
    <row r="9" spans="1:14" x14ac:dyDescent="0.2">
      <c r="A9" s="24"/>
      <c r="B9" s="15"/>
      <c r="C9" s="416"/>
      <c r="D9" s="416"/>
      <c r="E9" s="416"/>
      <c r="F9" s="416"/>
      <c r="G9" s="416"/>
      <c r="H9" s="416"/>
      <c r="I9" s="416"/>
      <c r="J9" s="416"/>
      <c r="K9" s="416"/>
      <c r="L9" s="416"/>
      <c r="M9" s="416"/>
      <c r="N9" s="417"/>
    </row>
    <row r="10" spans="1:14" x14ac:dyDescent="0.2">
      <c r="A10" s="24"/>
      <c r="B10" s="26" t="s">
        <v>426</v>
      </c>
      <c r="C10" s="15" t="s">
        <v>1690</v>
      </c>
      <c r="D10" s="15"/>
      <c r="E10" s="16"/>
      <c r="F10" s="16"/>
      <c r="G10" s="16"/>
      <c r="H10" s="16"/>
      <c r="I10" s="16"/>
      <c r="J10" s="16"/>
      <c r="K10" s="16"/>
      <c r="L10" s="16"/>
      <c r="M10" s="16"/>
      <c r="N10" s="27"/>
    </row>
    <row r="11" spans="1:14" ht="13.5" thickBot="1" x14ac:dyDescent="0.25">
      <c r="A11" s="28"/>
      <c r="B11" s="26" t="s">
        <v>430</v>
      </c>
      <c r="C11" s="29"/>
      <c r="D11" s="29"/>
      <c r="E11" s="30"/>
      <c r="F11" s="30"/>
      <c r="G11" s="30"/>
      <c r="H11" s="30"/>
      <c r="I11" s="30"/>
      <c r="J11" s="30"/>
      <c r="K11" s="30"/>
      <c r="L11" s="30"/>
      <c r="M11" s="30"/>
      <c r="N11" s="31"/>
    </row>
    <row r="12" spans="1:14" x14ac:dyDescent="0.2">
      <c r="A12" s="24"/>
      <c r="B12" s="21" t="s">
        <v>263</v>
      </c>
      <c r="C12" s="15"/>
      <c r="D12" s="15"/>
      <c r="E12" s="16"/>
      <c r="F12" s="16"/>
      <c r="G12" s="16"/>
      <c r="H12" s="16"/>
      <c r="I12" s="16"/>
      <c r="J12" s="58" t="s">
        <v>1814</v>
      </c>
      <c r="K12" s="55" t="s">
        <v>1815</v>
      </c>
      <c r="L12" s="55" t="s">
        <v>347</v>
      </c>
      <c r="M12" s="55" t="s">
        <v>1817</v>
      </c>
      <c r="N12" s="55"/>
    </row>
    <row r="13" spans="1:14" ht="13.5" thickBot="1" x14ac:dyDescent="0.25">
      <c r="A13" s="28"/>
      <c r="B13" s="29"/>
      <c r="C13" s="29"/>
      <c r="D13" s="29"/>
      <c r="E13" s="30"/>
      <c r="F13" s="30"/>
      <c r="G13" s="30"/>
      <c r="H13" s="30"/>
      <c r="I13" s="30"/>
      <c r="J13" s="44" t="s">
        <v>512</v>
      </c>
      <c r="K13" s="36" t="s">
        <v>168</v>
      </c>
      <c r="L13" s="36" t="s">
        <v>1816</v>
      </c>
      <c r="M13" s="36" t="s">
        <v>1818</v>
      </c>
      <c r="N13" s="36" t="s">
        <v>1819</v>
      </c>
    </row>
    <row r="14" spans="1:14" x14ac:dyDescent="0.2">
      <c r="A14" s="20"/>
      <c r="B14" s="412" t="s">
        <v>67</v>
      </c>
      <c r="C14" s="412"/>
      <c r="D14" s="412"/>
      <c r="E14" s="22"/>
      <c r="F14" s="22" t="s">
        <v>1180</v>
      </c>
      <c r="G14" s="22" t="s">
        <v>68</v>
      </c>
      <c r="H14" s="22" t="s">
        <v>702</v>
      </c>
      <c r="I14" s="16"/>
      <c r="J14" s="66">
        <f>40/ATHENS!O1*ATHENS!O2</f>
        <v>81.632653061224488</v>
      </c>
      <c r="K14" s="66">
        <f>55/ATHENS!O1*ATHENS!O2</f>
        <v>112.24489795918367</v>
      </c>
      <c r="L14" s="40">
        <f>70/ATHENS!O1*ATHENS!O2</f>
        <v>142.85714285714286</v>
      </c>
      <c r="M14" s="38">
        <f>90/ATHENS!O1*ATHENS!O2</f>
        <v>183.67346938775512</v>
      </c>
      <c r="N14" s="38">
        <f>110/ATHENS!O1*ATHENS!O2</f>
        <v>224.48979591836735</v>
      </c>
    </row>
    <row r="15" spans="1:14" x14ac:dyDescent="0.2">
      <c r="A15" s="24"/>
      <c r="B15" s="411" t="s">
        <v>67</v>
      </c>
      <c r="C15" s="411"/>
      <c r="D15" s="411"/>
      <c r="E15" s="16"/>
      <c r="F15" s="16" t="s">
        <v>1181</v>
      </c>
      <c r="G15" s="16" t="s">
        <v>68</v>
      </c>
      <c r="H15" s="16" t="s">
        <v>702</v>
      </c>
      <c r="I15" s="16"/>
      <c r="J15" s="66">
        <f>27/ATHENS!O1*ATHENS!O2</f>
        <v>55.102040816326529</v>
      </c>
      <c r="K15" s="66">
        <f>37.5/ATHENS!O1*ATHENS!O2</f>
        <v>76.530612244897966</v>
      </c>
      <c r="L15" s="40">
        <f>44/ATHENS!O1*ATHENS!O2</f>
        <v>89.795918367346943</v>
      </c>
      <c r="M15" s="40">
        <f>50/ATHENS!O1*ATHENS!O2</f>
        <v>102.04081632653062</v>
      </c>
      <c r="N15" s="40">
        <f>60/ATHENS!O1*ATHENS!O2</f>
        <v>122.44897959183673</v>
      </c>
    </row>
    <row r="16" spans="1:14" x14ac:dyDescent="0.2">
      <c r="A16" s="24"/>
      <c r="B16" s="59"/>
      <c r="C16" s="15"/>
      <c r="D16" s="15"/>
      <c r="E16" s="16"/>
      <c r="F16" s="16" t="s">
        <v>1182</v>
      </c>
      <c r="G16" s="16" t="s">
        <v>68</v>
      </c>
      <c r="H16" s="16" t="s">
        <v>702</v>
      </c>
      <c r="I16" s="16"/>
      <c r="J16" s="66">
        <f>23.5/ATHENS!O1*ATHENS!O2</f>
        <v>47.95918367346939</v>
      </c>
      <c r="K16" s="66">
        <f>30/ATHENS!O1*ATHENS!O2</f>
        <v>61.224489795918366</v>
      </c>
      <c r="L16" s="40">
        <f>35/ATHENS!O1*ATHENS!O2</f>
        <v>71.428571428571431</v>
      </c>
      <c r="M16" s="40">
        <f>40/ATHENS!O1*ATHENS!O2</f>
        <v>81.632653061224488</v>
      </c>
      <c r="N16" s="40">
        <f>47/ATHENS!O1*ATHENS!O2</f>
        <v>95.91836734693878</v>
      </c>
    </row>
    <row r="17" spans="1:14" ht="13.5" thickBot="1" x14ac:dyDescent="0.25">
      <c r="A17" s="28"/>
      <c r="B17" s="418"/>
      <c r="C17" s="418"/>
      <c r="D17" s="418"/>
      <c r="E17" s="30"/>
      <c r="F17" s="80"/>
      <c r="G17" s="80"/>
      <c r="H17" s="30"/>
      <c r="I17" s="30"/>
      <c r="J17" s="67"/>
      <c r="K17" s="67"/>
      <c r="L17" s="42"/>
      <c r="M17" s="42"/>
      <c r="N17" s="42"/>
    </row>
    <row r="19" spans="1:14" ht="13.5" thickBot="1" x14ac:dyDescent="0.25"/>
    <row r="20" spans="1:14" x14ac:dyDescent="0.2">
      <c r="A20" s="20"/>
      <c r="B20" s="21"/>
      <c r="C20" s="21"/>
      <c r="D20" s="21"/>
      <c r="E20" s="22"/>
      <c r="F20" s="22"/>
      <c r="G20" s="22"/>
      <c r="H20" s="22"/>
      <c r="I20" s="22"/>
      <c r="J20" s="22"/>
      <c r="K20" s="22"/>
      <c r="L20" s="22"/>
      <c r="M20" s="22"/>
      <c r="N20" s="23"/>
    </row>
    <row r="21" spans="1:14" ht="15" x14ac:dyDescent="0.2">
      <c r="A21" s="24"/>
      <c r="B21" s="413" t="s">
        <v>1745</v>
      </c>
      <c r="C21" s="414"/>
      <c r="D21" s="414"/>
      <c r="E21" s="414"/>
      <c r="F21" s="414"/>
      <c r="G21" s="414"/>
      <c r="H21" s="414"/>
      <c r="I21" s="414"/>
      <c r="J21" s="414"/>
      <c r="K21" s="414"/>
      <c r="L21" s="414"/>
      <c r="M21" s="415"/>
      <c r="N21" s="25" t="s">
        <v>91</v>
      </c>
    </row>
    <row r="22" spans="1:14" x14ac:dyDescent="0.2">
      <c r="A22" s="24"/>
      <c r="B22" s="26" t="s">
        <v>428</v>
      </c>
      <c r="C22" s="15" t="s">
        <v>1747</v>
      </c>
      <c r="D22" s="15"/>
      <c r="E22" s="16"/>
      <c r="F22" s="16"/>
      <c r="G22" s="16"/>
      <c r="H22" s="16"/>
      <c r="I22" s="16"/>
      <c r="J22" s="16"/>
      <c r="K22" s="16"/>
      <c r="L22" s="16"/>
      <c r="M22" s="16"/>
      <c r="N22" s="27"/>
    </row>
    <row r="23" spans="1:14" x14ac:dyDescent="0.2">
      <c r="A23" s="24"/>
      <c r="B23" s="26" t="s">
        <v>429</v>
      </c>
      <c r="C23" s="15" t="s">
        <v>1746</v>
      </c>
      <c r="D23" s="15"/>
      <c r="E23" s="16"/>
      <c r="F23" s="16"/>
      <c r="G23" s="16"/>
      <c r="H23" s="16"/>
      <c r="I23" s="16"/>
      <c r="J23" s="16"/>
      <c r="K23" s="16"/>
      <c r="L23" s="16"/>
      <c r="M23" s="16"/>
      <c r="N23" s="27"/>
    </row>
    <row r="24" spans="1:14" x14ac:dyDescent="0.2">
      <c r="A24" s="24"/>
      <c r="B24" s="26" t="s">
        <v>427</v>
      </c>
      <c r="C24" s="416" t="s">
        <v>1748</v>
      </c>
      <c r="D24" s="416"/>
      <c r="E24" s="416"/>
      <c r="F24" s="416"/>
      <c r="G24" s="416"/>
      <c r="H24" s="416"/>
      <c r="I24" s="416"/>
      <c r="J24" s="416"/>
      <c r="K24" s="416"/>
      <c r="L24" s="416"/>
      <c r="M24" s="416"/>
      <c r="N24" s="417"/>
    </row>
    <row r="25" spans="1:14" x14ac:dyDescent="0.2">
      <c r="A25" s="24"/>
      <c r="B25" s="15"/>
      <c r="C25" s="416"/>
      <c r="D25" s="416"/>
      <c r="E25" s="416"/>
      <c r="F25" s="416"/>
      <c r="G25" s="416"/>
      <c r="H25" s="416"/>
      <c r="I25" s="416"/>
      <c r="J25" s="416"/>
      <c r="K25" s="416"/>
      <c r="L25" s="416"/>
      <c r="M25" s="416"/>
      <c r="N25" s="417"/>
    </row>
    <row r="26" spans="1:14" x14ac:dyDescent="0.2">
      <c r="A26" s="24"/>
      <c r="B26" s="26" t="s">
        <v>426</v>
      </c>
      <c r="C26" s="15"/>
      <c r="D26" s="15"/>
      <c r="E26" s="16"/>
      <c r="F26" s="16"/>
      <c r="G26" s="16"/>
      <c r="H26" s="16"/>
      <c r="I26" s="16"/>
      <c r="J26" s="16"/>
      <c r="K26" s="16"/>
      <c r="L26" s="16"/>
      <c r="M26" s="16"/>
      <c r="N26" s="27"/>
    </row>
    <row r="27" spans="1:14" ht="13.5" thickBot="1" x14ac:dyDescent="0.25">
      <c r="A27" s="28"/>
      <c r="B27" s="26" t="s">
        <v>430</v>
      </c>
      <c r="C27" s="29"/>
      <c r="D27" s="29"/>
      <c r="E27" s="30"/>
      <c r="F27" s="30"/>
      <c r="G27" s="30"/>
      <c r="H27" s="30"/>
      <c r="I27" s="30"/>
      <c r="J27" s="30"/>
      <c r="K27" s="30"/>
      <c r="L27" s="30"/>
      <c r="M27" s="30"/>
      <c r="N27" s="31"/>
    </row>
    <row r="28" spans="1:14" x14ac:dyDescent="0.2">
      <c r="A28" s="24"/>
      <c r="B28" s="21" t="s">
        <v>263</v>
      </c>
      <c r="C28" s="15"/>
      <c r="D28" s="15"/>
      <c r="E28" s="16"/>
      <c r="F28" s="16"/>
      <c r="G28" s="16"/>
      <c r="H28" s="16"/>
      <c r="I28" s="16"/>
      <c r="J28" s="58" t="s">
        <v>244</v>
      </c>
      <c r="K28" s="55" t="s">
        <v>617</v>
      </c>
      <c r="L28" s="55" t="s">
        <v>1771</v>
      </c>
      <c r="M28" s="55"/>
      <c r="N28" s="55"/>
    </row>
    <row r="29" spans="1:14" ht="13.5" thickBot="1" x14ac:dyDescent="0.25">
      <c r="A29" s="28"/>
      <c r="B29" s="29"/>
      <c r="C29" s="29"/>
      <c r="D29" s="29"/>
      <c r="E29" s="30"/>
      <c r="F29" s="30"/>
      <c r="G29" s="30"/>
      <c r="H29" s="30"/>
      <c r="I29" s="30"/>
      <c r="J29" s="44" t="s">
        <v>1769</v>
      </c>
      <c r="K29" s="36" t="s">
        <v>1770</v>
      </c>
      <c r="L29" s="36" t="s">
        <v>1772</v>
      </c>
      <c r="M29" s="36" t="s">
        <v>1773</v>
      </c>
      <c r="N29" s="36"/>
    </row>
    <row r="30" spans="1:14" x14ac:dyDescent="0.2">
      <c r="A30" s="20"/>
      <c r="B30" s="412" t="s">
        <v>67</v>
      </c>
      <c r="C30" s="412"/>
      <c r="D30" s="412"/>
      <c r="E30" s="22"/>
      <c r="F30" s="22" t="s">
        <v>1180</v>
      </c>
      <c r="G30" s="22" t="s">
        <v>68</v>
      </c>
      <c r="H30" s="22" t="s">
        <v>702</v>
      </c>
      <c r="I30" s="16"/>
      <c r="J30" s="66">
        <f>89/ATHENS!O1*ATHENS!O2</f>
        <v>181.63265306122449</v>
      </c>
      <c r="K30" s="66">
        <f>108/ATHENS!O1*ATHENS!O2</f>
        <v>220.40816326530611</v>
      </c>
      <c r="L30" s="40">
        <f>135/ATHENS!O1*ATHENS!O2</f>
        <v>275.51020408163265</v>
      </c>
      <c r="M30" s="38">
        <f>154/ATHENS!O1*ATHENS!O2</f>
        <v>314.28571428571428</v>
      </c>
      <c r="N30" s="38"/>
    </row>
    <row r="31" spans="1:14" x14ac:dyDescent="0.2">
      <c r="A31" s="24"/>
      <c r="B31" s="411" t="s">
        <v>67</v>
      </c>
      <c r="C31" s="411"/>
      <c r="D31" s="411"/>
      <c r="E31" s="16"/>
      <c r="F31" s="16" t="s">
        <v>1181</v>
      </c>
      <c r="G31" s="16" t="s">
        <v>68</v>
      </c>
      <c r="H31" s="16" t="s">
        <v>702</v>
      </c>
      <c r="I31" s="16"/>
      <c r="J31" s="66">
        <f>44.5/ATHENS!O1*ATHENS!O2</f>
        <v>90.816326530612244</v>
      </c>
      <c r="K31" s="66">
        <f>54/ATHENS!O1*ATHENS!O2</f>
        <v>110.20408163265306</v>
      </c>
      <c r="L31" s="40">
        <f>67.5/ATHENS!O1*ATHENS!O2</f>
        <v>137.75510204081633</v>
      </c>
      <c r="M31" s="40">
        <f>77/ATHENS!O1*ATHENS!O2</f>
        <v>157.14285714285714</v>
      </c>
      <c r="N31" s="40"/>
    </row>
    <row r="32" spans="1:14" ht="13.5" thickBot="1" x14ac:dyDescent="0.25">
      <c r="A32" s="28"/>
      <c r="B32" s="418" t="s">
        <v>902</v>
      </c>
      <c r="C32" s="418"/>
      <c r="D32" s="418"/>
      <c r="E32" s="30"/>
      <c r="F32" s="80"/>
      <c r="G32" s="80"/>
      <c r="H32" s="30" t="s">
        <v>702</v>
      </c>
      <c r="I32" s="30"/>
      <c r="J32" s="67">
        <f>18/ATHENS!O1*ATHENS!O2</f>
        <v>36.734693877551024</v>
      </c>
      <c r="K32" s="67">
        <f>18/ATHENS!O1*ATHENS!O2</f>
        <v>36.734693877551024</v>
      </c>
      <c r="L32" s="42">
        <f>18/ATHENS!O1*ATHENS!O2</f>
        <v>36.734693877551024</v>
      </c>
      <c r="M32" s="42">
        <f>18/ATHENS!O1*ATHENS!O2</f>
        <v>36.734693877551024</v>
      </c>
      <c r="N32" s="42"/>
    </row>
  </sheetData>
  <customSheetViews>
    <customSheetView guid="{3C76061C-A85D-4390-B9DB-73E13038638C}" showPageBreaks="1" view="pageLayout" topLeftCell="A46">
      <selection activeCell="M51" sqref="M51"/>
      <pageMargins left="0.28125" right="0.25" top="0.6692913385826772" bottom="0.70866141732283472" header="0.23622047244094491" footer="0.47244094488188981"/>
      <pageSetup paperSize="9" orientation="portrait" horizontalDpi="4294967293" verticalDpi="4294967293" r:id="rId1"/>
      <headerFooter scaleWithDoc="0" alignWithMargins="0">
        <oddHeader>&amp;C TARIFF 2019
 (EURO)
Accommodation in &amp;A</oddHeader>
        <oddFooter>&amp;LAll rates are in EURO&amp;C
TARIFF 2019
&amp;RPage &amp;P</oddFooter>
      </headerFooter>
    </customSheetView>
  </customSheetViews>
  <mergeCells count="10">
    <mergeCell ref="C24:N25"/>
    <mergeCell ref="B30:D30"/>
    <mergeCell ref="B31:D31"/>
    <mergeCell ref="B32:D32"/>
    <mergeCell ref="B5:M5"/>
    <mergeCell ref="C8:N9"/>
    <mergeCell ref="B14:D14"/>
    <mergeCell ref="B15:D15"/>
    <mergeCell ref="B17:D17"/>
    <mergeCell ref="B21:M21"/>
  </mergeCells>
  <hyperlinks>
    <hyperlink ref="B5:M5" r:id="rId2" display="Akti Taygetos" xr:uid="{00000000-0004-0000-1300-000000000000}"/>
    <hyperlink ref="B21:M21" r:id="rId3" display="Filoxenia" xr:uid="{00000000-0004-0000-1300-000001000000}"/>
  </hyperlinks>
  <pageMargins left="0.28125" right="0.25" top="0.6692913385826772" bottom="0.70866141732283472" header="0.23622047244094491" footer="0.47244094488188981"/>
  <pageSetup paperSize="9" orientation="portrait" horizontalDpi="4294967293" verticalDpi="4294967293" r:id="rId4"/>
  <headerFooter scaleWithDoc="0" alignWithMargins="0">
    <oddHeader xml:space="preserve">&amp;C TARIFF 2026
 (EURO)
</oddHeader>
    <oddFooter>&amp;LAll rates are in EURO&amp;C
TARIFF 2026
&amp;RPage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62"/>
  <sheetViews>
    <sheetView showGridLines="0" view="pageLayout" workbookViewId="0">
      <selection activeCell="L114" sqref="L114"/>
    </sheetView>
  </sheetViews>
  <sheetFormatPr defaultRowHeight="12.75" x14ac:dyDescent="0.2"/>
  <cols>
    <col min="1" max="1" width="1.85546875" style="125" customWidth="1"/>
    <col min="2" max="3" width="10.7109375" style="125" customWidth="1"/>
    <col min="4" max="9" width="3.7109375" style="125" customWidth="1"/>
    <col min="10" max="14" width="10.7109375" style="125" customWidth="1"/>
    <col min="15" max="16384" width="9.140625" style="125"/>
  </cols>
  <sheetData>
    <row r="1" spans="1:14" ht="13.5" thickBot="1" x14ac:dyDescent="0.25"/>
    <row r="2" spans="1:14" x14ac:dyDescent="0.2">
      <c r="A2" s="101"/>
      <c r="B2" s="102"/>
      <c r="C2" s="102"/>
      <c r="D2" s="102"/>
      <c r="E2" s="103"/>
      <c r="F2" s="103"/>
      <c r="G2" s="103"/>
      <c r="H2" s="103"/>
      <c r="I2" s="103"/>
      <c r="J2" s="103"/>
      <c r="K2" s="103"/>
      <c r="L2" s="103"/>
      <c r="M2" s="103"/>
      <c r="N2" s="104"/>
    </row>
    <row r="3" spans="1:14" ht="15" x14ac:dyDescent="0.2">
      <c r="A3" s="105"/>
      <c r="B3" s="437" t="s">
        <v>1016</v>
      </c>
      <c r="C3" s="438"/>
      <c r="D3" s="438"/>
      <c r="E3" s="438"/>
      <c r="F3" s="438"/>
      <c r="G3" s="438"/>
      <c r="H3" s="438"/>
      <c r="I3" s="438"/>
      <c r="J3" s="438"/>
      <c r="K3" s="438"/>
      <c r="L3" s="438"/>
      <c r="M3" s="439"/>
      <c r="N3" s="106" t="s">
        <v>1104</v>
      </c>
    </row>
    <row r="4" spans="1:14" x14ac:dyDescent="0.2">
      <c r="A4" s="105"/>
      <c r="B4" s="107" t="s">
        <v>428</v>
      </c>
      <c r="C4" s="98" t="s">
        <v>945</v>
      </c>
      <c r="D4" s="98"/>
      <c r="E4" s="99"/>
      <c r="F4" s="99"/>
      <c r="G4" s="99"/>
      <c r="H4" s="99"/>
      <c r="I4" s="99"/>
      <c r="J4" s="99"/>
      <c r="K4" s="99"/>
      <c r="L4" s="99"/>
      <c r="M4" s="99"/>
      <c r="N4" s="90"/>
    </row>
    <row r="5" spans="1:14" x14ac:dyDescent="0.2">
      <c r="A5" s="105"/>
      <c r="B5" s="107" t="s">
        <v>429</v>
      </c>
      <c r="C5" s="98" t="s">
        <v>946</v>
      </c>
      <c r="D5" s="98"/>
      <c r="E5" s="99"/>
      <c r="F5" s="99"/>
      <c r="G5" s="99"/>
      <c r="H5" s="99"/>
      <c r="I5" s="99"/>
      <c r="J5" s="99"/>
      <c r="K5" s="99"/>
      <c r="L5" s="99"/>
      <c r="M5" s="99"/>
      <c r="N5" s="90"/>
    </row>
    <row r="6" spans="1:14" x14ac:dyDescent="0.2">
      <c r="A6" s="105"/>
      <c r="B6" s="107" t="s">
        <v>427</v>
      </c>
      <c r="C6" s="444" t="s">
        <v>1636</v>
      </c>
      <c r="D6" s="444"/>
      <c r="E6" s="444"/>
      <c r="F6" s="444"/>
      <c r="G6" s="444"/>
      <c r="H6" s="444"/>
      <c r="I6" s="444"/>
      <c r="J6" s="444"/>
      <c r="K6" s="444"/>
      <c r="L6" s="444"/>
      <c r="M6" s="444"/>
      <c r="N6" s="445"/>
    </row>
    <row r="7" spans="1:14" x14ac:dyDescent="0.2">
      <c r="A7" s="105"/>
      <c r="B7" s="98"/>
      <c r="C7" s="444"/>
      <c r="D7" s="444"/>
      <c r="E7" s="444"/>
      <c r="F7" s="444"/>
      <c r="G7" s="444"/>
      <c r="H7" s="444"/>
      <c r="I7" s="444"/>
      <c r="J7" s="444"/>
      <c r="K7" s="444"/>
      <c r="L7" s="444"/>
      <c r="M7" s="444"/>
      <c r="N7" s="445"/>
    </row>
    <row r="8" spans="1:14" x14ac:dyDescent="0.2">
      <c r="A8" s="105"/>
      <c r="B8" s="98"/>
      <c r="C8" s="446"/>
      <c r="D8" s="446"/>
      <c r="E8" s="446"/>
      <c r="F8" s="446"/>
      <c r="G8" s="446"/>
      <c r="H8" s="446"/>
      <c r="I8" s="446"/>
      <c r="J8" s="446"/>
      <c r="K8" s="446"/>
      <c r="L8" s="446"/>
      <c r="M8" s="446"/>
      <c r="N8" s="447"/>
    </row>
    <row r="9" spans="1:14" ht="13.5" thickBot="1" x14ac:dyDescent="0.25">
      <c r="A9" s="108"/>
      <c r="B9" s="107" t="s">
        <v>430</v>
      </c>
      <c r="C9" s="109"/>
      <c r="D9" s="109"/>
      <c r="E9" s="110"/>
      <c r="F9" s="110"/>
      <c r="G9" s="110"/>
      <c r="H9" s="110"/>
      <c r="I9" s="110"/>
      <c r="J9" s="110"/>
      <c r="K9" s="110"/>
      <c r="L9" s="110"/>
      <c r="M9" s="110"/>
      <c r="N9" s="93"/>
    </row>
    <row r="10" spans="1:14" x14ac:dyDescent="0.2">
      <c r="A10" s="101"/>
      <c r="B10" s="102" t="s">
        <v>263</v>
      </c>
      <c r="C10" s="102"/>
      <c r="D10" s="102"/>
      <c r="E10" s="103"/>
      <c r="F10" s="103"/>
      <c r="G10" s="103"/>
      <c r="H10" s="103"/>
      <c r="I10" s="103"/>
      <c r="J10" s="114"/>
      <c r="K10" s="113"/>
      <c r="L10" s="113"/>
      <c r="M10" s="113"/>
      <c r="N10" s="113"/>
    </row>
    <row r="11" spans="1:14" ht="13.5" thickBot="1" x14ac:dyDescent="0.25">
      <c r="A11" s="108"/>
      <c r="B11" s="98"/>
      <c r="C11" s="98"/>
      <c r="D11" s="98"/>
      <c r="E11" s="99"/>
      <c r="F11" s="99"/>
      <c r="G11" s="99"/>
      <c r="H11" s="99"/>
      <c r="I11" s="99"/>
      <c r="J11" s="111" t="s">
        <v>229</v>
      </c>
      <c r="K11" s="89"/>
      <c r="L11" s="89"/>
      <c r="M11" s="89"/>
      <c r="N11" s="89"/>
    </row>
    <row r="12" spans="1:14" x14ac:dyDescent="0.2">
      <c r="A12" s="101"/>
      <c r="B12" s="440" t="s">
        <v>67</v>
      </c>
      <c r="C12" s="441"/>
      <c r="D12" s="441"/>
      <c r="E12" s="330"/>
      <c r="F12" s="330" t="s">
        <v>1180</v>
      </c>
      <c r="G12" s="330" t="s">
        <v>68</v>
      </c>
      <c r="H12" s="330" t="s">
        <v>702</v>
      </c>
      <c r="I12" s="330"/>
      <c r="J12" s="331">
        <f>63/ATHENS!O1*ATHENS!O2</f>
        <v>128.57142857142858</v>
      </c>
      <c r="K12" s="331"/>
      <c r="L12" s="331"/>
      <c r="M12" s="331"/>
      <c r="N12" s="332"/>
    </row>
    <row r="13" spans="1:14" x14ac:dyDescent="0.2">
      <c r="A13" s="105"/>
      <c r="B13" s="442" t="s">
        <v>67</v>
      </c>
      <c r="C13" s="443"/>
      <c r="D13" s="443"/>
      <c r="E13" s="99"/>
      <c r="F13" s="99" t="s">
        <v>1181</v>
      </c>
      <c r="G13" s="99" t="s">
        <v>68</v>
      </c>
      <c r="H13" s="99" t="s">
        <v>702</v>
      </c>
      <c r="I13" s="99"/>
      <c r="J13" s="89">
        <f>35/ATHENS!O1*ATHENS!O2</f>
        <v>71.428571428571431</v>
      </c>
      <c r="K13" s="89"/>
      <c r="L13" s="89"/>
      <c r="M13" s="89"/>
      <c r="N13" s="333"/>
    </row>
    <row r="14" spans="1:14" ht="13.5" thickBot="1" x14ac:dyDescent="0.25">
      <c r="A14" s="105"/>
      <c r="B14" s="435" t="s">
        <v>67</v>
      </c>
      <c r="C14" s="436"/>
      <c r="D14" s="436"/>
      <c r="E14" s="110"/>
      <c r="F14" s="110" t="s">
        <v>1182</v>
      </c>
      <c r="G14" s="110" t="s">
        <v>68</v>
      </c>
      <c r="H14" s="110" t="s">
        <v>702</v>
      </c>
      <c r="I14" s="99"/>
      <c r="J14" s="89">
        <f>26.6/ATHENS!O1*ATHENS!O2</f>
        <v>54.285714285714292</v>
      </c>
      <c r="K14" s="89"/>
      <c r="L14" s="89"/>
      <c r="M14" s="89"/>
      <c r="N14" s="333"/>
    </row>
    <row r="15" spans="1:14" ht="13.5" thickBot="1" x14ac:dyDescent="0.25">
      <c r="A15" s="108"/>
      <c r="B15" s="334" t="s">
        <v>902</v>
      </c>
      <c r="C15" s="335"/>
      <c r="D15" s="335"/>
      <c r="E15" s="335"/>
      <c r="F15" s="335"/>
      <c r="G15" s="335"/>
      <c r="H15" s="335"/>
      <c r="I15" s="336"/>
      <c r="J15" s="337">
        <f>15/ATHENS!O1*ATHENS!O2</f>
        <v>30.612244897959183</v>
      </c>
      <c r="K15" s="337"/>
      <c r="L15" s="337"/>
      <c r="M15" s="337"/>
      <c r="N15" s="338"/>
    </row>
    <row r="16" spans="1:14" ht="13.5" thickBot="1" x14ac:dyDescent="0.25">
      <c r="A16" s="97"/>
      <c r="B16" s="98"/>
      <c r="C16" s="98"/>
      <c r="D16" s="98"/>
      <c r="E16" s="99"/>
      <c r="F16" s="99"/>
      <c r="G16" s="99"/>
      <c r="H16" s="99"/>
      <c r="I16" s="99"/>
      <c r="J16" s="99"/>
      <c r="K16" s="99"/>
      <c r="L16" s="99"/>
      <c r="M16" s="99"/>
      <c r="N16" s="99"/>
    </row>
    <row r="17" spans="1:14" x14ac:dyDescent="0.2">
      <c r="A17" s="101"/>
      <c r="B17" s="102"/>
      <c r="C17" s="102"/>
      <c r="D17" s="102"/>
      <c r="E17" s="103"/>
      <c r="F17" s="103"/>
      <c r="G17" s="103"/>
      <c r="H17" s="103"/>
      <c r="I17" s="103"/>
      <c r="J17" s="103"/>
      <c r="K17" s="103"/>
      <c r="L17" s="103"/>
      <c r="M17" s="103"/>
      <c r="N17" s="104"/>
    </row>
    <row r="18" spans="1:14" ht="15" x14ac:dyDescent="0.2">
      <c r="A18" s="105"/>
      <c r="B18" s="437" t="s">
        <v>903</v>
      </c>
      <c r="C18" s="438"/>
      <c r="D18" s="438"/>
      <c r="E18" s="438"/>
      <c r="F18" s="438"/>
      <c r="G18" s="438"/>
      <c r="H18" s="438"/>
      <c r="I18" s="438"/>
      <c r="J18" s="438"/>
      <c r="K18" s="438"/>
      <c r="L18" s="438"/>
      <c r="M18" s="439"/>
      <c r="N18" s="106" t="s">
        <v>1103</v>
      </c>
    </row>
    <row r="19" spans="1:14" x14ac:dyDescent="0.2">
      <c r="A19" s="105"/>
      <c r="B19" s="107" t="s">
        <v>428</v>
      </c>
      <c r="C19" s="98" t="s">
        <v>1017</v>
      </c>
      <c r="D19" s="98"/>
      <c r="E19" s="99"/>
      <c r="F19" s="99"/>
      <c r="G19" s="99"/>
      <c r="H19" s="99"/>
      <c r="I19" s="99"/>
      <c r="J19" s="99"/>
      <c r="K19" s="99"/>
      <c r="L19" s="99"/>
      <c r="M19" s="99"/>
      <c r="N19" s="90"/>
    </row>
    <row r="20" spans="1:14" x14ac:dyDescent="0.2">
      <c r="A20" s="105"/>
      <c r="B20" s="107" t="s">
        <v>429</v>
      </c>
      <c r="C20" s="98" t="s">
        <v>947</v>
      </c>
      <c r="D20" s="98"/>
      <c r="E20" s="99"/>
      <c r="F20" s="99"/>
      <c r="G20" s="99"/>
      <c r="H20" s="99"/>
      <c r="I20" s="99"/>
      <c r="J20" s="99"/>
      <c r="K20" s="99"/>
      <c r="L20" s="99"/>
      <c r="M20" s="99"/>
      <c r="N20" s="90"/>
    </row>
    <row r="21" spans="1:14" x14ac:dyDescent="0.2">
      <c r="A21" s="105"/>
      <c r="B21" s="107" t="s">
        <v>427</v>
      </c>
      <c r="C21" s="444" t="s">
        <v>1303</v>
      </c>
      <c r="D21" s="444"/>
      <c r="E21" s="444"/>
      <c r="F21" s="444"/>
      <c r="G21" s="444"/>
      <c r="H21" s="444"/>
      <c r="I21" s="444"/>
      <c r="J21" s="444"/>
      <c r="K21" s="444"/>
      <c r="L21" s="444"/>
      <c r="M21" s="444"/>
      <c r="N21" s="445"/>
    </row>
    <row r="22" spans="1:14" x14ac:dyDescent="0.2">
      <c r="A22" s="105"/>
      <c r="B22" s="98"/>
      <c r="C22" s="444"/>
      <c r="D22" s="444"/>
      <c r="E22" s="444"/>
      <c r="F22" s="444"/>
      <c r="G22" s="444"/>
      <c r="H22" s="444"/>
      <c r="I22" s="444"/>
      <c r="J22" s="444"/>
      <c r="K22" s="444"/>
      <c r="L22" s="444"/>
      <c r="M22" s="444"/>
      <c r="N22" s="445"/>
    </row>
    <row r="23" spans="1:14" x14ac:dyDescent="0.2">
      <c r="A23" s="105"/>
      <c r="B23" s="98"/>
      <c r="C23" s="446"/>
      <c r="D23" s="446"/>
      <c r="E23" s="446"/>
      <c r="F23" s="446"/>
      <c r="G23" s="446"/>
      <c r="H23" s="446"/>
      <c r="I23" s="446"/>
      <c r="J23" s="446"/>
      <c r="K23" s="446"/>
      <c r="L23" s="446"/>
      <c r="M23" s="446"/>
      <c r="N23" s="447"/>
    </row>
    <row r="24" spans="1:14" x14ac:dyDescent="0.2">
      <c r="A24" s="105"/>
      <c r="B24" s="107" t="s">
        <v>426</v>
      </c>
      <c r="C24" s="98"/>
      <c r="D24" s="98"/>
      <c r="E24" s="99"/>
      <c r="F24" s="99"/>
      <c r="G24" s="99"/>
      <c r="H24" s="98"/>
      <c r="I24" s="99"/>
      <c r="J24" s="98"/>
      <c r="K24" s="99"/>
      <c r="L24" s="99"/>
      <c r="M24" s="99"/>
      <c r="N24" s="90"/>
    </row>
    <row r="25" spans="1:14" ht="13.5" thickBot="1" x14ac:dyDescent="0.25">
      <c r="A25" s="108"/>
      <c r="B25" s="107" t="s">
        <v>430</v>
      </c>
      <c r="C25" s="109"/>
      <c r="D25" s="109"/>
      <c r="E25" s="110"/>
      <c r="F25" s="110"/>
      <c r="G25" s="110"/>
      <c r="H25" s="110"/>
      <c r="I25" s="110"/>
      <c r="J25" s="110"/>
      <c r="K25" s="110"/>
      <c r="L25" s="110"/>
      <c r="M25" s="110"/>
      <c r="N25" s="93"/>
    </row>
    <row r="26" spans="1:14" ht="13.5" thickBot="1" x14ac:dyDescent="0.25">
      <c r="A26" s="108"/>
      <c r="B26" s="120" t="s">
        <v>263</v>
      </c>
      <c r="C26" s="109"/>
      <c r="D26" s="109"/>
      <c r="E26" s="110"/>
      <c r="F26" s="110"/>
      <c r="G26" s="110"/>
      <c r="H26" s="110"/>
      <c r="I26" s="110"/>
      <c r="J26" s="112" t="s">
        <v>907</v>
      </c>
      <c r="K26" s="94" t="s">
        <v>611</v>
      </c>
      <c r="L26" s="94"/>
      <c r="M26" s="94"/>
      <c r="N26" s="94"/>
    </row>
    <row r="27" spans="1:14" x14ac:dyDescent="0.2">
      <c r="A27" s="101"/>
      <c r="B27" s="448" t="s">
        <v>67</v>
      </c>
      <c r="C27" s="448"/>
      <c r="D27" s="448"/>
      <c r="E27" s="103"/>
      <c r="F27" s="103" t="s">
        <v>1180</v>
      </c>
      <c r="G27" s="103" t="s">
        <v>68</v>
      </c>
      <c r="H27" s="103" t="s">
        <v>702</v>
      </c>
      <c r="I27" s="103"/>
      <c r="J27" s="113">
        <f>58/ATHENS!O1*ATHENS!O2</f>
        <v>118.36734693877551</v>
      </c>
      <c r="K27" s="113">
        <f>75/ATHENS!O1*ATHENS!O2</f>
        <v>153.06122448979593</v>
      </c>
      <c r="L27" s="113"/>
      <c r="M27" s="113"/>
      <c r="N27" s="113"/>
    </row>
    <row r="28" spans="1:14" x14ac:dyDescent="0.2">
      <c r="A28" s="105"/>
      <c r="B28" s="443" t="s">
        <v>67</v>
      </c>
      <c r="C28" s="443"/>
      <c r="D28" s="443"/>
      <c r="E28" s="99"/>
      <c r="F28" s="99" t="s">
        <v>1181</v>
      </c>
      <c r="G28" s="99" t="s">
        <v>68</v>
      </c>
      <c r="H28" s="99" t="s">
        <v>702</v>
      </c>
      <c r="I28" s="99"/>
      <c r="J28" s="89">
        <f>33.5/ATHENS!O1*ATHENS!O2</f>
        <v>68.367346938775512</v>
      </c>
      <c r="K28" s="89">
        <f>41.5/ATHENS!O1*ATHENS!O2</f>
        <v>84.693877551020407</v>
      </c>
      <c r="L28" s="89"/>
      <c r="M28" s="89"/>
      <c r="N28" s="89"/>
    </row>
    <row r="29" spans="1:14" x14ac:dyDescent="0.2">
      <c r="A29" s="105"/>
      <c r="B29" s="443" t="s">
        <v>67</v>
      </c>
      <c r="C29" s="443"/>
      <c r="D29" s="443"/>
      <c r="E29" s="99"/>
      <c r="F29" s="99" t="s">
        <v>1182</v>
      </c>
      <c r="G29" s="99" t="s">
        <v>68</v>
      </c>
      <c r="H29" s="99" t="s">
        <v>702</v>
      </c>
      <c r="I29" s="99"/>
      <c r="J29" s="89">
        <f>25/ATHENS!O1*ATHENS!O2</f>
        <v>51.020408163265309</v>
      </c>
      <c r="K29" s="89">
        <f>32.6/ATHENS!O1*ATHENS!O2</f>
        <v>66.530612244897966</v>
      </c>
      <c r="L29" s="89"/>
      <c r="M29" s="89"/>
      <c r="N29" s="89"/>
    </row>
    <row r="30" spans="1:14" ht="13.5" thickBot="1" x14ac:dyDescent="0.25">
      <c r="A30" s="108"/>
      <c r="B30" s="436"/>
      <c r="C30" s="436"/>
      <c r="D30" s="436"/>
      <c r="E30" s="110"/>
      <c r="F30" s="110"/>
      <c r="G30" s="110"/>
      <c r="H30" s="110"/>
      <c r="I30" s="110"/>
      <c r="J30" s="94"/>
      <c r="K30" s="94"/>
      <c r="L30" s="94"/>
      <c r="M30" s="94"/>
      <c r="N30" s="94"/>
    </row>
    <row r="31" spans="1:14" ht="13.5" thickBot="1" x14ac:dyDescent="0.25">
      <c r="A31" s="97"/>
      <c r="B31" s="98"/>
      <c r="C31" s="98"/>
      <c r="D31" s="98"/>
      <c r="E31" s="99"/>
      <c r="F31" s="99"/>
      <c r="G31" s="99"/>
      <c r="H31" s="99"/>
      <c r="I31" s="99"/>
      <c r="J31" s="99"/>
      <c r="K31" s="99"/>
      <c r="L31" s="99"/>
      <c r="M31" s="99"/>
      <c r="N31" s="99"/>
    </row>
    <row r="32" spans="1:14" x14ac:dyDescent="0.2">
      <c r="A32" s="101"/>
      <c r="B32" s="102"/>
      <c r="C32" s="102"/>
      <c r="D32" s="102"/>
      <c r="E32" s="103"/>
      <c r="F32" s="103"/>
      <c r="G32" s="103"/>
      <c r="H32" s="103"/>
      <c r="I32" s="103"/>
      <c r="J32" s="103"/>
      <c r="K32" s="103"/>
      <c r="L32" s="103"/>
      <c r="M32" s="103"/>
      <c r="N32" s="104"/>
    </row>
    <row r="33" spans="1:14" ht="15" x14ac:dyDescent="0.2">
      <c r="A33" s="105"/>
      <c r="B33" s="437" t="s">
        <v>502</v>
      </c>
      <c r="C33" s="438"/>
      <c r="D33" s="438"/>
      <c r="E33" s="438"/>
      <c r="F33" s="438"/>
      <c r="G33" s="438"/>
      <c r="H33" s="438"/>
      <c r="I33" s="438"/>
      <c r="J33" s="438"/>
      <c r="K33" s="438"/>
      <c r="L33" s="438"/>
      <c r="M33" s="439"/>
      <c r="N33" s="106" t="s">
        <v>1103</v>
      </c>
    </row>
    <row r="34" spans="1:14" x14ac:dyDescent="0.2">
      <c r="A34" s="105"/>
      <c r="B34" s="107" t="s">
        <v>428</v>
      </c>
      <c r="C34" s="98" t="s">
        <v>948</v>
      </c>
      <c r="D34" s="98"/>
      <c r="E34" s="99"/>
      <c r="F34" s="99"/>
      <c r="G34" s="99"/>
      <c r="H34" s="99"/>
      <c r="I34" s="99"/>
      <c r="J34" s="99"/>
      <c r="K34" s="99"/>
      <c r="L34" s="99"/>
      <c r="M34" s="99"/>
      <c r="N34" s="90"/>
    </row>
    <row r="35" spans="1:14" x14ac:dyDescent="0.2">
      <c r="A35" s="105"/>
      <c r="B35" s="107" t="s">
        <v>429</v>
      </c>
      <c r="C35" s="98" t="s">
        <v>949</v>
      </c>
      <c r="D35" s="98"/>
      <c r="E35" s="99"/>
      <c r="F35" s="99"/>
      <c r="G35" s="99"/>
      <c r="H35" s="99"/>
      <c r="I35" s="99"/>
      <c r="J35" s="99"/>
      <c r="K35" s="99"/>
      <c r="L35" s="99"/>
      <c r="M35" s="99"/>
      <c r="N35" s="90"/>
    </row>
    <row r="36" spans="1:14" x14ac:dyDescent="0.2">
      <c r="A36" s="105"/>
      <c r="B36" s="107" t="s">
        <v>427</v>
      </c>
      <c r="C36" s="444" t="s">
        <v>1304</v>
      </c>
      <c r="D36" s="444"/>
      <c r="E36" s="444"/>
      <c r="F36" s="444"/>
      <c r="G36" s="444"/>
      <c r="H36" s="444"/>
      <c r="I36" s="444"/>
      <c r="J36" s="444"/>
      <c r="K36" s="444"/>
      <c r="L36" s="444"/>
      <c r="M36" s="444"/>
      <c r="N36" s="445"/>
    </row>
    <row r="37" spans="1:14" x14ac:dyDescent="0.2">
      <c r="A37" s="105"/>
      <c r="B37" s="98"/>
      <c r="C37" s="444"/>
      <c r="D37" s="444"/>
      <c r="E37" s="444"/>
      <c r="F37" s="444"/>
      <c r="G37" s="444"/>
      <c r="H37" s="444"/>
      <c r="I37" s="444"/>
      <c r="J37" s="444"/>
      <c r="K37" s="444"/>
      <c r="L37" s="444"/>
      <c r="M37" s="444"/>
      <c r="N37" s="445"/>
    </row>
    <row r="38" spans="1:14" x14ac:dyDescent="0.2">
      <c r="A38" s="105"/>
      <c r="B38" s="98"/>
      <c r="C38" s="446"/>
      <c r="D38" s="446"/>
      <c r="E38" s="446"/>
      <c r="F38" s="446"/>
      <c r="G38" s="446"/>
      <c r="H38" s="446"/>
      <c r="I38" s="446"/>
      <c r="J38" s="446"/>
      <c r="K38" s="446"/>
      <c r="L38" s="446"/>
      <c r="M38" s="446"/>
      <c r="N38" s="447"/>
    </row>
    <row r="39" spans="1:14" ht="13.5" thickBot="1" x14ac:dyDescent="0.25">
      <c r="A39" s="108"/>
      <c r="B39" s="107" t="s">
        <v>430</v>
      </c>
      <c r="C39" s="109"/>
      <c r="D39" s="109"/>
      <c r="E39" s="110"/>
      <c r="F39" s="110"/>
      <c r="G39" s="110"/>
      <c r="H39" s="110"/>
      <c r="I39" s="110"/>
      <c r="J39" s="110"/>
      <c r="K39" s="110"/>
      <c r="L39" s="110"/>
      <c r="M39" s="110"/>
      <c r="N39" s="93"/>
    </row>
    <row r="40" spans="1:14" ht="13.5" thickBot="1" x14ac:dyDescent="0.25">
      <c r="A40" s="108"/>
      <c r="B40" s="107" t="s">
        <v>263</v>
      </c>
      <c r="C40" s="109"/>
      <c r="D40" s="109"/>
      <c r="E40" s="110"/>
      <c r="F40" s="110"/>
      <c r="G40" s="110"/>
      <c r="H40" s="110"/>
      <c r="I40" s="110"/>
      <c r="J40" s="110" t="s">
        <v>1827</v>
      </c>
      <c r="K40" s="110"/>
      <c r="L40" s="110"/>
      <c r="M40" s="110"/>
      <c r="N40" s="93"/>
    </row>
    <row r="41" spans="1:14" ht="13.5" thickBot="1" x14ac:dyDescent="0.25">
      <c r="A41" s="108"/>
      <c r="B41" s="120" t="s">
        <v>263</v>
      </c>
      <c r="C41" s="109"/>
      <c r="D41" s="109"/>
      <c r="E41" s="110"/>
      <c r="F41" s="110"/>
      <c r="G41" s="110"/>
      <c r="H41" s="110"/>
      <c r="I41" s="110"/>
      <c r="J41" s="112" t="s">
        <v>1828</v>
      </c>
      <c r="K41" s="94" t="s">
        <v>611</v>
      </c>
      <c r="L41" s="94"/>
      <c r="M41" s="94"/>
      <c r="N41" s="94"/>
    </row>
    <row r="42" spans="1:14" x14ac:dyDescent="0.2">
      <c r="A42" s="101"/>
      <c r="B42" s="448" t="s">
        <v>67</v>
      </c>
      <c r="C42" s="448"/>
      <c r="D42" s="448"/>
      <c r="E42" s="103"/>
      <c r="F42" s="103" t="s">
        <v>1180</v>
      </c>
      <c r="G42" s="103" t="s">
        <v>68</v>
      </c>
      <c r="H42" s="103" t="s">
        <v>702</v>
      </c>
      <c r="I42" s="103"/>
      <c r="J42" s="113">
        <f>86/ATHENS!O1*ATHENS!O2</f>
        <v>175.51020408163265</v>
      </c>
      <c r="K42" s="113">
        <f>105/ATHENS!O1*ATHENS!O2</f>
        <v>214.28571428571428</v>
      </c>
      <c r="L42" s="113"/>
      <c r="M42" s="113"/>
      <c r="N42" s="113"/>
    </row>
    <row r="43" spans="1:14" x14ac:dyDescent="0.2">
      <c r="A43" s="105"/>
      <c r="B43" s="443" t="s">
        <v>67</v>
      </c>
      <c r="C43" s="443"/>
      <c r="D43" s="443"/>
      <c r="E43" s="99"/>
      <c r="F43" s="99" t="s">
        <v>1181</v>
      </c>
      <c r="G43" s="99" t="s">
        <v>68</v>
      </c>
      <c r="H43" s="99" t="s">
        <v>702</v>
      </c>
      <c r="I43" s="99"/>
      <c r="J43" s="89">
        <f>48/ATHENS!O1*ATHENS!O2</f>
        <v>97.959183673469383</v>
      </c>
      <c r="K43" s="89">
        <f>57.5/ATHENS!O1*ATHENS!O2</f>
        <v>117.34693877551021</v>
      </c>
      <c r="L43" s="89"/>
      <c r="M43" s="89"/>
      <c r="N43" s="89"/>
    </row>
    <row r="44" spans="1:14" ht="13.5" thickBot="1" x14ac:dyDescent="0.25">
      <c r="A44" s="105"/>
      <c r="B44" s="436" t="s">
        <v>67</v>
      </c>
      <c r="C44" s="436"/>
      <c r="D44" s="436"/>
      <c r="E44" s="110"/>
      <c r="F44" s="110" t="s">
        <v>1182</v>
      </c>
      <c r="G44" s="110" t="s">
        <v>68</v>
      </c>
      <c r="H44" s="110" t="s">
        <v>702</v>
      </c>
      <c r="I44" s="99"/>
      <c r="J44" s="89">
        <f>39/ATHENS!O1*ATHENS!O2</f>
        <v>79.591836734693885</v>
      </c>
      <c r="K44" s="89">
        <f>44/ATHENS!O1*ATHENS!O2</f>
        <v>89.795918367346943</v>
      </c>
      <c r="L44" s="89"/>
      <c r="M44" s="89"/>
      <c r="N44" s="89"/>
    </row>
    <row r="45" spans="1:14" ht="13.5" thickBot="1" x14ac:dyDescent="0.25">
      <c r="A45" s="105"/>
      <c r="B45" s="125" t="s">
        <v>902</v>
      </c>
      <c r="H45" s="125" t="s">
        <v>702</v>
      </c>
      <c r="I45" s="110"/>
      <c r="J45" s="94">
        <f>23/ATHENS!O1*ATHENS!O2</f>
        <v>46.938775510204081</v>
      </c>
      <c r="K45" s="94">
        <f>23/ATHENS!O1*ATHENS!O2</f>
        <v>46.938775510204081</v>
      </c>
      <c r="L45" s="89"/>
      <c r="M45" s="89"/>
      <c r="N45" s="89"/>
    </row>
    <row r="46" spans="1:14" x14ac:dyDescent="0.2">
      <c r="A46" s="97"/>
      <c r="B46" s="98"/>
      <c r="C46" s="98"/>
      <c r="D46" s="98"/>
      <c r="E46" s="99"/>
      <c r="F46" s="99"/>
      <c r="G46" s="99"/>
      <c r="H46" s="99"/>
      <c r="I46" s="99"/>
      <c r="J46" s="99"/>
      <c r="K46" s="99"/>
      <c r="L46" s="99"/>
      <c r="M46" s="99"/>
      <c r="N46" s="99"/>
    </row>
    <row r="47" spans="1:14" x14ac:dyDescent="0.2">
      <c r="A47" s="97"/>
      <c r="B47" s="98"/>
      <c r="C47" s="98"/>
      <c r="D47" s="98"/>
      <c r="E47" s="99"/>
      <c r="F47" s="99"/>
      <c r="G47" s="99"/>
      <c r="H47" s="99"/>
      <c r="I47" s="99"/>
      <c r="J47" s="99"/>
      <c r="K47" s="99"/>
      <c r="L47" s="99"/>
      <c r="M47" s="99"/>
      <c r="N47" s="99"/>
    </row>
    <row r="48" spans="1:14" ht="13.5" thickBot="1" x14ac:dyDescent="0.25">
      <c r="A48" s="97"/>
      <c r="B48" s="98"/>
      <c r="C48" s="98"/>
      <c r="D48" s="98"/>
      <c r="E48" s="99"/>
      <c r="F48" s="99"/>
      <c r="G48" s="99"/>
      <c r="H48" s="99"/>
      <c r="I48" s="99"/>
      <c r="J48" s="99"/>
      <c r="K48" s="99"/>
      <c r="L48" s="99"/>
      <c r="M48" s="99"/>
      <c r="N48" s="99"/>
    </row>
    <row r="49" spans="1:14" x14ac:dyDescent="0.2">
      <c r="A49" s="101"/>
      <c r="B49" s="102"/>
      <c r="C49" s="102"/>
      <c r="D49" s="102"/>
      <c r="E49" s="103"/>
      <c r="F49" s="103"/>
      <c r="G49" s="103"/>
      <c r="H49" s="103"/>
      <c r="I49" s="103"/>
      <c r="J49" s="103"/>
      <c r="K49" s="103"/>
      <c r="L49" s="103"/>
      <c r="M49" s="103"/>
      <c r="N49" s="104"/>
    </row>
    <row r="50" spans="1:14" ht="15" x14ac:dyDescent="0.2">
      <c r="A50" s="105"/>
      <c r="B50" s="437" t="s">
        <v>248</v>
      </c>
      <c r="C50" s="438"/>
      <c r="D50" s="438"/>
      <c r="E50" s="438"/>
      <c r="F50" s="438"/>
      <c r="G50" s="438"/>
      <c r="H50" s="438"/>
      <c r="I50" s="438"/>
      <c r="J50" s="438"/>
      <c r="K50" s="438"/>
      <c r="L50" s="438"/>
      <c r="M50" s="439"/>
      <c r="N50" s="106" t="s">
        <v>1102</v>
      </c>
    </row>
    <row r="51" spans="1:14" x14ac:dyDescent="0.2">
      <c r="A51" s="105"/>
      <c r="B51" s="107" t="s">
        <v>428</v>
      </c>
      <c r="C51" s="98" t="s">
        <v>13</v>
      </c>
      <c r="D51" s="98"/>
      <c r="E51" s="99"/>
      <c r="F51" s="99"/>
      <c r="G51" s="99"/>
      <c r="H51" s="99"/>
      <c r="I51" s="99"/>
      <c r="J51" s="99"/>
      <c r="K51" s="99"/>
      <c r="L51" s="99"/>
      <c r="M51" s="99"/>
      <c r="N51" s="90"/>
    </row>
    <row r="52" spans="1:14" x14ac:dyDescent="0.2">
      <c r="A52" s="105"/>
      <c r="B52" s="107" t="s">
        <v>429</v>
      </c>
      <c r="C52" s="98" t="s">
        <v>14</v>
      </c>
      <c r="D52" s="98"/>
      <c r="E52" s="99"/>
      <c r="F52" s="99"/>
      <c r="G52" s="99"/>
      <c r="H52" s="99"/>
      <c r="I52" s="99"/>
      <c r="J52" s="99"/>
      <c r="K52" s="99"/>
      <c r="L52" s="99"/>
      <c r="M52" s="99"/>
      <c r="N52" s="90"/>
    </row>
    <row r="53" spans="1:14" x14ac:dyDescent="0.2">
      <c r="A53" s="105"/>
      <c r="B53" s="107" t="s">
        <v>427</v>
      </c>
      <c r="C53" s="444" t="s">
        <v>644</v>
      </c>
      <c r="D53" s="444"/>
      <c r="E53" s="444"/>
      <c r="F53" s="444"/>
      <c r="G53" s="444"/>
      <c r="H53" s="444"/>
      <c r="I53" s="444"/>
      <c r="J53" s="444"/>
      <c r="K53" s="444"/>
      <c r="L53" s="444"/>
      <c r="M53" s="444"/>
      <c r="N53" s="445"/>
    </row>
    <row r="54" spans="1:14" x14ac:dyDescent="0.2">
      <c r="A54" s="105"/>
      <c r="B54" s="98"/>
      <c r="C54" s="444"/>
      <c r="D54" s="444"/>
      <c r="E54" s="444"/>
      <c r="F54" s="444"/>
      <c r="G54" s="444"/>
      <c r="H54" s="444"/>
      <c r="I54" s="444"/>
      <c r="J54" s="444"/>
      <c r="K54" s="444"/>
      <c r="L54" s="444"/>
      <c r="M54" s="444"/>
      <c r="N54" s="445"/>
    </row>
    <row r="55" spans="1:14" x14ac:dyDescent="0.2">
      <c r="A55" s="105"/>
      <c r="B55" s="107" t="s">
        <v>426</v>
      </c>
      <c r="C55" s="98"/>
      <c r="D55" s="98"/>
      <c r="E55" s="99"/>
      <c r="F55" s="99"/>
      <c r="G55" s="99"/>
      <c r="H55" s="98"/>
      <c r="I55" s="99"/>
      <c r="J55" s="98"/>
      <c r="K55" s="99"/>
      <c r="L55" s="99"/>
      <c r="M55" s="99"/>
      <c r="N55" s="90"/>
    </row>
    <row r="56" spans="1:14" ht="13.5" thickBot="1" x14ac:dyDescent="0.25">
      <c r="A56" s="108"/>
      <c r="B56" s="107" t="s">
        <v>430</v>
      </c>
      <c r="C56" s="109"/>
      <c r="D56" s="109"/>
      <c r="E56" s="110"/>
      <c r="F56" s="110"/>
      <c r="G56" s="110"/>
      <c r="H56" s="110"/>
      <c r="I56" s="110"/>
      <c r="J56" s="110"/>
      <c r="K56" s="110"/>
      <c r="L56" s="110"/>
      <c r="M56" s="110"/>
      <c r="N56" s="93"/>
    </row>
    <row r="57" spans="1:14" ht="13.5" thickBot="1" x14ac:dyDescent="0.25">
      <c r="A57" s="108"/>
      <c r="B57" s="120" t="s">
        <v>263</v>
      </c>
      <c r="C57" s="109"/>
      <c r="D57" s="109"/>
      <c r="E57" s="110"/>
      <c r="F57" s="110"/>
      <c r="G57" s="110"/>
      <c r="H57" s="110"/>
      <c r="I57" s="110"/>
      <c r="J57" s="112" t="s">
        <v>907</v>
      </c>
      <c r="K57" s="94" t="s">
        <v>611</v>
      </c>
      <c r="L57" s="94"/>
      <c r="M57" s="94"/>
      <c r="N57" s="94"/>
    </row>
    <row r="58" spans="1:14" x14ac:dyDescent="0.2">
      <c r="A58" s="101"/>
      <c r="B58" s="448" t="s">
        <v>67</v>
      </c>
      <c r="C58" s="448"/>
      <c r="D58" s="448"/>
      <c r="E58" s="103"/>
      <c r="F58" s="103" t="s">
        <v>1180</v>
      </c>
      <c r="G58" s="103" t="s">
        <v>68</v>
      </c>
      <c r="H58" s="103" t="s">
        <v>702</v>
      </c>
      <c r="I58" s="103"/>
      <c r="J58" s="113">
        <f>45/ATHENS!O1*ATHENS!O2</f>
        <v>91.83673469387756</v>
      </c>
      <c r="K58" s="113">
        <f>46/ATHENS!O1*ATHENS!O2</f>
        <v>93.877551020408163</v>
      </c>
      <c r="L58" s="113"/>
      <c r="M58" s="113"/>
      <c r="N58" s="113"/>
    </row>
    <row r="59" spans="1:14" x14ac:dyDescent="0.2">
      <c r="A59" s="105"/>
      <c r="B59" s="443" t="s">
        <v>67</v>
      </c>
      <c r="C59" s="443"/>
      <c r="D59" s="443"/>
      <c r="E59" s="99"/>
      <c r="F59" s="99" t="s">
        <v>1181</v>
      </c>
      <c r="G59" s="99" t="s">
        <v>68</v>
      </c>
      <c r="H59" s="99" t="s">
        <v>702</v>
      </c>
      <c r="I59" s="99"/>
      <c r="J59" s="89">
        <f>28.5/ATHENS!O1*ATHENS!O2</f>
        <v>58.163265306122447</v>
      </c>
      <c r="K59" s="89">
        <f>30/ATHENS!O1*ATHENS!O2</f>
        <v>61.224489795918366</v>
      </c>
      <c r="L59" s="89"/>
      <c r="M59" s="89"/>
      <c r="N59" s="89"/>
    </row>
    <row r="60" spans="1:14" x14ac:dyDescent="0.2">
      <c r="A60" s="105"/>
      <c r="B60" s="443" t="s">
        <v>67</v>
      </c>
      <c r="C60" s="443"/>
      <c r="D60" s="443"/>
      <c r="E60" s="99"/>
      <c r="F60" s="99" t="s">
        <v>1182</v>
      </c>
      <c r="G60" s="99" t="s">
        <v>68</v>
      </c>
      <c r="H60" s="99" t="s">
        <v>702</v>
      </c>
      <c r="I60" s="99"/>
      <c r="J60" s="89">
        <f>27/ATHENS!O1*ATHENS!O2</f>
        <v>55.102040816326529</v>
      </c>
      <c r="K60" s="89">
        <f>27/ATHENS!O1*ATHENS!O2</f>
        <v>55.102040816326529</v>
      </c>
      <c r="L60" s="89"/>
      <c r="M60" s="89"/>
      <c r="N60" s="89"/>
    </row>
    <row r="61" spans="1:14" ht="13.5" thickBot="1" x14ac:dyDescent="0.25">
      <c r="A61" s="108"/>
      <c r="B61" s="436"/>
      <c r="C61" s="436"/>
      <c r="D61" s="436"/>
      <c r="E61" s="110"/>
      <c r="F61" s="110"/>
      <c r="G61" s="110"/>
      <c r="H61" s="110"/>
      <c r="I61" s="110"/>
      <c r="J61" s="94"/>
      <c r="K61" s="94"/>
      <c r="L61" s="94"/>
      <c r="M61" s="94"/>
      <c r="N61" s="94"/>
    </row>
    <row r="62" spans="1:14" x14ac:dyDescent="0.2">
      <c r="A62" s="97"/>
      <c r="B62" s="98"/>
      <c r="C62" s="98"/>
      <c r="D62" s="98"/>
      <c r="E62" s="99"/>
      <c r="F62" s="99"/>
      <c r="G62" s="99"/>
      <c r="H62" s="99"/>
      <c r="I62" s="99"/>
      <c r="J62" s="99"/>
      <c r="K62" s="99"/>
      <c r="L62" s="99"/>
      <c r="M62" s="99"/>
      <c r="N62" s="99"/>
    </row>
  </sheetData>
  <customSheetViews>
    <customSheetView guid="{3C76061C-A85D-4390-B9DB-73E13038638C}" showPageBreaks="1" showGridLines="0" view="pageLayout">
      <selection activeCell="M51" sqref="M51"/>
      <rowBreaks count="1" manualBreakCount="1">
        <brk id="46" max="16383" man="1"/>
      </rowBreaks>
      <pageMargins left="0.28125" right="0.25" top="0.6692913385826772" bottom="0.70866141732283472" header="0.23622047244094491" footer="0.47244094488188981"/>
      <printOptions horizontalCentered="1"/>
      <pageSetup paperSize="9" firstPageNumber="54"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22">
    <mergeCell ref="B44:D44"/>
    <mergeCell ref="B60:D60"/>
    <mergeCell ref="B61:D61"/>
    <mergeCell ref="B50:M50"/>
    <mergeCell ref="C53:N54"/>
    <mergeCell ref="B58:D58"/>
    <mergeCell ref="B59:D59"/>
    <mergeCell ref="C21:N23"/>
    <mergeCell ref="B33:M33"/>
    <mergeCell ref="B42:D42"/>
    <mergeCell ref="B43:D43"/>
    <mergeCell ref="B27:D27"/>
    <mergeCell ref="B28:D28"/>
    <mergeCell ref="B29:D29"/>
    <mergeCell ref="B30:D30"/>
    <mergeCell ref="C36:N38"/>
    <mergeCell ref="B14:D14"/>
    <mergeCell ref="B18:M18"/>
    <mergeCell ref="B3:M3"/>
    <mergeCell ref="B12:D12"/>
    <mergeCell ref="B13:D13"/>
    <mergeCell ref="C6:N8"/>
  </mergeCells>
  <phoneticPr fontId="17" type="noConversion"/>
  <hyperlinks>
    <hyperlink ref="B3:M3" r:id="rId2" display="Meteora" xr:uid="{00000000-0004-0000-1400-000000000000}"/>
    <hyperlink ref="B18:M18" r:id="rId3" display="Amalia" xr:uid="{00000000-0004-0000-1400-000001000000}"/>
    <hyperlink ref="B33:M33" r:id="rId4" display="Divani" xr:uid="{00000000-0004-0000-1400-000002000000}"/>
    <hyperlink ref="B50:M50" r:id="rId5" display="Orfeas" xr:uid="{00000000-0004-0000-1400-000003000000}"/>
  </hyperlinks>
  <printOptions horizontalCentered="1"/>
  <pageMargins left="0.28125" right="0.25" top="0.6692913385826772" bottom="0.70866141732283472" header="0.23622047244094491" footer="0.47244094488188981"/>
  <pageSetup paperSize="9" firstPageNumber="54" orientation="portrait" useFirstPageNumber="1" horizontalDpi="300" verticalDpi="300" r:id="rId6"/>
  <headerFooter scaleWithDoc="0" alignWithMargins="0">
    <oddHeader xml:space="preserve">&amp;C TARIFF 2026
 (EURO)
</oddHeader>
    <oddFooter>&amp;LAll rates are in EURO&amp;C
TARIFF 2026
&amp;RPage &amp;P</oddFooter>
  </headerFooter>
  <rowBreaks count="1" manualBreakCount="1">
    <brk id="46"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N17"/>
  <sheetViews>
    <sheetView showGridLines="0" view="pageLayout" workbookViewId="0">
      <selection activeCell="L114" sqref="L114"/>
    </sheetView>
  </sheetViews>
  <sheetFormatPr defaultRowHeight="12.75" x14ac:dyDescent="0.2"/>
  <cols>
    <col min="1" max="1" width="1.85546875" style="125" customWidth="1"/>
    <col min="2" max="3" width="10.7109375" style="125" customWidth="1"/>
    <col min="4" max="9" width="3.7109375" style="125" customWidth="1"/>
    <col min="10" max="14" width="10.7109375" style="125" customWidth="1"/>
    <col min="15" max="16384" width="9.140625" style="125"/>
  </cols>
  <sheetData>
    <row r="1" spans="1:14" ht="13.5" thickBot="1" x14ac:dyDescent="0.25">
      <c r="A1" s="97"/>
      <c r="B1" s="98"/>
      <c r="C1" s="98"/>
      <c r="D1" s="98"/>
      <c r="E1" s="99"/>
      <c r="F1" s="99"/>
      <c r="G1" s="99"/>
      <c r="H1" s="99"/>
      <c r="I1" s="99"/>
      <c r="J1" s="99"/>
      <c r="K1" s="99"/>
      <c r="L1" s="99"/>
      <c r="M1" s="99"/>
      <c r="N1" s="99"/>
    </row>
    <row r="2" spans="1:14" x14ac:dyDescent="0.2">
      <c r="A2" s="101"/>
      <c r="B2" s="102"/>
      <c r="C2" s="102"/>
      <c r="D2" s="102"/>
      <c r="E2" s="103"/>
      <c r="F2" s="103"/>
      <c r="G2" s="103"/>
      <c r="H2" s="103"/>
      <c r="I2" s="103"/>
      <c r="J2" s="103"/>
      <c r="K2" s="103"/>
      <c r="L2" s="103"/>
      <c r="M2" s="103"/>
      <c r="N2" s="104"/>
    </row>
    <row r="3" spans="1:14" ht="15" x14ac:dyDescent="0.2">
      <c r="A3" s="105"/>
      <c r="B3" s="437" t="s">
        <v>815</v>
      </c>
      <c r="C3" s="438"/>
      <c r="D3" s="438"/>
      <c r="E3" s="438"/>
      <c r="F3" s="438"/>
      <c r="G3" s="438"/>
      <c r="H3" s="438"/>
      <c r="I3" s="438"/>
      <c r="J3" s="438"/>
      <c r="K3" s="438"/>
      <c r="L3" s="438"/>
      <c r="M3" s="439"/>
      <c r="N3" s="106" t="s">
        <v>1103</v>
      </c>
    </row>
    <row r="4" spans="1:14" x14ac:dyDescent="0.2">
      <c r="A4" s="105"/>
      <c r="B4" s="107" t="s">
        <v>428</v>
      </c>
      <c r="C4" s="98" t="s">
        <v>816</v>
      </c>
      <c r="D4" s="98"/>
      <c r="E4" s="99"/>
      <c r="F4" s="99"/>
      <c r="G4" s="99"/>
      <c r="H4" s="99"/>
      <c r="I4" s="99"/>
      <c r="J4" s="99"/>
      <c r="K4" s="99"/>
      <c r="L4" s="99"/>
      <c r="M4" s="99"/>
      <c r="N4" s="90"/>
    </row>
    <row r="5" spans="1:14" x14ac:dyDescent="0.2">
      <c r="A5" s="105"/>
      <c r="B5" s="107" t="s">
        <v>429</v>
      </c>
      <c r="C5" s="98" t="s">
        <v>15</v>
      </c>
      <c r="D5" s="98"/>
      <c r="E5" s="99"/>
      <c r="F5" s="99"/>
      <c r="G5" s="99"/>
      <c r="H5" s="99"/>
      <c r="I5" s="99"/>
      <c r="J5" s="99"/>
      <c r="K5" s="99"/>
      <c r="L5" s="99"/>
      <c r="M5" s="99"/>
      <c r="N5" s="90"/>
    </row>
    <row r="6" spans="1:14" x14ac:dyDescent="0.2">
      <c r="A6" s="105"/>
      <c r="B6" s="107" t="s">
        <v>427</v>
      </c>
      <c r="C6" s="444" t="s">
        <v>645</v>
      </c>
      <c r="D6" s="444"/>
      <c r="E6" s="444"/>
      <c r="F6" s="444"/>
      <c r="G6" s="444"/>
      <c r="H6" s="444"/>
      <c r="I6" s="444"/>
      <c r="J6" s="444"/>
      <c r="K6" s="444"/>
      <c r="L6" s="444"/>
      <c r="M6" s="444"/>
      <c r="N6" s="445"/>
    </row>
    <row r="7" spans="1:14" x14ac:dyDescent="0.2">
      <c r="A7" s="105"/>
      <c r="B7" s="98"/>
      <c r="C7" s="444"/>
      <c r="D7" s="444"/>
      <c r="E7" s="444"/>
      <c r="F7" s="444"/>
      <c r="G7" s="444"/>
      <c r="H7" s="444"/>
      <c r="I7" s="444"/>
      <c r="J7" s="444"/>
      <c r="K7" s="444"/>
      <c r="L7" s="444"/>
      <c r="M7" s="444"/>
      <c r="N7" s="445"/>
    </row>
    <row r="8" spans="1:14" x14ac:dyDescent="0.2">
      <c r="A8" s="105"/>
      <c r="B8" s="98"/>
      <c r="C8" s="446"/>
      <c r="D8" s="446"/>
      <c r="E8" s="446"/>
      <c r="F8" s="446"/>
      <c r="G8" s="446"/>
      <c r="H8" s="446"/>
      <c r="I8" s="446"/>
      <c r="J8" s="446"/>
      <c r="K8" s="446"/>
      <c r="L8" s="446"/>
      <c r="M8" s="446"/>
      <c r="N8" s="447"/>
    </row>
    <row r="9" spans="1:14" x14ac:dyDescent="0.2">
      <c r="A9" s="105"/>
      <c r="B9" s="107" t="s">
        <v>426</v>
      </c>
      <c r="C9" s="98"/>
      <c r="D9" s="98"/>
      <c r="E9" s="99"/>
      <c r="F9" s="99"/>
      <c r="G9" s="99"/>
      <c r="H9" s="98"/>
      <c r="I9" s="99"/>
      <c r="J9" s="98"/>
      <c r="K9" s="99"/>
      <c r="L9" s="99"/>
      <c r="M9" s="99"/>
      <c r="N9" s="90"/>
    </row>
    <row r="10" spans="1:14" ht="13.5" thickBot="1" x14ac:dyDescent="0.25">
      <c r="A10" s="108"/>
      <c r="B10" s="107" t="s">
        <v>430</v>
      </c>
      <c r="C10" s="109"/>
      <c r="D10" s="109"/>
      <c r="E10" s="110"/>
      <c r="F10" s="110"/>
      <c r="G10" s="110"/>
      <c r="H10" s="110"/>
      <c r="I10" s="110"/>
      <c r="J10" s="110"/>
      <c r="K10" s="110"/>
      <c r="L10" s="110"/>
      <c r="M10" s="110"/>
      <c r="N10" s="93"/>
    </row>
    <row r="11" spans="1:14" ht="13.5" thickBot="1" x14ac:dyDescent="0.25">
      <c r="A11" s="108"/>
      <c r="B11" s="120" t="s">
        <v>263</v>
      </c>
      <c r="C11" s="109"/>
      <c r="D11" s="109"/>
      <c r="E11" s="110"/>
      <c r="F11" s="110"/>
      <c r="G11" s="110"/>
      <c r="H11" s="110"/>
      <c r="I11" s="110"/>
      <c r="J11" s="110" t="s">
        <v>385</v>
      </c>
      <c r="K11" s="110"/>
      <c r="L11" s="110"/>
      <c r="M11" s="110"/>
      <c r="N11" s="93"/>
    </row>
    <row r="12" spans="1:14" ht="13.5" thickBot="1" x14ac:dyDescent="0.25">
      <c r="A12" s="108"/>
      <c r="C12" s="109"/>
      <c r="D12" s="109"/>
      <c r="E12" s="110"/>
      <c r="F12" s="110"/>
      <c r="G12" s="110"/>
      <c r="H12" s="110"/>
      <c r="I12" s="110"/>
      <c r="J12" s="112" t="s">
        <v>1918</v>
      </c>
      <c r="K12" s="94" t="s">
        <v>1919</v>
      </c>
      <c r="L12" s="94"/>
      <c r="M12" s="94"/>
      <c r="N12" s="94"/>
    </row>
    <row r="13" spans="1:14" x14ac:dyDescent="0.2">
      <c r="A13" s="101"/>
      <c r="B13" s="448" t="s">
        <v>67</v>
      </c>
      <c r="C13" s="448"/>
      <c r="D13" s="448"/>
      <c r="E13" s="103"/>
      <c r="F13" s="103" t="s">
        <v>1180</v>
      </c>
      <c r="G13" s="103" t="s">
        <v>68</v>
      </c>
      <c r="H13" s="103" t="s">
        <v>702</v>
      </c>
      <c r="I13" s="103"/>
      <c r="J13" s="113">
        <f>46/ATHENS!O1*ATHENS!O2</f>
        <v>93.877551020408163</v>
      </c>
      <c r="K13" s="113">
        <f>47/ATHENS!O1*ATHENS!O2</f>
        <v>95.91836734693878</v>
      </c>
      <c r="L13" s="113"/>
      <c r="M13" s="113"/>
      <c r="N13" s="113"/>
    </row>
    <row r="14" spans="1:14" x14ac:dyDescent="0.2">
      <c r="A14" s="105"/>
      <c r="B14" s="443" t="s">
        <v>67</v>
      </c>
      <c r="C14" s="443"/>
      <c r="D14" s="443"/>
      <c r="E14" s="99"/>
      <c r="F14" s="99" t="s">
        <v>1181</v>
      </c>
      <c r="G14" s="99" t="s">
        <v>68</v>
      </c>
      <c r="H14" s="99" t="s">
        <v>702</v>
      </c>
      <c r="I14" s="99"/>
      <c r="J14" s="89">
        <f>27.5/ATHENS!O1*ATHENS!O2</f>
        <v>56.122448979591837</v>
      </c>
      <c r="K14" s="89">
        <f>29/ATHENS!O1*ATHENS!O2</f>
        <v>59.183673469387756</v>
      </c>
      <c r="L14" s="89"/>
      <c r="M14" s="89"/>
      <c r="N14" s="89"/>
    </row>
    <row r="15" spans="1:14" x14ac:dyDescent="0.2">
      <c r="A15" s="105"/>
      <c r="B15" s="443" t="s">
        <v>67</v>
      </c>
      <c r="C15" s="443"/>
      <c r="D15" s="443"/>
      <c r="E15" s="99"/>
      <c r="F15" s="99" t="s">
        <v>1182</v>
      </c>
      <c r="G15" s="99" t="s">
        <v>68</v>
      </c>
      <c r="H15" s="99" t="s">
        <v>702</v>
      </c>
      <c r="I15" s="99"/>
      <c r="J15" s="89">
        <f>28.5/ATHENS!O1*ATHENS!O2</f>
        <v>58.163265306122447</v>
      </c>
      <c r="K15" s="89">
        <f>28.6/ATHENS!O1*ATHENS!O2</f>
        <v>58.367346938775512</v>
      </c>
      <c r="L15" s="89"/>
      <c r="M15" s="89"/>
      <c r="N15" s="89"/>
    </row>
    <row r="16" spans="1:14" ht="13.5" thickBot="1" x14ac:dyDescent="0.25">
      <c r="A16" s="108"/>
      <c r="B16" s="436"/>
      <c r="C16" s="436"/>
      <c r="D16" s="436"/>
      <c r="E16" s="110"/>
      <c r="F16" s="110"/>
      <c r="G16" s="110"/>
      <c r="H16" s="110"/>
      <c r="I16" s="110"/>
      <c r="J16" s="94"/>
      <c r="K16" s="94"/>
      <c r="L16" s="94"/>
      <c r="M16" s="94"/>
      <c r="N16" s="94"/>
    </row>
    <row r="17" spans="1:14" x14ac:dyDescent="0.2">
      <c r="A17" s="97"/>
      <c r="B17" s="98"/>
      <c r="C17" s="98"/>
      <c r="D17" s="98"/>
      <c r="E17" s="99"/>
      <c r="F17" s="99"/>
      <c r="G17" s="99"/>
      <c r="H17" s="99"/>
      <c r="I17" s="99"/>
      <c r="J17" s="99"/>
      <c r="K17" s="99"/>
      <c r="L17" s="99"/>
      <c r="M17" s="99"/>
      <c r="N17" s="99"/>
    </row>
  </sheetData>
  <customSheetViews>
    <customSheetView guid="{3C76061C-A85D-4390-B9DB-73E13038638C}" showPageBreaks="1" showGridLines="0" view="pageLayout">
      <selection activeCell="M51" sqref="M51"/>
      <pageMargins left="0.28125" right="0.25" top="0.6692913385826772" bottom="0.70866141732283472" header="0.23622047244094491" footer="0.47244094488188981"/>
      <printOptions horizontalCentered="1"/>
      <pageSetup paperSize="9" firstPageNumber="56"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6">
    <mergeCell ref="C6:N8"/>
    <mergeCell ref="B15:D15"/>
    <mergeCell ref="B16:D16"/>
    <mergeCell ref="B3:M3"/>
    <mergeCell ref="B13:D13"/>
    <mergeCell ref="B14:D14"/>
  </mergeCells>
  <phoneticPr fontId="17" type="noConversion"/>
  <hyperlinks>
    <hyperlink ref="B3:M3" r:id="rId2" display="Egnatia" xr:uid="{00000000-0004-0000-1500-000000000000}"/>
  </hyperlinks>
  <printOptions horizontalCentered="1"/>
  <pageMargins left="0.28125" right="0.25" top="0.6692913385826772" bottom="0.70866141732283472" header="0.23622047244094491" footer="0.47244094488188981"/>
  <pageSetup paperSize="9" firstPageNumber="56" orientation="portrait" useFirstPageNumber="1" horizontalDpi="300" verticalDpi="300" r:id="rId3"/>
  <headerFooter scaleWithDoc="0" alignWithMargins="0">
    <oddHeader xml:space="preserve">&amp;C TARIFF 2026
 (EURO)
</oddHeader>
    <oddFooter>&amp;LAll rates are in EURO&amp;C
TARIFF 2026
&amp;RPage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6"/>
  <dimension ref="A1:N20"/>
  <sheetViews>
    <sheetView showGridLines="0" view="pageLayout" topLeftCell="A38" workbookViewId="0">
      <selection activeCell="L114" sqref="L114"/>
    </sheetView>
  </sheetViews>
  <sheetFormatPr defaultRowHeight="12.75" x14ac:dyDescent="0.2"/>
  <cols>
    <col min="1" max="1" width="1.85546875" style="100" customWidth="1"/>
    <col min="2" max="3" width="10.7109375" style="100" customWidth="1"/>
    <col min="4" max="9" width="3.7109375" style="100" customWidth="1"/>
    <col min="10" max="14" width="10.7109375" style="100" customWidth="1"/>
    <col min="15" max="15" width="9.5703125" style="100" customWidth="1"/>
    <col min="16" max="27" width="2.7109375" style="100" customWidth="1"/>
    <col min="28" max="16384" width="9.140625" style="100"/>
  </cols>
  <sheetData>
    <row r="1" spans="1:14" x14ac:dyDescent="0.2">
      <c r="A1" s="97"/>
      <c r="B1" s="98"/>
      <c r="C1" s="98"/>
      <c r="D1" s="98"/>
      <c r="E1" s="99"/>
      <c r="F1" s="99"/>
      <c r="G1" s="99"/>
      <c r="H1" s="99"/>
      <c r="I1" s="99"/>
      <c r="J1" s="99"/>
      <c r="K1" s="99"/>
      <c r="L1" s="99"/>
      <c r="M1" s="99"/>
      <c r="N1" s="99"/>
    </row>
    <row r="2" spans="1:14" ht="13.5" thickBot="1" x14ac:dyDescent="0.25">
      <c r="A2" s="97"/>
      <c r="B2" s="98"/>
      <c r="C2" s="98"/>
      <c r="D2" s="98"/>
      <c r="E2" s="99"/>
      <c r="F2" s="99"/>
      <c r="G2" s="99"/>
      <c r="H2" s="99"/>
      <c r="I2" s="99"/>
      <c r="J2" s="99"/>
      <c r="K2" s="99"/>
      <c r="L2" s="99"/>
      <c r="M2" s="99"/>
      <c r="N2" s="99"/>
    </row>
    <row r="3" spans="1:14" x14ac:dyDescent="0.2">
      <c r="A3" s="101"/>
      <c r="B3" s="102"/>
      <c r="C3" s="102"/>
      <c r="D3" s="102"/>
      <c r="E3" s="103"/>
      <c r="F3" s="103"/>
      <c r="G3" s="103"/>
      <c r="H3" s="103"/>
      <c r="I3" s="103"/>
      <c r="J3" s="103"/>
      <c r="K3" s="103"/>
      <c r="L3" s="103"/>
      <c r="M3" s="103"/>
      <c r="N3" s="104"/>
    </row>
    <row r="4" spans="1:14" ht="15" x14ac:dyDescent="0.2">
      <c r="A4" s="105"/>
      <c r="B4" s="437" t="s">
        <v>456</v>
      </c>
      <c r="C4" s="438"/>
      <c r="D4" s="438"/>
      <c r="E4" s="438"/>
      <c r="F4" s="438"/>
      <c r="G4" s="438"/>
      <c r="H4" s="438"/>
      <c r="I4" s="438"/>
      <c r="J4" s="438"/>
      <c r="K4" s="438"/>
      <c r="L4" s="438"/>
      <c r="M4" s="439"/>
      <c r="N4" s="106" t="s">
        <v>96</v>
      </c>
    </row>
    <row r="5" spans="1:14" x14ac:dyDescent="0.2">
      <c r="A5" s="105"/>
      <c r="B5" s="107" t="s">
        <v>428</v>
      </c>
      <c r="C5" s="98" t="s">
        <v>1642</v>
      </c>
      <c r="D5" s="98"/>
      <c r="E5" s="99"/>
      <c r="F5" s="99"/>
      <c r="G5" s="99"/>
      <c r="H5" s="99"/>
      <c r="I5" s="99"/>
      <c r="J5" s="99"/>
      <c r="K5" s="99"/>
      <c r="L5" s="99"/>
      <c r="M5" s="99"/>
      <c r="N5" s="90"/>
    </row>
    <row r="6" spans="1:14" x14ac:dyDescent="0.2">
      <c r="A6" s="105"/>
      <c r="B6" s="107" t="s">
        <v>429</v>
      </c>
      <c r="C6" s="98" t="s">
        <v>1091</v>
      </c>
      <c r="D6" s="98"/>
      <c r="E6" s="99"/>
      <c r="F6" s="99"/>
      <c r="G6" s="99"/>
      <c r="H6" s="99"/>
      <c r="I6" s="99"/>
      <c r="J6" s="99"/>
      <c r="K6" s="99"/>
      <c r="L6" s="99"/>
      <c r="M6" s="99"/>
      <c r="N6" s="90"/>
    </row>
    <row r="7" spans="1:14" x14ac:dyDescent="0.2">
      <c r="A7" s="105"/>
      <c r="B7" s="107" t="s">
        <v>427</v>
      </c>
      <c r="C7" s="444" t="s">
        <v>646</v>
      </c>
      <c r="D7" s="444"/>
      <c r="E7" s="444"/>
      <c r="F7" s="444"/>
      <c r="G7" s="444"/>
      <c r="H7" s="444"/>
      <c r="I7" s="444"/>
      <c r="J7" s="444"/>
      <c r="K7" s="444"/>
      <c r="L7" s="444"/>
      <c r="M7" s="444"/>
      <c r="N7" s="445"/>
    </row>
    <row r="8" spans="1:14" x14ac:dyDescent="0.2">
      <c r="A8" s="105"/>
      <c r="B8" s="98"/>
      <c r="C8" s="444"/>
      <c r="D8" s="444"/>
      <c r="E8" s="444"/>
      <c r="F8" s="444"/>
      <c r="G8" s="444"/>
      <c r="H8" s="444"/>
      <c r="I8" s="444"/>
      <c r="J8" s="444"/>
      <c r="K8" s="444"/>
      <c r="L8" s="444"/>
      <c r="M8" s="444"/>
      <c r="N8" s="445"/>
    </row>
    <row r="9" spans="1:14" x14ac:dyDescent="0.2">
      <c r="A9" s="105"/>
      <c r="B9" s="98"/>
      <c r="C9" s="444"/>
      <c r="D9" s="444"/>
      <c r="E9" s="444"/>
      <c r="F9" s="444"/>
      <c r="G9" s="444"/>
      <c r="H9" s="444"/>
      <c r="I9" s="444"/>
      <c r="J9" s="444"/>
      <c r="K9" s="444"/>
      <c r="L9" s="444"/>
      <c r="M9" s="444"/>
      <c r="N9" s="445"/>
    </row>
    <row r="10" spans="1:14" x14ac:dyDescent="0.2">
      <c r="A10" s="105"/>
      <c r="B10" s="98"/>
      <c r="C10" s="446"/>
      <c r="D10" s="446"/>
      <c r="E10" s="446"/>
      <c r="F10" s="446"/>
      <c r="G10" s="446"/>
      <c r="H10" s="446"/>
      <c r="I10" s="446"/>
      <c r="J10" s="446"/>
      <c r="K10" s="446"/>
      <c r="L10" s="446"/>
      <c r="M10" s="446"/>
      <c r="N10" s="447"/>
    </row>
    <row r="11" spans="1:14" x14ac:dyDescent="0.2">
      <c r="A11" s="105"/>
      <c r="B11" s="98"/>
      <c r="C11" s="446"/>
      <c r="D11" s="446"/>
      <c r="E11" s="446"/>
      <c r="F11" s="446"/>
      <c r="G11" s="446"/>
      <c r="H11" s="446"/>
      <c r="I11" s="446"/>
      <c r="J11" s="446"/>
      <c r="K11" s="446"/>
      <c r="L11" s="446"/>
      <c r="M11" s="446"/>
      <c r="N11" s="447"/>
    </row>
    <row r="12" spans="1:14" x14ac:dyDescent="0.2">
      <c r="A12" s="105"/>
      <c r="B12" s="98"/>
      <c r="C12" s="446"/>
      <c r="D12" s="446"/>
      <c r="E12" s="446"/>
      <c r="F12" s="446"/>
      <c r="G12" s="446"/>
      <c r="H12" s="446"/>
      <c r="I12" s="446"/>
      <c r="J12" s="446"/>
      <c r="K12" s="446"/>
      <c r="L12" s="446"/>
      <c r="M12" s="446"/>
      <c r="N12" s="447"/>
    </row>
    <row r="13" spans="1:14" x14ac:dyDescent="0.2">
      <c r="A13" s="105"/>
      <c r="B13" s="107" t="s">
        <v>426</v>
      </c>
      <c r="C13" s="98" t="s">
        <v>860</v>
      </c>
      <c r="D13" s="98"/>
      <c r="E13" s="99"/>
      <c r="F13" s="99"/>
      <c r="G13" s="99"/>
      <c r="H13" s="99"/>
      <c r="I13" s="99"/>
      <c r="J13" s="99"/>
      <c r="K13" s="99"/>
      <c r="L13" s="99"/>
      <c r="M13" s="99"/>
      <c r="N13" s="90"/>
    </row>
    <row r="14" spans="1:14" ht="13.5" thickBot="1" x14ac:dyDescent="0.25">
      <c r="A14" s="105"/>
      <c r="B14" s="107" t="s">
        <v>430</v>
      </c>
      <c r="C14" s="98" t="s">
        <v>8</v>
      </c>
      <c r="D14" s="98"/>
      <c r="E14" s="99"/>
      <c r="F14" s="99"/>
      <c r="G14" s="99"/>
      <c r="H14" s="99"/>
      <c r="I14" s="99"/>
      <c r="J14" s="99"/>
      <c r="K14" s="99"/>
      <c r="L14" s="99"/>
      <c r="M14" s="99"/>
      <c r="N14" s="90"/>
    </row>
    <row r="15" spans="1:14" x14ac:dyDescent="0.2">
      <c r="A15" s="101"/>
      <c r="B15" s="102" t="s">
        <v>263</v>
      </c>
      <c r="C15" s="102"/>
      <c r="D15" s="102"/>
      <c r="E15" s="103"/>
      <c r="F15" s="103"/>
      <c r="G15" s="103"/>
      <c r="H15" s="103"/>
      <c r="I15" s="103"/>
      <c r="J15" s="113" t="s">
        <v>1959</v>
      </c>
      <c r="K15" s="127" t="s">
        <v>1431</v>
      </c>
      <c r="L15" s="127"/>
      <c r="M15" s="113"/>
      <c r="N15" s="113"/>
    </row>
    <row r="16" spans="1:14" ht="13.5" thickBot="1" x14ac:dyDescent="0.25">
      <c r="A16" s="108"/>
      <c r="B16" s="98"/>
      <c r="C16" s="109"/>
      <c r="D16" s="109"/>
      <c r="E16" s="110"/>
      <c r="F16" s="110"/>
      <c r="G16" s="110"/>
      <c r="H16" s="110"/>
      <c r="I16" s="110"/>
      <c r="J16" s="112" t="s">
        <v>294</v>
      </c>
      <c r="K16" s="94" t="s">
        <v>1432</v>
      </c>
      <c r="L16" s="94" t="s">
        <v>1152</v>
      </c>
      <c r="M16" s="94"/>
      <c r="N16" s="94"/>
    </row>
    <row r="17" spans="1:14" x14ac:dyDescent="0.2">
      <c r="A17" s="101"/>
      <c r="B17" s="448" t="s">
        <v>67</v>
      </c>
      <c r="C17" s="448"/>
      <c r="D17" s="448"/>
      <c r="E17" s="103"/>
      <c r="F17" s="103" t="s">
        <v>1180</v>
      </c>
      <c r="G17" s="103" t="s">
        <v>1487</v>
      </c>
      <c r="H17" s="103" t="s">
        <v>702</v>
      </c>
      <c r="I17" s="103"/>
      <c r="J17" s="113">
        <f>78/ATHENS!O1*ATHENS!O2</f>
        <v>159.18367346938777</v>
      </c>
      <c r="K17" s="113">
        <f>118.5/ATHENS!O1*ATHENS!O2</f>
        <v>241.83673469387756</v>
      </c>
      <c r="L17" s="113">
        <f>175/ATHENS!O1*ATHENS!O2</f>
        <v>357.14285714285717</v>
      </c>
      <c r="M17" s="113"/>
      <c r="N17" s="113"/>
    </row>
    <row r="18" spans="1:14" x14ac:dyDescent="0.2">
      <c r="A18" s="105"/>
      <c r="B18" s="443" t="s">
        <v>67</v>
      </c>
      <c r="C18" s="443"/>
      <c r="D18" s="443"/>
      <c r="E18" s="99"/>
      <c r="F18" s="99" t="s">
        <v>1181</v>
      </c>
      <c r="G18" s="99" t="s">
        <v>1487</v>
      </c>
      <c r="H18" s="99" t="s">
        <v>702</v>
      </c>
      <c r="I18" s="99"/>
      <c r="J18" s="89">
        <f>52/ATHENS!O1*ATHENS!O2</f>
        <v>106.12244897959184</v>
      </c>
      <c r="K18" s="89">
        <f>74/ATHENS!O1*ATHENS!O2</f>
        <v>151.0204081632653</v>
      </c>
      <c r="L18" s="89">
        <f>109/ATHENS!O1*ATHENS!O2</f>
        <v>222.44897959183675</v>
      </c>
      <c r="M18" s="89"/>
      <c r="N18" s="89"/>
    </row>
    <row r="19" spans="1:14" ht="13.5" thickBot="1" x14ac:dyDescent="0.25">
      <c r="A19" s="108"/>
      <c r="B19" s="436" t="s">
        <v>67</v>
      </c>
      <c r="C19" s="436"/>
      <c r="D19" s="436"/>
      <c r="E19" s="110"/>
      <c r="F19" s="110" t="s">
        <v>1182</v>
      </c>
      <c r="G19" s="110" t="s">
        <v>1487</v>
      </c>
      <c r="H19" s="110" t="s">
        <v>702</v>
      </c>
      <c r="I19" s="110"/>
      <c r="J19" s="94">
        <f>46.8/ATHENS!O1*ATHENS!O2</f>
        <v>95.510204081632651</v>
      </c>
      <c r="K19" s="94">
        <f>66.6/ATHENS!O1*ATHENS!O2</f>
        <v>135.91836734693877</v>
      </c>
      <c r="L19" s="94">
        <f>98.5/ATHENS!O1*ATHENS!O2</f>
        <v>201.0204081632653</v>
      </c>
      <c r="M19" s="94"/>
      <c r="N19" s="94"/>
    </row>
    <row r="20" spans="1:14" x14ac:dyDescent="0.2">
      <c r="A20" s="97"/>
      <c r="B20" s="98"/>
      <c r="C20" s="98"/>
      <c r="D20" s="98"/>
      <c r="E20" s="99"/>
      <c r="F20" s="99"/>
      <c r="G20" s="99"/>
      <c r="H20" s="99"/>
      <c r="I20" s="99"/>
      <c r="J20" s="99"/>
      <c r="K20" s="99"/>
      <c r="L20" s="99"/>
      <c r="M20" s="99"/>
      <c r="N20" s="99"/>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view="pageLayout" topLeftCell="A46">
      <selection activeCell="M51" sqref="M51"/>
      <pageMargins left="0.28125" right="0.25" top="0.6692913385826772" bottom="0.70866141732283472" header="0.23622047244094491" footer="0.47244094488188981"/>
      <printOptions horizontalCentered="1"/>
      <pageSetup paperSize="9" firstPageNumber="57"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5">
    <mergeCell ref="B19:D19"/>
    <mergeCell ref="B17:D17"/>
    <mergeCell ref="B18:D18"/>
    <mergeCell ref="B4:M4"/>
    <mergeCell ref="C7:N12"/>
  </mergeCells>
  <phoneticPr fontId="0" type="noConversion"/>
  <hyperlinks>
    <hyperlink ref="B4:M4" r:id="rId3" display="Kipriotis Village" xr:uid="{00000000-0004-0000-1600-000000000000}"/>
  </hyperlinks>
  <printOptions horizontalCentered="1"/>
  <pageMargins left="0.28125" right="0.25" top="0.6692913385826772" bottom="0.70866141732283472" header="0.23622047244094491" footer="0.47244094488188981"/>
  <pageSetup paperSize="9" firstPageNumber="57" orientation="portrait" useFirstPageNumber="1" horizontalDpi="300" verticalDpi="300" r:id="rId4"/>
  <headerFooter scaleWithDoc="0" alignWithMargins="0">
    <oddHeader xml:space="preserve">&amp;C TARIFF 2026
 (EURO)
</oddHeader>
    <oddFooter>&amp;LAll rates are in EURO&amp;C
TARIFF 2026
&amp;RPage &amp;P</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N38"/>
  <sheetViews>
    <sheetView showGridLines="0" view="pageLayout" topLeftCell="A34" workbookViewId="0">
      <selection activeCell="L114" sqref="L114"/>
    </sheetView>
  </sheetViews>
  <sheetFormatPr defaultRowHeight="12.75" x14ac:dyDescent="0.2"/>
  <cols>
    <col min="1" max="1" width="2.140625" style="125" customWidth="1"/>
    <col min="2" max="3" width="10.7109375" style="125" customWidth="1"/>
    <col min="4" max="9" width="3.7109375" style="125" customWidth="1"/>
    <col min="10" max="14" width="10.7109375" style="125" customWidth="1"/>
    <col min="15" max="16384" width="9.140625" style="125"/>
  </cols>
  <sheetData>
    <row r="1" spans="1:14" ht="13.5" thickBot="1" x14ac:dyDescent="0.25">
      <c r="A1" s="97"/>
      <c r="B1" s="123"/>
      <c r="C1" s="123"/>
      <c r="D1" s="123"/>
      <c r="E1" s="124"/>
      <c r="F1" s="124"/>
      <c r="G1" s="124"/>
      <c r="H1" s="124"/>
      <c r="I1" s="124"/>
      <c r="J1" s="124"/>
      <c r="K1" s="124"/>
      <c r="L1" s="124"/>
      <c r="M1" s="124"/>
      <c r="N1" s="124"/>
    </row>
    <row r="2" spans="1:14" x14ac:dyDescent="0.2">
      <c r="A2" s="101"/>
      <c r="B2" s="102"/>
      <c r="C2" s="102"/>
      <c r="D2" s="102"/>
      <c r="E2" s="103"/>
      <c r="F2" s="103"/>
      <c r="G2" s="103"/>
      <c r="H2" s="103"/>
      <c r="I2" s="103"/>
      <c r="J2" s="103"/>
      <c r="K2" s="103"/>
      <c r="L2" s="103"/>
      <c r="M2" s="103"/>
      <c r="N2" s="104"/>
    </row>
    <row r="3" spans="1:14" ht="15" x14ac:dyDescent="0.2">
      <c r="A3" s="105"/>
      <c r="B3" s="437" t="s">
        <v>602</v>
      </c>
      <c r="C3" s="438"/>
      <c r="D3" s="438"/>
      <c r="E3" s="438"/>
      <c r="F3" s="438"/>
      <c r="G3" s="438"/>
      <c r="H3" s="438"/>
      <c r="I3" s="438"/>
      <c r="J3" s="438"/>
      <c r="K3" s="438"/>
      <c r="L3" s="438"/>
      <c r="M3" s="439"/>
      <c r="N3" s="106" t="s">
        <v>91</v>
      </c>
    </row>
    <row r="4" spans="1:14" x14ac:dyDescent="0.2">
      <c r="A4" s="105"/>
      <c r="B4" s="107" t="s">
        <v>428</v>
      </c>
      <c r="C4" s="98" t="s">
        <v>604</v>
      </c>
      <c r="D4" s="98"/>
      <c r="E4" s="99"/>
      <c r="F4" s="99"/>
      <c r="G4" s="99"/>
      <c r="H4" s="99"/>
      <c r="I4" s="99"/>
      <c r="J4" s="99"/>
      <c r="K4" s="99"/>
      <c r="L4" s="99"/>
      <c r="M4" s="99"/>
      <c r="N4" s="90"/>
    </row>
    <row r="5" spans="1:14" x14ac:dyDescent="0.2">
      <c r="A5" s="105"/>
      <c r="B5" s="107" t="s">
        <v>429</v>
      </c>
      <c r="C5" s="98" t="s">
        <v>16</v>
      </c>
      <c r="D5" s="98"/>
      <c r="E5" s="99"/>
      <c r="F5" s="99"/>
      <c r="G5" s="99"/>
      <c r="H5" s="99"/>
      <c r="I5" s="99"/>
      <c r="J5" s="99"/>
      <c r="K5" s="99"/>
      <c r="L5" s="99"/>
      <c r="M5" s="99"/>
      <c r="N5" s="90"/>
    </row>
    <row r="6" spans="1:14" x14ac:dyDescent="0.2">
      <c r="A6" s="105"/>
      <c r="B6" s="107" t="s">
        <v>427</v>
      </c>
      <c r="C6" s="444" t="s">
        <v>1276</v>
      </c>
      <c r="D6" s="444"/>
      <c r="E6" s="444"/>
      <c r="F6" s="444"/>
      <c r="G6" s="444"/>
      <c r="H6" s="444"/>
      <c r="I6" s="444"/>
      <c r="J6" s="444"/>
      <c r="K6" s="444"/>
      <c r="L6" s="444"/>
      <c r="M6" s="444"/>
      <c r="N6" s="445"/>
    </row>
    <row r="7" spans="1:14" x14ac:dyDescent="0.2">
      <c r="A7" s="105"/>
      <c r="B7" s="98"/>
      <c r="C7" s="444"/>
      <c r="D7" s="444"/>
      <c r="E7" s="444"/>
      <c r="F7" s="444"/>
      <c r="G7" s="444"/>
      <c r="H7" s="444"/>
      <c r="I7" s="444"/>
      <c r="J7" s="444"/>
      <c r="K7" s="444"/>
      <c r="L7" s="444"/>
      <c r="M7" s="444"/>
      <c r="N7" s="445"/>
    </row>
    <row r="8" spans="1:14" x14ac:dyDescent="0.2">
      <c r="A8" s="105"/>
      <c r="B8" s="98"/>
      <c r="C8" s="446"/>
      <c r="D8" s="446"/>
      <c r="E8" s="446"/>
      <c r="F8" s="446"/>
      <c r="G8" s="446"/>
      <c r="H8" s="446"/>
      <c r="I8" s="446"/>
      <c r="J8" s="446"/>
      <c r="K8" s="446"/>
      <c r="L8" s="446"/>
      <c r="M8" s="446"/>
      <c r="N8" s="447"/>
    </row>
    <row r="9" spans="1:14" x14ac:dyDescent="0.2">
      <c r="A9" s="105"/>
      <c r="B9" s="98"/>
      <c r="C9" s="446"/>
      <c r="D9" s="446"/>
      <c r="E9" s="446"/>
      <c r="F9" s="446"/>
      <c r="G9" s="446"/>
      <c r="H9" s="446"/>
      <c r="I9" s="446"/>
      <c r="J9" s="446"/>
      <c r="K9" s="446"/>
      <c r="L9" s="446"/>
      <c r="M9" s="446"/>
      <c r="N9" s="447"/>
    </row>
    <row r="10" spans="1:14" x14ac:dyDescent="0.2">
      <c r="A10" s="105"/>
      <c r="B10" s="98"/>
      <c r="C10" s="446"/>
      <c r="D10" s="446"/>
      <c r="E10" s="446"/>
      <c r="F10" s="446"/>
      <c r="G10" s="446"/>
      <c r="H10" s="446"/>
      <c r="I10" s="446"/>
      <c r="J10" s="446"/>
      <c r="K10" s="446"/>
      <c r="L10" s="446"/>
      <c r="M10" s="446"/>
      <c r="N10" s="447"/>
    </row>
    <row r="11" spans="1:14" x14ac:dyDescent="0.2">
      <c r="A11" s="105"/>
      <c r="B11" s="98"/>
      <c r="C11" s="446"/>
      <c r="D11" s="446"/>
      <c r="E11" s="446"/>
      <c r="F11" s="446"/>
      <c r="G11" s="446"/>
      <c r="H11" s="446"/>
      <c r="I11" s="446"/>
      <c r="J11" s="446"/>
      <c r="K11" s="446"/>
      <c r="L11" s="446"/>
      <c r="M11" s="446"/>
      <c r="N11" s="447"/>
    </row>
    <row r="12" spans="1:14" x14ac:dyDescent="0.2">
      <c r="A12" s="105"/>
      <c r="B12" s="107" t="s">
        <v>426</v>
      </c>
      <c r="C12" s="98"/>
      <c r="D12" s="98"/>
      <c r="E12" s="99"/>
      <c r="F12" s="99"/>
      <c r="G12" s="99"/>
      <c r="H12" s="99"/>
      <c r="I12" s="99"/>
      <c r="J12" s="99"/>
      <c r="K12" s="99"/>
      <c r="L12" s="99"/>
      <c r="M12" s="99"/>
      <c r="N12" s="90"/>
    </row>
    <row r="13" spans="1:14" ht="13.5" thickBot="1" x14ac:dyDescent="0.25">
      <c r="A13" s="108"/>
      <c r="B13" s="107" t="s">
        <v>430</v>
      </c>
      <c r="C13" s="109"/>
      <c r="D13" s="109"/>
      <c r="E13" s="110"/>
      <c r="F13" s="110"/>
      <c r="G13" s="110"/>
      <c r="H13" s="110"/>
      <c r="I13" s="110"/>
      <c r="J13" s="110"/>
      <c r="K13" s="110"/>
      <c r="L13" s="110"/>
      <c r="M13" s="110"/>
      <c r="N13" s="93"/>
    </row>
    <row r="14" spans="1:14" x14ac:dyDescent="0.2">
      <c r="A14" s="105"/>
      <c r="B14" s="102" t="s">
        <v>263</v>
      </c>
      <c r="C14" s="98"/>
      <c r="D14" s="98"/>
      <c r="E14" s="99"/>
      <c r="F14" s="99"/>
      <c r="G14" s="99"/>
      <c r="H14" s="99"/>
      <c r="I14" s="99"/>
      <c r="J14" s="111" t="s">
        <v>385</v>
      </c>
      <c r="K14" s="89" t="s">
        <v>279</v>
      </c>
      <c r="L14" s="89"/>
      <c r="M14" s="89"/>
      <c r="N14" s="89"/>
    </row>
    <row r="15" spans="1:14" ht="13.5" thickBot="1" x14ac:dyDescent="0.25">
      <c r="A15" s="108"/>
      <c r="B15" s="109"/>
      <c r="C15" s="109"/>
      <c r="D15" s="109"/>
      <c r="E15" s="110"/>
      <c r="F15" s="110"/>
      <c r="G15" s="110"/>
      <c r="H15" s="110"/>
      <c r="I15" s="110"/>
      <c r="J15" s="112" t="s">
        <v>481</v>
      </c>
      <c r="K15" s="94" t="s">
        <v>832</v>
      </c>
      <c r="L15" s="94"/>
      <c r="M15" s="94"/>
      <c r="N15" s="94"/>
    </row>
    <row r="16" spans="1:14" x14ac:dyDescent="0.2">
      <c r="A16" s="101"/>
      <c r="B16" s="448" t="s">
        <v>67</v>
      </c>
      <c r="C16" s="448"/>
      <c r="D16" s="448"/>
      <c r="E16" s="103"/>
      <c r="F16" s="103" t="s">
        <v>1180</v>
      </c>
      <c r="G16" s="103" t="s">
        <v>1484</v>
      </c>
      <c r="H16" s="103" t="s">
        <v>702</v>
      </c>
      <c r="I16" s="103"/>
      <c r="J16" s="89">
        <f>127/ATHENS!O1*ATHENS!O2</f>
        <v>259.18367346938777</v>
      </c>
      <c r="K16" s="89">
        <f>137/ATHENS!O1*ATHENS!O2</f>
        <v>279.59183673469386</v>
      </c>
      <c r="L16" s="89"/>
      <c r="M16" s="113"/>
      <c r="N16" s="113"/>
    </row>
    <row r="17" spans="1:14" x14ac:dyDescent="0.2">
      <c r="A17" s="105"/>
      <c r="B17" s="443" t="s">
        <v>67</v>
      </c>
      <c r="C17" s="443"/>
      <c r="D17" s="443"/>
      <c r="E17" s="99"/>
      <c r="F17" s="99" t="s">
        <v>1181</v>
      </c>
      <c r="G17" s="99" t="s">
        <v>1484</v>
      </c>
      <c r="H17" s="99" t="s">
        <v>702</v>
      </c>
      <c r="I17" s="99"/>
      <c r="J17" s="89">
        <f>68.5/ATHENS!O1*ATHENS!O2</f>
        <v>139.79591836734693</v>
      </c>
      <c r="K17" s="89">
        <f>73.5/ATHENS!O1*ATHENS!O2</f>
        <v>150</v>
      </c>
      <c r="L17" s="89"/>
      <c r="M17" s="89"/>
      <c r="N17" s="89"/>
    </row>
    <row r="18" spans="1:14" x14ac:dyDescent="0.2">
      <c r="A18" s="105"/>
      <c r="B18" s="443" t="s">
        <v>67</v>
      </c>
      <c r="C18" s="443"/>
      <c r="D18" s="443"/>
      <c r="E18" s="99"/>
      <c r="F18" s="99" t="s">
        <v>1182</v>
      </c>
      <c r="G18" s="99" t="s">
        <v>1484</v>
      </c>
      <c r="H18" s="99" t="s">
        <v>702</v>
      </c>
      <c r="I18" s="99"/>
      <c r="J18" s="89">
        <f>59/ATHENS!O1*ATHENS!O2</f>
        <v>120.40816326530613</v>
      </c>
      <c r="K18" s="89">
        <f>62.5/ATHENS!O1*ATHENS!O2</f>
        <v>127.55102040816327</v>
      </c>
      <c r="L18" s="89"/>
      <c r="M18" s="89"/>
      <c r="N18" s="89"/>
    </row>
    <row r="19" spans="1:14" ht="13.5" thickBot="1" x14ac:dyDescent="0.25">
      <c r="A19" s="108"/>
      <c r="B19" s="126"/>
      <c r="C19" s="126"/>
      <c r="D19" s="126"/>
      <c r="E19" s="126"/>
      <c r="F19" s="126"/>
      <c r="G19" s="126"/>
      <c r="H19" s="126"/>
      <c r="I19" s="110"/>
      <c r="J19" s="94"/>
      <c r="K19" s="94"/>
      <c r="L19" s="94"/>
      <c r="M19" s="94"/>
      <c r="N19" s="94"/>
    </row>
    <row r="20" spans="1:14" ht="13.5" thickBot="1" x14ac:dyDescent="0.25">
      <c r="A20" s="97"/>
      <c r="B20" s="123"/>
      <c r="C20" s="123"/>
      <c r="D20" s="123"/>
      <c r="E20" s="124"/>
      <c r="F20" s="124"/>
      <c r="G20" s="124"/>
      <c r="H20" s="124"/>
      <c r="I20" s="124"/>
      <c r="J20" s="124"/>
      <c r="K20" s="124"/>
      <c r="L20" s="124"/>
      <c r="M20" s="124"/>
      <c r="N20" s="124"/>
    </row>
    <row r="21" spans="1:14" x14ac:dyDescent="0.2">
      <c r="A21" s="101"/>
      <c r="B21" s="102"/>
      <c r="C21" s="102"/>
      <c r="D21" s="102"/>
      <c r="E21" s="103"/>
      <c r="F21" s="103"/>
      <c r="G21" s="103"/>
      <c r="H21" s="103"/>
      <c r="I21" s="103"/>
      <c r="J21" s="103"/>
      <c r="K21" s="103"/>
      <c r="L21" s="103"/>
      <c r="M21" s="103"/>
      <c r="N21" s="104"/>
    </row>
    <row r="22" spans="1:14" ht="15" x14ac:dyDescent="0.2">
      <c r="A22" s="105"/>
      <c r="B22" s="437" t="s">
        <v>603</v>
      </c>
      <c r="C22" s="438"/>
      <c r="D22" s="438"/>
      <c r="E22" s="438"/>
      <c r="F22" s="438"/>
      <c r="G22" s="438"/>
      <c r="H22" s="438"/>
      <c r="I22" s="438"/>
      <c r="J22" s="438"/>
      <c r="K22" s="438"/>
      <c r="L22" s="438"/>
      <c r="M22" s="439"/>
      <c r="N22" s="106" t="s">
        <v>91</v>
      </c>
    </row>
    <row r="23" spans="1:14" x14ac:dyDescent="0.2">
      <c r="A23" s="105"/>
      <c r="B23" s="107" t="s">
        <v>428</v>
      </c>
      <c r="C23" s="98" t="s">
        <v>495</v>
      </c>
      <c r="D23" s="98"/>
      <c r="E23" s="99"/>
      <c r="F23" s="99"/>
      <c r="G23" s="99"/>
      <c r="H23" s="99"/>
      <c r="I23" s="99"/>
      <c r="J23" s="99"/>
      <c r="K23" s="99"/>
      <c r="L23" s="99"/>
      <c r="M23" s="99"/>
      <c r="N23" s="90"/>
    </row>
    <row r="24" spans="1:14" x14ac:dyDescent="0.2">
      <c r="A24" s="105"/>
      <c r="B24" s="107" t="s">
        <v>429</v>
      </c>
      <c r="C24" s="98" t="s">
        <v>146</v>
      </c>
      <c r="D24" s="98"/>
      <c r="E24" s="99"/>
      <c r="F24" s="99"/>
      <c r="G24" s="99"/>
      <c r="H24" s="99"/>
      <c r="I24" s="99"/>
      <c r="J24" s="99"/>
      <c r="K24" s="99"/>
      <c r="L24" s="99"/>
      <c r="M24" s="99"/>
      <c r="N24" s="90"/>
    </row>
    <row r="25" spans="1:14" x14ac:dyDescent="0.2">
      <c r="A25" s="105"/>
      <c r="B25" s="107" t="s">
        <v>427</v>
      </c>
      <c r="C25" s="444" t="s">
        <v>1392</v>
      </c>
      <c r="D25" s="444"/>
      <c r="E25" s="444"/>
      <c r="F25" s="444"/>
      <c r="G25" s="444"/>
      <c r="H25" s="444"/>
      <c r="I25" s="444"/>
      <c r="J25" s="444"/>
      <c r="K25" s="444"/>
      <c r="L25" s="444"/>
      <c r="M25" s="444"/>
      <c r="N25" s="445"/>
    </row>
    <row r="26" spans="1:14" x14ac:dyDescent="0.2">
      <c r="A26" s="105"/>
      <c r="B26" s="98"/>
      <c r="C26" s="444"/>
      <c r="D26" s="444"/>
      <c r="E26" s="444"/>
      <c r="F26" s="444"/>
      <c r="G26" s="444"/>
      <c r="H26" s="444"/>
      <c r="I26" s="444"/>
      <c r="J26" s="444"/>
      <c r="K26" s="444"/>
      <c r="L26" s="444"/>
      <c r="M26" s="444"/>
      <c r="N26" s="445"/>
    </row>
    <row r="27" spans="1:14" x14ac:dyDescent="0.2">
      <c r="A27" s="105"/>
      <c r="B27" s="98"/>
      <c r="C27" s="446"/>
      <c r="D27" s="446"/>
      <c r="E27" s="446"/>
      <c r="F27" s="446"/>
      <c r="G27" s="446"/>
      <c r="H27" s="446"/>
      <c r="I27" s="446"/>
      <c r="J27" s="446"/>
      <c r="K27" s="446"/>
      <c r="L27" s="446"/>
      <c r="M27" s="446"/>
      <c r="N27" s="447"/>
    </row>
    <row r="28" spans="1:14" x14ac:dyDescent="0.2">
      <c r="A28" s="105"/>
      <c r="B28" s="98"/>
      <c r="C28" s="446"/>
      <c r="D28" s="446"/>
      <c r="E28" s="446"/>
      <c r="F28" s="446"/>
      <c r="G28" s="446"/>
      <c r="H28" s="446"/>
      <c r="I28" s="446"/>
      <c r="J28" s="446"/>
      <c r="K28" s="446"/>
      <c r="L28" s="446"/>
      <c r="M28" s="446"/>
      <c r="N28" s="447"/>
    </row>
    <row r="29" spans="1:14" x14ac:dyDescent="0.2">
      <c r="A29" s="105"/>
      <c r="B29" s="98"/>
      <c r="C29" s="446"/>
      <c r="D29" s="446"/>
      <c r="E29" s="446"/>
      <c r="F29" s="446"/>
      <c r="G29" s="446"/>
      <c r="H29" s="446"/>
      <c r="I29" s="446"/>
      <c r="J29" s="446"/>
      <c r="K29" s="446"/>
      <c r="L29" s="446"/>
      <c r="M29" s="446"/>
      <c r="N29" s="447"/>
    </row>
    <row r="30" spans="1:14" x14ac:dyDescent="0.2">
      <c r="A30" s="105"/>
      <c r="B30" s="107" t="s">
        <v>426</v>
      </c>
      <c r="C30" s="98"/>
      <c r="D30" s="98"/>
      <c r="E30" s="99"/>
      <c r="F30" s="99"/>
      <c r="G30" s="99"/>
      <c r="H30" s="99"/>
      <c r="I30" s="99"/>
      <c r="J30" s="99"/>
      <c r="K30" s="99"/>
      <c r="L30" s="99"/>
      <c r="M30" s="99"/>
      <c r="N30" s="90"/>
    </row>
    <row r="31" spans="1:14" ht="13.5" thickBot="1" x14ac:dyDescent="0.25">
      <c r="A31" s="108"/>
      <c r="B31" s="107" t="s">
        <v>430</v>
      </c>
      <c r="C31" s="109"/>
      <c r="D31" s="109"/>
      <c r="E31" s="110"/>
      <c r="F31" s="110"/>
      <c r="G31" s="110"/>
      <c r="H31" s="110"/>
      <c r="I31" s="110"/>
      <c r="J31" s="110"/>
      <c r="K31" s="110"/>
      <c r="L31" s="110"/>
      <c r="M31" s="110"/>
      <c r="N31" s="93"/>
    </row>
    <row r="32" spans="1:14" x14ac:dyDescent="0.2">
      <c r="A32" s="105"/>
      <c r="B32" s="102" t="s">
        <v>263</v>
      </c>
      <c r="C32" s="98"/>
      <c r="D32" s="98"/>
      <c r="E32" s="99"/>
      <c r="F32" s="99"/>
      <c r="G32" s="99"/>
      <c r="H32" s="99"/>
      <c r="I32" s="99"/>
      <c r="J32" s="111" t="s">
        <v>1906</v>
      </c>
      <c r="K32" s="89" t="s">
        <v>1907</v>
      </c>
      <c r="L32" s="89" t="s">
        <v>1341</v>
      </c>
      <c r="M32" s="89"/>
      <c r="N32" s="89"/>
    </row>
    <row r="33" spans="1:14" ht="13.5" thickBot="1" x14ac:dyDescent="0.25">
      <c r="A33" s="108"/>
      <c r="B33" s="109"/>
      <c r="C33" s="109"/>
      <c r="D33" s="109"/>
      <c r="E33" s="110"/>
      <c r="F33" s="110"/>
      <c r="G33" s="110"/>
      <c r="H33" s="110"/>
      <c r="I33" s="110"/>
      <c r="J33" s="112" t="s">
        <v>1222</v>
      </c>
      <c r="K33" s="94" t="s">
        <v>832</v>
      </c>
      <c r="L33" s="94" t="s">
        <v>1908</v>
      </c>
      <c r="M33" s="94" t="s">
        <v>131</v>
      </c>
      <c r="N33" s="94"/>
    </row>
    <row r="34" spans="1:14" x14ac:dyDescent="0.2">
      <c r="A34" s="101"/>
      <c r="B34" s="448" t="s">
        <v>67</v>
      </c>
      <c r="C34" s="448"/>
      <c r="D34" s="448"/>
      <c r="E34" s="103"/>
      <c r="F34" s="103" t="s">
        <v>1180</v>
      </c>
      <c r="G34" s="103" t="s">
        <v>68</v>
      </c>
      <c r="H34" s="103" t="s">
        <v>702</v>
      </c>
      <c r="I34" s="103"/>
      <c r="J34" s="89">
        <f>96.5/ATHENS!O1*ATHENS!O2</f>
        <v>196.9387755102041</v>
      </c>
      <c r="K34" s="89">
        <f>107/ATHENS!O1*ATHENS!O2</f>
        <v>218.36734693877551</v>
      </c>
      <c r="L34" s="89">
        <f>117/ATHENS!O1*ATHENS!O2</f>
        <v>238.77551020408163</v>
      </c>
      <c r="M34" s="89">
        <f>158/ATHENS!O1*ATHENS!O2</f>
        <v>322.44897959183675</v>
      </c>
      <c r="N34" s="113"/>
    </row>
    <row r="35" spans="1:14" x14ac:dyDescent="0.2">
      <c r="A35" s="105"/>
      <c r="B35" s="443" t="s">
        <v>67</v>
      </c>
      <c r="C35" s="443"/>
      <c r="D35" s="443"/>
      <c r="E35" s="99"/>
      <c r="F35" s="99" t="s">
        <v>1181</v>
      </c>
      <c r="G35" s="99" t="s">
        <v>68</v>
      </c>
      <c r="H35" s="99" t="s">
        <v>702</v>
      </c>
      <c r="I35" s="99"/>
      <c r="J35" s="89">
        <f>53.5/ATHENS!O1*ATHENS!O2</f>
        <v>109.18367346938776</v>
      </c>
      <c r="K35" s="89">
        <f>59.5/ATHENS!O1*ATHENS!O2</f>
        <v>121.42857142857143</v>
      </c>
      <c r="L35" s="89">
        <f>72.5/ATHENS!O1*ATHENS!O2</f>
        <v>147.9591836734694</v>
      </c>
      <c r="M35" s="89">
        <f>87.5/ATHENS!O1*ATHENS!O2</f>
        <v>178.57142857142858</v>
      </c>
      <c r="N35" s="89"/>
    </row>
    <row r="36" spans="1:14" ht="13.5" thickBot="1" x14ac:dyDescent="0.25">
      <c r="A36" s="105"/>
      <c r="B36" s="436" t="s">
        <v>67</v>
      </c>
      <c r="C36" s="436"/>
      <c r="D36" s="436"/>
      <c r="E36" s="110"/>
      <c r="F36" s="110" t="s">
        <v>1182</v>
      </c>
      <c r="G36" s="110" t="s">
        <v>68</v>
      </c>
      <c r="H36" s="110" t="s">
        <v>702</v>
      </c>
      <c r="I36" s="99"/>
      <c r="J36" s="89">
        <f>48.5/ATHENS!O1*ATHENS!O2</f>
        <v>98.979591836734699</v>
      </c>
      <c r="K36" s="89">
        <f>53.5/ATHENS!O1*ATHENS!O2</f>
        <v>109.18367346938776</v>
      </c>
      <c r="L36" s="89">
        <f>65.5/ATHENS!O1*ATHENS!O2</f>
        <v>133.67346938775509</v>
      </c>
      <c r="M36" s="89">
        <f>78.75/ATHENS!O1*ATHENS!O2</f>
        <v>160.71428571428572</v>
      </c>
      <c r="N36" s="89"/>
    </row>
    <row r="37" spans="1:14" ht="13.5" thickBot="1" x14ac:dyDescent="0.25">
      <c r="A37" s="108"/>
      <c r="B37" s="436" t="s">
        <v>902</v>
      </c>
      <c r="C37" s="436"/>
      <c r="D37" s="436"/>
      <c r="E37" s="110"/>
      <c r="F37" s="110"/>
      <c r="G37" s="110"/>
      <c r="H37" s="110" t="s">
        <v>702</v>
      </c>
      <c r="I37" s="110"/>
      <c r="J37" s="94">
        <f>24/ATHENS!O1*ATHENS!O2</f>
        <v>48.979591836734691</v>
      </c>
      <c r="K37" s="94">
        <f>24/ATHENS!O1*ATHENS!O2</f>
        <v>48.979591836734691</v>
      </c>
      <c r="L37" s="94">
        <f>24/ATHENS!O1*ATHENS!O2</f>
        <v>48.979591836734691</v>
      </c>
      <c r="M37" s="94">
        <f>24/ATHENS!O1*ATHENS!O2</f>
        <v>48.979591836734691</v>
      </c>
      <c r="N37" s="94"/>
    </row>
    <row r="38" spans="1:14" x14ac:dyDescent="0.2">
      <c r="A38" s="97"/>
      <c r="B38" s="98"/>
      <c r="C38" s="98"/>
      <c r="D38" s="98"/>
      <c r="E38" s="99"/>
      <c r="F38" s="99"/>
      <c r="G38" s="99"/>
      <c r="H38" s="99"/>
      <c r="I38" s="99"/>
      <c r="J38" s="99"/>
      <c r="K38" s="99"/>
      <c r="L38" s="99"/>
      <c r="M38" s="99"/>
      <c r="N38" s="99"/>
    </row>
  </sheetData>
  <customSheetViews>
    <customSheetView guid="{3C76061C-A85D-4390-B9DB-73E13038638C}" showPageBreaks="1" showGridLines="0" view="pageLayout">
      <selection activeCell="M51" sqref="M51"/>
      <pageMargins left="0.28125" right="0.25" top="0.6692913385826772" bottom="0.70866141732283472" header="0.23622047244094491" footer="0.47244094488188981"/>
      <printOptions horizontalCentered="1"/>
      <pageSetup paperSize="9" firstPageNumber="59"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11">
    <mergeCell ref="B36:D36"/>
    <mergeCell ref="B37:D37"/>
    <mergeCell ref="B18:D18"/>
    <mergeCell ref="B22:M22"/>
    <mergeCell ref="B34:D34"/>
    <mergeCell ref="C25:N29"/>
    <mergeCell ref="B3:M3"/>
    <mergeCell ref="B16:D16"/>
    <mergeCell ref="B17:D17"/>
    <mergeCell ref="B35:D35"/>
    <mergeCell ref="C6:N11"/>
  </mergeCells>
  <phoneticPr fontId="17" type="noConversion"/>
  <hyperlinks>
    <hyperlink ref="B3:M3" r:id="rId2" display="Club Hotel Casino Loutraki" xr:uid="{00000000-0004-0000-1700-000000000000}"/>
    <hyperlink ref="B22:M22" r:id="rId3" display="Poseidon Resort" xr:uid="{00000000-0004-0000-1700-000001000000}"/>
  </hyperlinks>
  <printOptions horizontalCentered="1"/>
  <pageMargins left="0.28125" right="0.25" top="0.6692913385826772" bottom="0.70866141732283472" header="0.23622047244094491" footer="0.47244094488188981"/>
  <pageSetup paperSize="9" firstPageNumber="59" orientation="portrait" useFirstPageNumber="1" horizontalDpi="300" verticalDpi="300" r:id="rId4"/>
  <headerFooter scaleWithDoc="0" alignWithMargins="0">
    <oddHeader xml:space="preserve">&amp;C TARIFF 2026
 (EURO)
</oddHeader>
    <oddFooter>&amp;LAll rates are in EURO&amp;C
TARIFF 2026
&amp;RPage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7"/>
  <dimension ref="A1:N491"/>
  <sheetViews>
    <sheetView showGridLines="0" view="pageLayout" topLeftCell="A478" zoomScaleSheetLayoutView="85" workbookViewId="0">
      <selection activeCell="L114" sqref="L114"/>
    </sheetView>
  </sheetViews>
  <sheetFormatPr defaultRowHeight="12.75" x14ac:dyDescent="0.2"/>
  <cols>
    <col min="1" max="1" width="1.85546875" style="100" customWidth="1"/>
    <col min="2" max="3" width="10.7109375" style="100" customWidth="1"/>
    <col min="4" max="9" width="3.7109375" style="100" customWidth="1"/>
    <col min="10" max="14" width="10.7109375" style="100" customWidth="1"/>
    <col min="15" max="15" width="9.5703125" style="100" customWidth="1"/>
    <col min="16" max="27" width="2.7109375" style="100" customWidth="1"/>
    <col min="28" max="16384" width="9.140625" style="100"/>
  </cols>
  <sheetData>
    <row r="1" spans="1:14" ht="13.5" thickBot="1" x14ac:dyDescent="0.25">
      <c r="A1" s="97"/>
      <c r="B1" s="98"/>
      <c r="C1" s="98"/>
      <c r="D1" s="98"/>
      <c r="E1" s="99"/>
      <c r="F1" s="99"/>
      <c r="G1" s="99"/>
      <c r="H1" s="99"/>
      <c r="I1" s="99"/>
      <c r="J1" s="99"/>
      <c r="K1" s="99"/>
      <c r="L1" s="99"/>
      <c r="M1" s="99"/>
      <c r="N1" s="99"/>
    </row>
    <row r="2" spans="1:14" x14ac:dyDescent="0.2">
      <c r="A2" s="101"/>
      <c r="B2" s="102"/>
      <c r="C2" s="102"/>
      <c r="D2" s="102"/>
      <c r="E2" s="103"/>
      <c r="F2" s="103"/>
      <c r="G2" s="103"/>
      <c r="H2" s="103"/>
      <c r="I2" s="103"/>
      <c r="J2" s="103"/>
      <c r="K2" s="103"/>
      <c r="L2" s="103"/>
      <c r="M2" s="103"/>
      <c r="N2" s="104"/>
    </row>
    <row r="3" spans="1:14" ht="15" x14ac:dyDescent="0.2">
      <c r="A3" s="105"/>
      <c r="B3" s="437" t="s">
        <v>708</v>
      </c>
      <c r="C3" s="438"/>
      <c r="D3" s="438"/>
      <c r="E3" s="438"/>
      <c r="F3" s="438"/>
      <c r="G3" s="438"/>
      <c r="H3" s="438"/>
      <c r="I3" s="438"/>
      <c r="J3" s="438"/>
      <c r="K3" s="438"/>
      <c r="L3" s="438"/>
      <c r="M3" s="439"/>
      <c r="N3" s="106" t="s">
        <v>904</v>
      </c>
    </row>
    <row r="4" spans="1:14" x14ac:dyDescent="0.2">
      <c r="A4" s="105"/>
      <c r="B4" s="107" t="s">
        <v>428</v>
      </c>
      <c r="C4" s="98" t="s">
        <v>876</v>
      </c>
      <c r="D4" s="98"/>
      <c r="E4" s="99"/>
      <c r="F4" s="99"/>
      <c r="G4" s="99"/>
      <c r="H4" s="99"/>
      <c r="I4" s="99"/>
      <c r="J4" s="99"/>
      <c r="K4" s="99"/>
      <c r="L4" s="99"/>
      <c r="M4" s="99"/>
      <c r="N4" s="90"/>
    </row>
    <row r="5" spans="1:14" x14ac:dyDescent="0.2">
      <c r="A5" s="105"/>
      <c r="B5" s="107" t="s">
        <v>429</v>
      </c>
      <c r="C5" s="98" t="s">
        <v>119</v>
      </c>
      <c r="D5" s="98"/>
      <c r="E5" s="99"/>
      <c r="F5" s="99"/>
      <c r="G5" s="99"/>
      <c r="H5" s="99"/>
      <c r="I5" s="99"/>
      <c r="J5" s="99"/>
      <c r="K5" s="99"/>
      <c r="L5" s="99"/>
      <c r="M5" s="99"/>
      <c r="N5" s="90"/>
    </row>
    <row r="6" spans="1:14" x14ac:dyDescent="0.2">
      <c r="A6" s="105"/>
      <c r="B6" s="107" t="s">
        <v>427</v>
      </c>
      <c r="C6" s="444" t="s">
        <v>1307</v>
      </c>
      <c r="D6" s="444"/>
      <c r="E6" s="444"/>
      <c r="F6" s="444"/>
      <c r="G6" s="444"/>
      <c r="H6" s="444"/>
      <c r="I6" s="444"/>
      <c r="J6" s="444"/>
      <c r="K6" s="444"/>
      <c r="L6" s="444"/>
      <c r="M6" s="444"/>
      <c r="N6" s="445"/>
    </row>
    <row r="7" spans="1:14" x14ac:dyDescent="0.2">
      <c r="A7" s="105"/>
      <c r="B7" s="98"/>
      <c r="C7" s="444"/>
      <c r="D7" s="444"/>
      <c r="E7" s="444"/>
      <c r="F7" s="444"/>
      <c r="G7" s="444"/>
      <c r="H7" s="444"/>
      <c r="I7" s="444"/>
      <c r="J7" s="444"/>
      <c r="K7" s="444"/>
      <c r="L7" s="444"/>
      <c r="M7" s="444"/>
      <c r="N7" s="445"/>
    </row>
    <row r="8" spans="1:14" x14ac:dyDescent="0.2">
      <c r="A8" s="105"/>
      <c r="B8" s="98"/>
      <c r="C8" s="446"/>
      <c r="D8" s="446"/>
      <c r="E8" s="446"/>
      <c r="F8" s="446"/>
      <c r="G8" s="446"/>
      <c r="H8" s="446"/>
      <c r="I8" s="446"/>
      <c r="J8" s="446"/>
      <c r="K8" s="446"/>
      <c r="L8" s="446"/>
      <c r="M8" s="446"/>
      <c r="N8" s="447"/>
    </row>
    <row r="9" spans="1:14" x14ac:dyDescent="0.2">
      <c r="A9" s="105"/>
      <c r="B9" s="107" t="s">
        <v>426</v>
      </c>
      <c r="C9" s="98" t="s">
        <v>490</v>
      </c>
      <c r="D9" s="98"/>
      <c r="E9" s="99"/>
      <c r="F9" s="99"/>
      <c r="G9" s="99"/>
      <c r="H9" s="99"/>
      <c r="I9" s="99"/>
      <c r="J9" s="99"/>
      <c r="K9" s="99"/>
      <c r="L9" s="99"/>
      <c r="M9" s="99"/>
      <c r="N9" s="90"/>
    </row>
    <row r="10" spans="1:14" ht="13.5" thickBot="1" x14ac:dyDescent="0.25">
      <c r="A10" s="108"/>
      <c r="B10" s="107" t="s">
        <v>430</v>
      </c>
      <c r="C10" s="109" t="s">
        <v>491</v>
      </c>
      <c r="D10" s="109"/>
      <c r="E10" s="110"/>
      <c r="F10" s="110"/>
      <c r="G10" s="110"/>
      <c r="H10" s="110"/>
      <c r="I10" s="110"/>
      <c r="J10" s="110"/>
      <c r="K10" s="110"/>
      <c r="L10" s="110"/>
      <c r="M10" s="110"/>
      <c r="N10" s="93"/>
    </row>
    <row r="11" spans="1:14" x14ac:dyDescent="0.2">
      <c r="A11" s="105"/>
      <c r="B11" s="102" t="s">
        <v>263</v>
      </c>
      <c r="C11" s="98"/>
      <c r="D11" s="98"/>
      <c r="E11" s="99"/>
      <c r="F11" s="99"/>
      <c r="G11" s="99"/>
      <c r="H11" s="99"/>
      <c r="I11" s="99"/>
      <c r="J11" s="111" t="s">
        <v>85</v>
      </c>
      <c r="K11" s="89" t="s">
        <v>246</v>
      </c>
      <c r="L11" s="89" t="s">
        <v>1623</v>
      </c>
      <c r="M11" s="89"/>
      <c r="N11" s="89"/>
    </row>
    <row r="12" spans="1:14" ht="13.5" thickBot="1" x14ac:dyDescent="0.25">
      <c r="A12" s="108"/>
      <c r="B12" s="109"/>
      <c r="C12" s="109"/>
      <c r="D12" s="109"/>
      <c r="E12" s="110"/>
      <c r="F12" s="110"/>
      <c r="G12" s="110"/>
      <c r="H12" s="110"/>
      <c r="I12" s="110"/>
      <c r="J12" s="112" t="s">
        <v>1578</v>
      </c>
      <c r="K12" s="94" t="s">
        <v>282</v>
      </c>
      <c r="L12" s="94" t="s">
        <v>341</v>
      </c>
      <c r="M12" s="94" t="s">
        <v>2032</v>
      </c>
      <c r="N12" s="94"/>
    </row>
    <row r="13" spans="1:14" x14ac:dyDescent="0.2">
      <c r="A13" s="101"/>
      <c r="B13" s="448" t="s">
        <v>67</v>
      </c>
      <c r="C13" s="448"/>
      <c r="D13" s="448"/>
      <c r="E13" s="103"/>
      <c r="F13" s="103" t="s">
        <v>1180</v>
      </c>
      <c r="G13" s="103" t="s">
        <v>68</v>
      </c>
      <c r="H13" s="103" t="s">
        <v>702</v>
      </c>
      <c r="I13" s="103"/>
      <c r="J13" s="89">
        <f>186.92/ATHENS!O1*ATHENS!O2</f>
        <v>381.46938775510205</v>
      </c>
      <c r="K13" s="89">
        <f>336.78/ATHENS!O1*ATHENS!O2</f>
        <v>687.30612244897952</v>
      </c>
      <c r="L13" s="89">
        <f>414/ATHENS!O1*ATHENS!O2</f>
        <v>844.89795918367349</v>
      </c>
      <c r="M13" s="89">
        <f>577.5/ATHENS!O1*ATHENS!O2</f>
        <v>1178.5714285714287</v>
      </c>
      <c r="N13" s="113"/>
    </row>
    <row r="14" spans="1:14" x14ac:dyDescent="0.2">
      <c r="A14" s="105"/>
      <c r="B14" s="443" t="s">
        <v>67</v>
      </c>
      <c r="C14" s="443"/>
      <c r="D14" s="443"/>
      <c r="E14" s="99"/>
      <c r="F14" s="99" t="s">
        <v>1181</v>
      </c>
      <c r="G14" s="99" t="s">
        <v>68</v>
      </c>
      <c r="H14" s="99" t="s">
        <v>702</v>
      </c>
      <c r="I14" s="99"/>
      <c r="J14" s="89">
        <f>93.5/ATHENS!O1*ATHENS!O2</f>
        <v>190.81632653061226</v>
      </c>
      <c r="K14" s="89">
        <f>168.5/ATHENS!O1*ATHENS!O2</f>
        <v>343.87755102040819</v>
      </c>
      <c r="L14" s="89">
        <f>207/ATHENS!O1*ATHENS!O2</f>
        <v>422.44897959183675</v>
      </c>
      <c r="M14" s="89">
        <f>289/ATHENS!O1*ATHENS!O2</f>
        <v>589.79591836734699</v>
      </c>
      <c r="N14" s="89"/>
    </row>
    <row r="15" spans="1:14" ht="13.5" thickBot="1" x14ac:dyDescent="0.25">
      <c r="A15" s="108"/>
      <c r="B15" s="436" t="s">
        <v>67</v>
      </c>
      <c r="C15" s="436"/>
      <c r="D15" s="436"/>
      <c r="E15" s="110"/>
      <c r="F15" s="110" t="s">
        <v>1182</v>
      </c>
      <c r="G15" s="110" t="s">
        <v>68</v>
      </c>
      <c r="H15" s="110" t="s">
        <v>702</v>
      </c>
      <c r="I15" s="110"/>
      <c r="J15" s="94">
        <f>86.8/ATHENS!O1*ATHENS!O2</f>
        <v>177.14285714285714</v>
      </c>
      <c r="K15" s="94">
        <f>136.76/ATHENS!O1*ATHENS!O2</f>
        <v>279.10204081632651</v>
      </c>
      <c r="L15" s="94">
        <f>174.8/ATHENS!O1*ATHENS!O2</f>
        <v>356.73469387755102</v>
      </c>
      <c r="M15" s="94">
        <f>241.6/ATHENS!O1*ATHENS!O2</f>
        <v>493.0612244897959</v>
      </c>
      <c r="N15" s="94"/>
    </row>
    <row r="16" spans="1:14" ht="13.5" thickBot="1" x14ac:dyDescent="0.25">
      <c r="A16" s="97"/>
      <c r="B16" s="98"/>
      <c r="C16" s="98"/>
      <c r="D16" s="98"/>
      <c r="E16" s="99"/>
      <c r="F16" s="99"/>
      <c r="G16" s="99"/>
      <c r="H16" s="99"/>
      <c r="I16" s="99"/>
      <c r="J16" s="99"/>
      <c r="K16" s="99"/>
      <c r="L16" s="99"/>
      <c r="M16" s="99"/>
      <c r="N16" s="99"/>
    </row>
    <row r="17" spans="1:14" x14ac:dyDescent="0.2">
      <c r="A17" s="101"/>
      <c r="B17" s="102"/>
      <c r="C17" s="102"/>
      <c r="D17" s="102"/>
      <c r="E17" s="103"/>
      <c r="F17" s="103"/>
      <c r="G17" s="103"/>
      <c r="H17" s="103"/>
      <c r="I17" s="103"/>
      <c r="J17" s="103"/>
      <c r="K17" s="103"/>
      <c r="L17" s="103"/>
      <c r="M17" s="103"/>
      <c r="N17" s="104"/>
    </row>
    <row r="18" spans="1:14" ht="15" x14ac:dyDescent="0.2">
      <c r="A18" s="105"/>
      <c r="B18" s="437" t="s">
        <v>877</v>
      </c>
      <c r="C18" s="438"/>
      <c r="D18" s="438"/>
      <c r="E18" s="438"/>
      <c r="F18" s="438"/>
      <c r="G18" s="438"/>
      <c r="H18" s="438"/>
      <c r="I18" s="438"/>
      <c r="J18" s="438"/>
      <c r="K18" s="438"/>
      <c r="L18" s="438"/>
      <c r="M18" s="439"/>
      <c r="N18" s="106" t="s">
        <v>904</v>
      </c>
    </row>
    <row r="19" spans="1:14" x14ac:dyDescent="0.2">
      <c r="A19" s="105"/>
      <c r="B19" s="107" t="s">
        <v>428</v>
      </c>
      <c r="C19" s="98" t="s">
        <v>558</v>
      </c>
      <c r="D19" s="98"/>
      <c r="E19" s="99"/>
      <c r="F19" s="99"/>
      <c r="G19" s="99"/>
      <c r="H19" s="99"/>
      <c r="I19" s="99"/>
      <c r="J19" s="99"/>
      <c r="K19" s="99"/>
      <c r="L19" s="99"/>
      <c r="M19" s="99"/>
      <c r="N19" s="90"/>
    </row>
    <row r="20" spans="1:14" x14ac:dyDescent="0.2">
      <c r="A20" s="105"/>
      <c r="B20" s="107" t="s">
        <v>429</v>
      </c>
      <c r="C20" s="98" t="s">
        <v>725</v>
      </c>
      <c r="D20" s="98"/>
      <c r="E20" s="99"/>
      <c r="F20" s="99"/>
      <c r="G20" s="99"/>
      <c r="H20" s="99"/>
      <c r="I20" s="99"/>
      <c r="J20" s="99"/>
      <c r="K20" s="99"/>
      <c r="L20" s="99"/>
      <c r="M20" s="99"/>
      <c r="N20" s="90"/>
    </row>
    <row r="21" spans="1:14" x14ac:dyDescent="0.2">
      <c r="A21" s="105"/>
      <c r="B21" s="107" t="s">
        <v>427</v>
      </c>
      <c r="C21" s="444" t="s">
        <v>1308</v>
      </c>
      <c r="D21" s="444"/>
      <c r="E21" s="444"/>
      <c r="F21" s="444"/>
      <c r="G21" s="444"/>
      <c r="H21" s="444"/>
      <c r="I21" s="444"/>
      <c r="J21" s="444"/>
      <c r="K21" s="444"/>
      <c r="L21" s="444"/>
      <c r="M21" s="444"/>
      <c r="N21" s="445"/>
    </row>
    <row r="22" spans="1:14" x14ac:dyDescent="0.2">
      <c r="A22" s="105"/>
      <c r="B22" s="107"/>
      <c r="C22" s="444"/>
      <c r="D22" s="444"/>
      <c r="E22" s="444"/>
      <c r="F22" s="444"/>
      <c r="G22" s="444"/>
      <c r="H22" s="444"/>
      <c r="I22" s="444"/>
      <c r="J22" s="444"/>
      <c r="K22" s="444"/>
      <c r="L22" s="444"/>
      <c r="M22" s="444"/>
      <c r="N22" s="445"/>
    </row>
    <row r="23" spans="1:14" x14ac:dyDescent="0.2">
      <c r="A23" s="105"/>
      <c r="B23" s="107"/>
      <c r="C23" s="446"/>
      <c r="D23" s="446"/>
      <c r="E23" s="446"/>
      <c r="F23" s="446"/>
      <c r="G23" s="446"/>
      <c r="H23" s="446"/>
      <c r="I23" s="446"/>
      <c r="J23" s="446"/>
      <c r="K23" s="446"/>
      <c r="L23" s="446"/>
      <c r="M23" s="446"/>
      <c r="N23" s="447"/>
    </row>
    <row r="24" spans="1:14" x14ac:dyDescent="0.2">
      <c r="A24" s="105"/>
      <c r="B24" s="107" t="s">
        <v>426</v>
      </c>
      <c r="C24" s="98" t="s">
        <v>1220</v>
      </c>
      <c r="D24" s="98"/>
      <c r="E24" s="99"/>
      <c r="F24" s="99"/>
      <c r="G24" s="99"/>
      <c r="H24" s="99"/>
      <c r="I24" s="99"/>
      <c r="J24" s="99"/>
      <c r="K24" s="99"/>
      <c r="L24" s="99"/>
      <c r="M24" s="99"/>
      <c r="N24" s="90"/>
    </row>
    <row r="25" spans="1:14" ht="13.5" thickBot="1" x14ac:dyDescent="0.25">
      <c r="A25" s="105"/>
      <c r="B25" s="107" t="s">
        <v>430</v>
      </c>
      <c r="C25" s="98"/>
      <c r="D25" s="98"/>
      <c r="E25" s="99"/>
      <c r="F25" s="99"/>
      <c r="G25" s="99"/>
      <c r="H25" s="99"/>
      <c r="I25" s="99"/>
      <c r="J25" s="99"/>
      <c r="K25" s="99"/>
      <c r="L25" s="99"/>
      <c r="M25" s="99"/>
      <c r="N25" s="90"/>
    </row>
    <row r="26" spans="1:14" x14ac:dyDescent="0.2">
      <c r="A26" s="101"/>
      <c r="B26" s="102" t="s">
        <v>263</v>
      </c>
      <c r="C26" s="102"/>
      <c r="D26" s="102"/>
      <c r="E26" s="103"/>
      <c r="F26" s="103"/>
      <c r="G26" s="103"/>
      <c r="H26" s="103"/>
      <c r="I26" s="103"/>
      <c r="J26" s="114" t="s">
        <v>2033</v>
      </c>
      <c r="K26" s="113" t="s">
        <v>2035</v>
      </c>
      <c r="L26" s="113" t="s">
        <v>2037</v>
      </c>
      <c r="M26" s="113"/>
      <c r="N26" s="113"/>
    </row>
    <row r="27" spans="1:14" ht="13.5" thickBot="1" x14ac:dyDescent="0.25">
      <c r="A27" s="108"/>
      <c r="B27" s="109"/>
      <c r="C27" s="109"/>
      <c r="D27" s="109"/>
      <c r="E27" s="110"/>
      <c r="F27" s="110"/>
      <c r="G27" s="110"/>
      <c r="H27" s="110"/>
      <c r="I27" s="110"/>
      <c r="J27" s="112" t="s">
        <v>2034</v>
      </c>
      <c r="K27" s="94" t="s">
        <v>2036</v>
      </c>
      <c r="L27" s="94" t="s">
        <v>2038</v>
      </c>
      <c r="M27" s="94" t="s">
        <v>399</v>
      </c>
      <c r="N27" s="94"/>
    </row>
    <row r="28" spans="1:14" x14ac:dyDescent="0.2">
      <c r="A28" s="101"/>
      <c r="B28" s="448" t="s">
        <v>67</v>
      </c>
      <c r="C28" s="448"/>
      <c r="D28" s="448"/>
      <c r="E28" s="103"/>
      <c r="F28" s="103" t="s">
        <v>1180</v>
      </c>
      <c r="G28" s="103" t="s">
        <v>68</v>
      </c>
      <c r="H28" s="103" t="s">
        <v>702</v>
      </c>
      <c r="I28" s="103"/>
      <c r="J28" s="113">
        <f>281.5/ATHENS!O1*ATHENS!O2</f>
        <v>574.48979591836735</v>
      </c>
      <c r="K28" s="113">
        <f>407.5/ATHENS!O1*ATHENS!O2</f>
        <v>831.63265306122446</v>
      </c>
      <c r="L28" s="113">
        <f>494.5/ATHENS!O1*ATHENS!O2</f>
        <v>1009.1836734693878</v>
      </c>
      <c r="M28" s="113">
        <f>570.5/ATHENS!O1*ATHENS!O2</f>
        <v>1164.2857142857142</v>
      </c>
      <c r="N28" s="113"/>
    </row>
    <row r="29" spans="1:14" ht="13.5" thickBot="1" x14ac:dyDescent="0.25">
      <c r="A29" s="108"/>
      <c r="B29" s="436" t="s">
        <v>67</v>
      </c>
      <c r="C29" s="436"/>
      <c r="D29" s="436"/>
      <c r="E29" s="110"/>
      <c r="F29" s="110" t="s">
        <v>1181</v>
      </c>
      <c r="G29" s="110" t="s">
        <v>68</v>
      </c>
      <c r="H29" s="110" t="s">
        <v>702</v>
      </c>
      <c r="I29" s="110"/>
      <c r="J29" s="94">
        <f>141/ATHENS!O1*ATHENS!O2</f>
        <v>287.75510204081633</v>
      </c>
      <c r="K29" s="94">
        <f>203.5/ATHENS!O1*ATHENS!O2</f>
        <v>415.30612244897958</v>
      </c>
      <c r="L29" s="94">
        <f>247.5/ATHENS!O1*ATHENS!O2</f>
        <v>505.10204081632656</v>
      </c>
      <c r="M29" s="94">
        <f>285.5/ATHENS!O1*ATHENS!O2</f>
        <v>582.65306122448976</v>
      </c>
      <c r="N29" s="94"/>
    </row>
    <row r="30" spans="1:14" ht="13.5" thickBot="1" x14ac:dyDescent="0.25">
      <c r="A30" s="97"/>
      <c r="B30" s="98"/>
      <c r="C30" s="98"/>
      <c r="D30" s="98"/>
      <c r="E30" s="99"/>
      <c r="F30" s="99"/>
      <c r="G30" s="99"/>
      <c r="H30" s="99"/>
      <c r="I30" s="99"/>
      <c r="J30" s="99"/>
      <c r="K30" s="99"/>
      <c r="L30" s="99"/>
      <c r="M30" s="99"/>
      <c r="N30" s="99"/>
    </row>
    <row r="31" spans="1:14" x14ac:dyDescent="0.2">
      <c r="A31" s="101"/>
      <c r="B31" s="102"/>
      <c r="C31" s="102"/>
      <c r="D31" s="102"/>
      <c r="E31" s="103"/>
      <c r="F31" s="103"/>
      <c r="G31" s="103"/>
      <c r="H31" s="103"/>
      <c r="I31" s="103"/>
      <c r="J31" s="103"/>
      <c r="K31" s="103"/>
      <c r="L31" s="103"/>
      <c r="M31" s="103"/>
      <c r="N31" s="104"/>
    </row>
    <row r="32" spans="1:14" ht="15" x14ac:dyDescent="0.2">
      <c r="A32" s="105"/>
      <c r="B32" s="437" t="s">
        <v>743</v>
      </c>
      <c r="C32" s="438"/>
      <c r="D32" s="438"/>
      <c r="E32" s="438"/>
      <c r="F32" s="438"/>
      <c r="G32" s="438"/>
      <c r="H32" s="438"/>
      <c r="I32" s="438"/>
      <c r="J32" s="438"/>
      <c r="K32" s="438"/>
      <c r="L32" s="438"/>
      <c r="M32" s="439"/>
      <c r="N32" s="106" t="s">
        <v>904</v>
      </c>
    </row>
    <row r="33" spans="1:14" x14ac:dyDescent="0.2">
      <c r="A33" s="105"/>
      <c r="B33" s="107" t="s">
        <v>428</v>
      </c>
      <c r="C33" s="98" t="s">
        <v>575</v>
      </c>
      <c r="D33" s="98"/>
      <c r="E33" s="99"/>
      <c r="F33" s="99"/>
      <c r="G33" s="99"/>
      <c r="H33" s="99"/>
      <c r="I33" s="99"/>
      <c r="J33" s="99"/>
      <c r="K33" s="99"/>
      <c r="L33" s="99"/>
      <c r="M33" s="99"/>
      <c r="N33" s="90"/>
    </row>
    <row r="34" spans="1:14" x14ac:dyDescent="0.2">
      <c r="A34" s="105"/>
      <c r="B34" s="107" t="s">
        <v>429</v>
      </c>
      <c r="C34" s="98" t="s">
        <v>823</v>
      </c>
      <c r="D34" s="98"/>
      <c r="E34" s="99"/>
      <c r="F34" s="99"/>
      <c r="G34" s="99"/>
      <c r="H34" s="99"/>
      <c r="I34" s="99"/>
      <c r="J34" s="99"/>
      <c r="K34" s="99"/>
      <c r="L34" s="99"/>
      <c r="M34" s="99"/>
      <c r="N34" s="90"/>
    </row>
    <row r="35" spans="1:14" x14ac:dyDescent="0.2">
      <c r="A35" s="105"/>
      <c r="B35" s="107" t="s">
        <v>427</v>
      </c>
      <c r="C35" s="444" t="s">
        <v>1309</v>
      </c>
      <c r="D35" s="444"/>
      <c r="E35" s="444"/>
      <c r="F35" s="444"/>
      <c r="G35" s="444"/>
      <c r="H35" s="444"/>
      <c r="I35" s="444"/>
      <c r="J35" s="444"/>
      <c r="K35" s="444"/>
      <c r="L35" s="444"/>
      <c r="M35" s="444"/>
      <c r="N35" s="445"/>
    </row>
    <row r="36" spans="1:14" x14ac:dyDescent="0.2">
      <c r="A36" s="105"/>
      <c r="B36" s="98"/>
      <c r="C36" s="444"/>
      <c r="D36" s="444"/>
      <c r="E36" s="444"/>
      <c r="F36" s="444"/>
      <c r="G36" s="444"/>
      <c r="H36" s="444"/>
      <c r="I36" s="444"/>
      <c r="J36" s="444"/>
      <c r="K36" s="444"/>
      <c r="L36" s="444"/>
      <c r="M36" s="444"/>
      <c r="N36" s="445"/>
    </row>
    <row r="37" spans="1:14" x14ac:dyDescent="0.2">
      <c r="A37" s="105"/>
      <c r="B37" s="98"/>
      <c r="C37" s="444"/>
      <c r="D37" s="444"/>
      <c r="E37" s="444"/>
      <c r="F37" s="444"/>
      <c r="G37" s="444"/>
      <c r="H37" s="444"/>
      <c r="I37" s="444"/>
      <c r="J37" s="444"/>
      <c r="K37" s="444"/>
      <c r="L37" s="444"/>
      <c r="M37" s="444"/>
      <c r="N37" s="445"/>
    </row>
    <row r="38" spans="1:14" x14ac:dyDescent="0.2">
      <c r="A38" s="105"/>
      <c r="B38" s="98"/>
      <c r="C38" s="446"/>
      <c r="D38" s="446"/>
      <c r="E38" s="446"/>
      <c r="F38" s="446"/>
      <c r="G38" s="446"/>
      <c r="H38" s="446"/>
      <c r="I38" s="446"/>
      <c r="J38" s="446"/>
      <c r="K38" s="446"/>
      <c r="L38" s="446"/>
      <c r="M38" s="446"/>
      <c r="N38" s="447"/>
    </row>
    <row r="39" spans="1:14" x14ac:dyDescent="0.2">
      <c r="A39" s="105"/>
      <c r="B39" s="98"/>
      <c r="C39" s="446"/>
      <c r="D39" s="446"/>
      <c r="E39" s="446"/>
      <c r="F39" s="446"/>
      <c r="G39" s="446"/>
      <c r="H39" s="446"/>
      <c r="I39" s="446"/>
      <c r="J39" s="446"/>
      <c r="K39" s="446"/>
      <c r="L39" s="446"/>
      <c r="M39" s="446"/>
      <c r="N39" s="447"/>
    </row>
    <row r="40" spans="1:14" x14ac:dyDescent="0.2">
      <c r="A40" s="105"/>
      <c r="B40" s="107" t="s">
        <v>426</v>
      </c>
      <c r="C40" s="98" t="s">
        <v>415</v>
      </c>
      <c r="D40" s="98"/>
      <c r="E40" s="99"/>
      <c r="F40" s="99"/>
      <c r="G40" s="99"/>
      <c r="H40" s="99"/>
      <c r="I40" s="99"/>
      <c r="J40" s="99"/>
      <c r="K40" s="99"/>
      <c r="L40" s="99"/>
      <c r="M40" s="99"/>
      <c r="N40" s="90"/>
    </row>
    <row r="41" spans="1:14" ht="13.5" thickBot="1" x14ac:dyDescent="0.25">
      <c r="A41" s="105"/>
      <c r="B41" s="107" t="s">
        <v>430</v>
      </c>
      <c r="C41" s="98"/>
      <c r="D41" s="98"/>
      <c r="E41" s="99"/>
      <c r="F41" s="99"/>
      <c r="G41" s="99"/>
      <c r="H41" s="99"/>
      <c r="I41" s="99"/>
      <c r="J41" s="99"/>
      <c r="K41" s="99"/>
      <c r="L41" s="99"/>
      <c r="M41" s="99"/>
      <c r="N41" s="90"/>
    </row>
    <row r="42" spans="1:14" x14ac:dyDescent="0.2">
      <c r="A42" s="101"/>
      <c r="B42" s="102" t="s">
        <v>263</v>
      </c>
      <c r="C42" s="102"/>
      <c r="D42" s="102"/>
      <c r="E42" s="103"/>
      <c r="F42" s="103"/>
      <c r="G42" s="103"/>
      <c r="H42" s="103"/>
      <c r="I42" s="103"/>
      <c r="J42" s="114" t="s">
        <v>85</v>
      </c>
      <c r="K42" s="113" t="s">
        <v>1925</v>
      </c>
      <c r="L42" s="113" t="s">
        <v>1396</v>
      </c>
      <c r="M42" s="115"/>
      <c r="N42" s="113"/>
    </row>
    <row r="43" spans="1:14" ht="13.5" thickBot="1" x14ac:dyDescent="0.25">
      <c r="A43" s="108"/>
      <c r="B43" s="109"/>
      <c r="C43" s="109"/>
      <c r="D43" s="109"/>
      <c r="E43" s="110"/>
      <c r="F43" s="110"/>
      <c r="G43" s="110"/>
      <c r="H43" s="110"/>
      <c r="I43" s="110"/>
      <c r="J43" s="112" t="s">
        <v>1924</v>
      </c>
      <c r="K43" s="94" t="s">
        <v>1926</v>
      </c>
      <c r="L43" s="94" t="s">
        <v>208</v>
      </c>
      <c r="M43" s="94" t="s">
        <v>1927</v>
      </c>
      <c r="N43" s="94"/>
    </row>
    <row r="44" spans="1:14" x14ac:dyDescent="0.2">
      <c r="A44" s="101"/>
      <c r="B44" s="448" t="s">
        <v>67</v>
      </c>
      <c r="C44" s="448"/>
      <c r="D44" s="448"/>
      <c r="E44" s="103"/>
      <c r="F44" s="103" t="s">
        <v>1180</v>
      </c>
      <c r="G44" s="103" t="s">
        <v>68</v>
      </c>
      <c r="H44" s="103" t="s">
        <v>702</v>
      </c>
      <c r="I44" s="103"/>
      <c r="J44" s="113">
        <f>130/ATHENS!O1*ATHENS!O2</f>
        <v>265.30612244897958</v>
      </c>
      <c r="K44" s="113">
        <f>170/ATHENS!O1*ATHENS!O2</f>
        <v>346.9387755102041</v>
      </c>
      <c r="L44" s="113">
        <f>250/ATHENS!O1*ATHENS!O2</f>
        <v>510.20408163265307</v>
      </c>
      <c r="M44" s="113">
        <f>370/ATHENS!O1*ATHENS!O2</f>
        <v>755.10204081632651</v>
      </c>
      <c r="N44" s="113"/>
    </row>
    <row r="45" spans="1:14" x14ac:dyDescent="0.2">
      <c r="A45" s="105"/>
      <c r="B45" s="443" t="s">
        <v>67</v>
      </c>
      <c r="C45" s="443"/>
      <c r="D45" s="443"/>
      <c r="E45" s="99"/>
      <c r="F45" s="99" t="s">
        <v>1181</v>
      </c>
      <c r="G45" s="99" t="s">
        <v>68</v>
      </c>
      <c r="H45" s="99" t="s">
        <v>702</v>
      </c>
      <c r="I45" s="99"/>
      <c r="J45" s="89">
        <f>65/ATHENS!O1*ATHENS!O2</f>
        <v>132.65306122448979</v>
      </c>
      <c r="K45" s="89">
        <f>85/ATHENS!O1*ATHENS!O2</f>
        <v>173.46938775510205</v>
      </c>
      <c r="L45" s="89">
        <f>125/ATHENS!O1*ATHENS!O2</f>
        <v>255.10204081632654</v>
      </c>
      <c r="M45" s="89">
        <f>185/ATHENS!O1*ATHENS!O2</f>
        <v>377.55102040816325</v>
      </c>
      <c r="N45" s="89"/>
    </row>
    <row r="46" spans="1:14" x14ac:dyDescent="0.2">
      <c r="A46" s="105"/>
      <c r="B46" s="443" t="s">
        <v>67</v>
      </c>
      <c r="C46" s="443"/>
      <c r="D46" s="443"/>
      <c r="E46" s="99"/>
      <c r="F46" s="99" t="s">
        <v>1182</v>
      </c>
      <c r="G46" s="99" t="s">
        <v>68</v>
      </c>
      <c r="H46" s="99" t="s">
        <v>702</v>
      </c>
      <c r="I46" s="99"/>
      <c r="J46" s="89">
        <f>93.5/ATHENS!O1*ATHENS!O2</f>
        <v>190.81632653061226</v>
      </c>
      <c r="K46" s="89">
        <f>101.6/ATHENS!O1*ATHENS!O2</f>
        <v>207.34693877551018</v>
      </c>
      <c r="L46" s="89">
        <f>150/ATHENS!O1*ATHENS!O2</f>
        <v>306.12244897959187</v>
      </c>
      <c r="M46" s="89">
        <f>193.5/ATHENS!O1*ATHENS!O2</f>
        <v>394.89795918367349</v>
      </c>
      <c r="N46" s="89"/>
    </row>
    <row r="47" spans="1:14" x14ac:dyDescent="0.2">
      <c r="A47" s="105"/>
      <c r="B47" s="443" t="s">
        <v>901</v>
      </c>
      <c r="C47" s="443"/>
      <c r="D47" s="443"/>
      <c r="E47" s="99"/>
      <c r="F47" s="99" t="s">
        <v>518</v>
      </c>
      <c r="G47" s="99" t="s">
        <v>68</v>
      </c>
      <c r="H47" s="99" t="s">
        <v>702</v>
      </c>
      <c r="I47" s="99"/>
      <c r="J47" s="89">
        <f>190/ATHENS!O1*ATHENS!O2</f>
        <v>387.75510204081633</v>
      </c>
      <c r="K47" s="89">
        <f>202.5/ATHENS!O1*ATHENS!O2</f>
        <v>413.26530612244898</v>
      </c>
      <c r="L47" s="89">
        <f>272.5/ATHENS!O1*ATHENS!O2</f>
        <v>556.12244897959181</v>
      </c>
      <c r="M47" s="89">
        <f>350/ATHENS!O1*ATHENS!O2</f>
        <v>714.28571428571433</v>
      </c>
      <c r="N47" s="89"/>
    </row>
    <row r="48" spans="1:14" x14ac:dyDescent="0.2">
      <c r="A48" s="105"/>
      <c r="B48" s="443" t="s">
        <v>901</v>
      </c>
      <c r="C48" s="443"/>
      <c r="D48" s="443"/>
      <c r="E48" s="99"/>
      <c r="F48" s="99" t="s">
        <v>705</v>
      </c>
      <c r="G48" s="99" t="s">
        <v>68</v>
      </c>
      <c r="H48" s="99" t="s">
        <v>702</v>
      </c>
      <c r="I48" s="99"/>
      <c r="J48" s="89">
        <f>126.5/ATHENS!O1*ATHENS!O2</f>
        <v>258.16326530612247</v>
      </c>
      <c r="K48" s="89">
        <f>135/ATHENS!O1*ATHENS!O2</f>
        <v>275.51020408163265</v>
      </c>
      <c r="L48" s="89">
        <f>181.6/ATHENS!O1*ATHENS!O2</f>
        <v>370.61224489795916</v>
      </c>
      <c r="M48" s="89">
        <f>233.5/ATHENS!O1*ATHENS!O2</f>
        <v>476.53061224489795</v>
      </c>
      <c r="N48" s="89"/>
    </row>
    <row r="49" spans="1:14" ht="13.5" thickBot="1" x14ac:dyDescent="0.25">
      <c r="A49" s="108"/>
      <c r="B49" s="436" t="s">
        <v>902</v>
      </c>
      <c r="C49" s="436"/>
      <c r="D49" s="436"/>
      <c r="E49" s="110"/>
      <c r="F49" s="110"/>
      <c r="G49" s="110"/>
      <c r="H49" s="110" t="s">
        <v>702</v>
      </c>
      <c r="I49" s="110"/>
      <c r="J49" s="94">
        <f>50/ATHENS!O1*ATHENS!O2</f>
        <v>102.04081632653062</v>
      </c>
      <c r="K49" s="94">
        <f>50/ATHENS!O1*ATHENS!O2</f>
        <v>102.04081632653062</v>
      </c>
      <c r="L49" s="94">
        <f>50/ATHENS!O1*ATHENS!O2</f>
        <v>102.04081632653062</v>
      </c>
      <c r="M49" s="94">
        <f>50/ATHENS!O1*ATHENS!O2</f>
        <v>102.04081632653062</v>
      </c>
      <c r="N49" s="94"/>
    </row>
    <row r="50" spans="1:14" ht="13.5" thickBot="1" x14ac:dyDescent="0.25">
      <c r="A50" s="97"/>
      <c r="B50" s="98"/>
      <c r="C50" s="98"/>
      <c r="D50" s="98"/>
      <c r="E50" s="99"/>
      <c r="F50" s="99"/>
      <c r="G50" s="99"/>
      <c r="H50" s="99"/>
      <c r="I50" s="99"/>
      <c r="J50" s="99"/>
      <c r="K50" s="99"/>
      <c r="L50" s="99"/>
      <c r="M50" s="99"/>
      <c r="N50" s="99"/>
    </row>
    <row r="51" spans="1:14" x14ac:dyDescent="0.2">
      <c r="A51" s="101"/>
      <c r="B51" s="102"/>
      <c r="C51" s="102"/>
      <c r="D51" s="102"/>
      <c r="E51" s="103"/>
      <c r="F51" s="103"/>
      <c r="G51" s="103"/>
      <c r="H51" s="103"/>
      <c r="I51" s="103"/>
      <c r="J51" s="103"/>
      <c r="K51" s="103"/>
      <c r="L51" s="103"/>
      <c r="M51" s="103"/>
      <c r="N51" s="104"/>
    </row>
    <row r="52" spans="1:14" ht="15" x14ac:dyDescent="0.2">
      <c r="A52" s="105"/>
      <c r="B52" s="437" t="s">
        <v>450</v>
      </c>
      <c r="C52" s="438"/>
      <c r="D52" s="438"/>
      <c r="E52" s="438"/>
      <c r="F52" s="438"/>
      <c r="G52" s="438"/>
      <c r="H52" s="438"/>
      <c r="I52" s="438"/>
      <c r="J52" s="438"/>
      <c r="K52" s="438"/>
      <c r="L52" s="438"/>
      <c r="M52" s="439"/>
      <c r="N52" s="106" t="s">
        <v>904</v>
      </c>
    </row>
    <row r="53" spans="1:14" x14ac:dyDescent="0.2">
      <c r="A53" s="105"/>
      <c r="B53" s="107" t="s">
        <v>428</v>
      </c>
      <c r="C53" s="98" t="s">
        <v>451</v>
      </c>
      <c r="D53" s="98"/>
      <c r="E53" s="99"/>
      <c r="F53" s="99"/>
      <c r="G53" s="99"/>
      <c r="H53" s="99"/>
      <c r="I53" s="99"/>
      <c r="J53" s="99"/>
      <c r="K53" s="99"/>
      <c r="L53" s="99"/>
      <c r="M53" s="99"/>
      <c r="N53" s="90"/>
    </row>
    <row r="54" spans="1:14" x14ac:dyDescent="0.2">
      <c r="A54" s="105"/>
      <c r="B54" s="107" t="s">
        <v>429</v>
      </c>
      <c r="C54" s="98" t="s">
        <v>452</v>
      </c>
      <c r="D54" s="98"/>
      <c r="E54" s="99"/>
      <c r="F54" s="99"/>
      <c r="G54" s="99"/>
      <c r="H54" s="99"/>
      <c r="I54" s="99"/>
      <c r="J54" s="99"/>
      <c r="K54" s="99"/>
      <c r="L54" s="99"/>
      <c r="M54" s="99"/>
      <c r="N54" s="90"/>
    </row>
    <row r="55" spans="1:14" x14ac:dyDescent="0.2">
      <c r="A55" s="105"/>
      <c r="B55" s="107" t="s">
        <v>427</v>
      </c>
      <c r="C55" s="444" t="s">
        <v>1310</v>
      </c>
      <c r="D55" s="444"/>
      <c r="E55" s="444"/>
      <c r="F55" s="444"/>
      <c r="G55" s="444"/>
      <c r="H55" s="444"/>
      <c r="I55" s="444"/>
      <c r="J55" s="444"/>
      <c r="K55" s="444"/>
      <c r="L55" s="444"/>
      <c r="M55" s="444"/>
      <c r="N55" s="445"/>
    </row>
    <row r="56" spans="1:14" x14ac:dyDescent="0.2">
      <c r="A56" s="105"/>
      <c r="B56" s="98"/>
      <c r="C56" s="444"/>
      <c r="D56" s="444"/>
      <c r="E56" s="444"/>
      <c r="F56" s="444"/>
      <c r="G56" s="444"/>
      <c r="H56" s="444"/>
      <c r="I56" s="444"/>
      <c r="J56" s="444"/>
      <c r="K56" s="444"/>
      <c r="L56" s="444"/>
      <c r="M56" s="444"/>
      <c r="N56" s="445"/>
    </row>
    <row r="57" spans="1:14" x14ac:dyDescent="0.2">
      <c r="A57" s="105"/>
      <c r="B57" s="98"/>
      <c r="C57" s="444"/>
      <c r="D57" s="444"/>
      <c r="E57" s="444"/>
      <c r="F57" s="444"/>
      <c r="G57" s="444"/>
      <c r="H57" s="444"/>
      <c r="I57" s="444"/>
      <c r="J57" s="444"/>
      <c r="K57" s="444"/>
      <c r="L57" s="444"/>
      <c r="M57" s="444"/>
      <c r="N57" s="445"/>
    </row>
    <row r="58" spans="1:14" x14ac:dyDescent="0.2">
      <c r="A58" s="105"/>
      <c r="B58" s="107" t="s">
        <v>426</v>
      </c>
      <c r="C58" s="98"/>
      <c r="D58" s="98"/>
      <c r="E58" s="99"/>
      <c r="F58" s="99"/>
      <c r="G58" s="99"/>
      <c r="H58" s="99"/>
      <c r="I58" s="99"/>
      <c r="J58" s="99"/>
      <c r="K58" s="99"/>
      <c r="L58" s="99"/>
      <c r="M58" s="99"/>
      <c r="N58" s="90"/>
    </row>
    <row r="59" spans="1:14" ht="13.5" thickBot="1" x14ac:dyDescent="0.25">
      <c r="A59" s="105"/>
      <c r="B59" s="107" t="s">
        <v>430</v>
      </c>
      <c r="C59" s="98"/>
      <c r="D59" s="98"/>
      <c r="E59" s="99"/>
      <c r="F59" s="99"/>
      <c r="G59" s="99"/>
      <c r="H59" s="99"/>
      <c r="I59" s="99"/>
      <c r="J59" s="99"/>
      <c r="K59" s="99"/>
      <c r="L59" s="99"/>
      <c r="M59" s="99"/>
      <c r="N59" s="90"/>
    </row>
    <row r="60" spans="1:14" x14ac:dyDescent="0.2">
      <c r="A60" s="101"/>
      <c r="B60" s="102" t="s">
        <v>263</v>
      </c>
      <c r="C60" s="102"/>
      <c r="D60" s="102"/>
      <c r="E60" s="103"/>
      <c r="F60" s="103"/>
      <c r="G60" s="103"/>
      <c r="H60" s="103"/>
      <c r="I60" s="103"/>
      <c r="J60" s="114" t="s">
        <v>1949</v>
      </c>
      <c r="K60" s="113" t="s">
        <v>1951</v>
      </c>
      <c r="L60" s="113"/>
      <c r="N60" s="113"/>
    </row>
    <row r="61" spans="1:14" ht="13.5" thickBot="1" x14ac:dyDescent="0.25">
      <c r="A61" s="108"/>
      <c r="B61" s="109"/>
      <c r="C61" s="109"/>
      <c r="D61" s="109"/>
      <c r="E61" s="110"/>
      <c r="F61" s="110"/>
      <c r="G61" s="110"/>
      <c r="H61" s="110"/>
      <c r="I61" s="110"/>
      <c r="J61" s="112" t="s">
        <v>1950</v>
      </c>
      <c r="K61" s="94" t="s">
        <v>1387</v>
      </c>
      <c r="L61" s="94" t="s">
        <v>1952</v>
      </c>
      <c r="N61" s="94"/>
    </row>
    <row r="62" spans="1:14" x14ac:dyDescent="0.2">
      <c r="A62" s="101"/>
      <c r="B62" s="448" t="s">
        <v>67</v>
      </c>
      <c r="C62" s="448"/>
      <c r="D62" s="448"/>
      <c r="E62" s="103"/>
      <c r="F62" s="103" t="s">
        <v>1180</v>
      </c>
      <c r="G62" s="103" t="s">
        <v>68</v>
      </c>
      <c r="H62" s="103" t="s">
        <v>702</v>
      </c>
      <c r="I62" s="103"/>
      <c r="J62" s="113">
        <f>152/ATHENS!O1*ATHENS!O2</f>
        <v>310.20408163265307</v>
      </c>
      <c r="K62" s="113">
        <f>230/ATHENS!O1*ATHENS!O2</f>
        <v>469.38775510204084</v>
      </c>
      <c r="L62" s="113">
        <f>330/ATHENS!O1*ATHENS!O2</f>
        <v>673.46938775510205</v>
      </c>
      <c r="M62" s="113"/>
      <c r="N62" s="113"/>
    </row>
    <row r="63" spans="1:14" x14ac:dyDescent="0.2">
      <c r="A63" s="105"/>
      <c r="B63" s="443" t="s">
        <v>67</v>
      </c>
      <c r="C63" s="443"/>
      <c r="D63" s="443"/>
      <c r="E63" s="99"/>
      <c r="F63" s="99" t="s">
        <v>1181</v>
      </c>
      <c r="G63" s="99" t="s">
        <v>68</v>
      </c>
      <c r="H63" s="99" t="s">
        <v>702</v>
      </c>
      <c r="I63" s="99"/>
      <c r="J63" s="89">
        <f>68/ATHENS!O1*ATHENS!O2</f>
        <v>138.77551020408163</v>
      </c>
      <c r="K63" s="89">
        <f>96.5/ATHENS!O1*ATHENS!O2</f>
        <v>196.9387755102041</v>
      </c>
      <c r="L63" s="89">
        <f>140/ATHENS!O1*ATHENS!O2</f>
        <v>285.71428571428572</v>
      </c>
      <c r="M63" s="89"/>
      <c r="N63" s="89"/>
    </row>
    <row r="64" spans="1:14" x14ac:dyDescent="0.2">
      <c r="A64" s="105"/>
      <c r="B64" s="443" t="s">
        <v>67</v>
      </c>
      <c r="C64" s="443"/>
      <c r="D64" s="443"/>
      <c r="E64" s="99"/>
      <c r="F64" s="99" t="s">
        <v>1182</v>
      </c>
      <c r="G64" s="99" t="s">
        <v>68</v>
      </c>
      <c r="H64" s="99" t="s">
        <v>702</v>
      </c>
      <c r="I64" s="99"/>
      <c r="J64" s="89">
        <f>66/ATHENS!O1*ATHENS!O2</f>
        <v>134.69387755102042</v>
      </c>
      <c r="K64" s="89">
        <f>94.5/ATHENS!O1*ATHENS!O2</f>
        <v>192.85714285714286</v>
      </c>
      <c r="L64" s="89">
        <f>128.5/ATHENS!O1*ATHENS!O2</f>
        <v>262.24489795918367</v>
      </c>
      <c r="M64" s="89"/>
      <c r="N64" s="89"/>
    </row>
    <row r="65" spans="1:14" x14ac:dyDescent="0.2">
      <c r="A65" s="105"/>
      <c r="B65" s="98" t="s">
        <v>476</v>
      </c>
      <c r="C65" s="98"/>
      <c r="D65" s="98"/>
      <c r="E65" s="99"/>
      <c r="F65" s="99" t="s">
        <v>1180</v>
      </c>
      <c r="G65" s="99" t="s">
        <v>68</v>
      </c>
      <c r="H65" s="99" t="s">
        <v>702</v>
      </c>
      <c r="I65" s="99"/>
      <c r="J65" s="89">
        <f>227/ATHENS!O1*ATHENS!O2</f>
        <v>463.26530612244898</v>
      </c>
      <c r="K65" s="89">
        <f>315/ATHENS!O1*ATHENS!O2</f>
        <v>642.85714285714289</v>
      </c>
      <c r="L65" s="89">
        <f>430/ATHENS!O1*ATHENS!O2</f>
        <v>877.55102040816325</v>
      </c>
      <c r="M65" s="89"/>
      <c r="N65" s="89"/>
    </row>
    <row r="66" spans="1:14" x14ac:dyDescent="0.2">
      <c r="A66" s="105"/>
      <c r="B66" s="443" t="s">
        <v>476</v>
      </c>
      <c r="C66" s="443"/>
      <c r="D66" s="443"/>
      <c r="E66" s="99"/>
      <c r="F66" s="99" t="s">
        <v>1181</v>
      </c>
      <c r="G66" s="99" t="s">
        <v>68</v>
      </c>
      <c r="H66" s="99" t="s">
        <v>702</v>
      </c>
      <c r="I66" s="99"/>
      <c r="J66" s="89">
        <f>113.5/ATHENS!O1*ATHENS!O2</f>
        <v>231.63265306122449</v>
      </c>
      <c r="K66" s="89">
        <f>157.5/ATHENS!O1*ATHENS!O2</f>
        <v>321.42857142857144</v>
      </c>
      <c r="L66" s="89">
        <f>215/ATHENS!O1*ATHENS!O2</f>
        <v>438.77551020408163</v>
      </c>
      <c r="M66" s="89"/>
      <c r="N66" s="89"/>
    </row>
    <row r="67" spans="1:14" x14ac:dyDescent="0.2">
      <c r="A67" s="105"/>
      <c r="B67" s="443" t="s">
        <v>476</v>
      </c>
      <c r="C67" s="443"/>
      <c r="D67" s="443"/>
      <c r="E67" s="99"/>
      <c r="F67" s="99" t="s">
        <v>1182</v>
      </c>
      <c r="G67" s="99" t="s">
        <v>68</v>
      </c>
      <c r="H67" s="99" t="s">
        <v>702</v>
      </c>
      <c r="I67" s="99"/>
      <c r="J67" s="89">
        <f>75.6/ATHENS!O1*ATHENS!O2</f>
        <v>154.28571428571428</v>
      </c>
      <c r="K67" s="89">
        <f>105/ATHENS!O1*ATHENS!O2</f>
        <v>214.28571428571428</v>
      </c>
      <c r="L67" s="89">
        <f>143.5/ATHENS!O1*ATHENS!O2</f>
        <v>292.85714285714289</v>
      </c>
      <c r="M67" s="89"/>
      <c r="N67" s="89"/>
    </row>
    <row r="68" spans="1:14" ht="13.5" thickBot="1" x14ac:dyDescent="0.25">
      <c r="A68" s="108"/>
      <c r="B68" s="436" t="s">
        <v>902</v>
      </c>
      <c r="C68" s="436"/>
      <c r="D68" s="436"/>
      <c r="E68" s="110"/>
      <c r="F68" s="110"/>
      <c r="G68" s="110"/>
      <c r="H68" s="110" t="s">
        <v>702</v>
      </c>
      <c r="I68" s="110"/>
      <c r="J68" s="94">
        <f>50/ATHENS!O1*ATHENS!O2</f>
        <v>102.04081632653062</v>
      </c>
      <c r="K68" s="94">
        <f>50/ATHENS!O1*ATHENS!O2</f>
        <v>102.04081632653062</v>
      </c>
      <c r="L68" s="94">
        <f>50/ATHENS!O1*ATHENS!O2</f>
        <v>102.04081632653062</v>
      </c>
      <c r="M68" s="94"/>
      <c r="N68" s="94"/>
    </row>
    <row r="69" spans="1:14" x14ac:dyDescent="0.2">
      <c r="A69" s="97"/>
      <c r="B69" s="98"/>
      <c r="C69" s="98"/>
      <c r="D69" s="98"/>
      <c r="E69" s="99"/>
      <c r="F69" s="99"/>
      <c r="G69" s="99"/>
      <c r="H69" s="99"/>
      <c r="I69" s="99"/>
      <c r="J69" s="99"/>
      <c r="K69" s="99"/>
      <c r="L69" s="99"/>
      <c r="M69" s="99"/>
      <c r="N69" s="99"/>
    </row>
    <row r="70" spans="1:14" ht="13.5" thickBot="1" x14ac:dyDescent="0.25">
      <c r="A70" s="97"/>
      <c r="B70" s="98"/>
      <c r="C70" s="98"/>
      <c r="D70" s="98"/>
      <c r="E70" s="99"/>
      <c r="F70" s="99"/>
      <c r="G70" s="99"/>
      <c r="H70" s="99"/>
      <c r="I70" s="99"/>
      <c r="J70" s="99"/>
      <c r="K70" s="99"/>
      <c r="L70" s="99"/>
      <c r="M70" s="99"/>
      <c r="N70" s="99"/>
    </row>
    <row r="71" spans="1:14" x14ac:dyDescent="0.2">
      <c r="A71" s="101"/>
      <c r="B71" s="102"/>
      <c r="C71" s="102"/>
      <c r="D71" s="102"/>
      <c r="E71" s="103"/>
      <c r="F71" s="103"/>
      <c r="G71" s="103"/>
      <c r="H71" s="103"/>
      <c r="I71" s="103"/>
      <c r="J71" s="103"/>
      <c r="K71" s="103"/>
      <c r="L71" s="103"/>
      <c r="M71" s="103"/>
      <c r="N71" s="104"/>
    </row>
    <row r="72" spans="1:14" ht="15" x14ac:dyDescent="0.2">
      <c r="A72" s="105"/>
      <c r="B72" s="437" t="s">
        <v>745</v>
      </c>
      <c r="C72" s="438"/>
      <c r="D72" s="438"/>
      <c r="E72" s="438"/>
      <c r="F72" s="438"/>
      <c r="G72" s="438"/>
      <c r="H72" s="438"/>
      <c r="I72" s="438"/>
      <c r="J72" s="438"/>
      <c r="K72" s="438"/>
      <c r="L72" s="438"/>
      <c r="M72" s="439"/>
      <c r="N72" s="106" t="s">
        <v>91</v>
      </c>
    </row>
    <row r="73" spans="1:14" x14ac:dyDescent="0.2">
      <c r="A73" s="105"/>
      <c r="B73" s="107" t="s">
        <v>428</v>
      </c>
      <c r="C73" s="98" t="s">
        <v>277</v>
      </c>
      <c r="D73" s="98"/>
      <c r="E73" s="99"/>
      <c r="F73" s="99"/>
      <c r="G73" s="99"/>
      <c r="H73" s="99"/>
      <c r="I73" s="99"/>
      <c r="J73" s="99"/>
      <c r="K73" s="99"/>
      <c r="L73" s="99"/>
      <c r="M73" s="99"/>
      <c r="N73" s="90"/>
    </row>
    <row r="74" spans="1:14" x14ac:dyDescent="0.2">
      <c r="A74" s="105"/>
      <c r="B74" s="107" t="s">
        <v>429</v>
      </c>
      <c r="C74" s="98" t="s">
        <v>1154</v>
      </c>
      <c r="D74" s="98"/>
      <c r="E74" s="99"/>
      <c r="F74" s="99"/>
      <c r="G74" s="99"/>
      <c r="H74" s="99"/>
      <c r="I74" s="99"/>
      <c r="J74" s="99"/>
      <c r="K74" s="99"/>
      <c r="L74" s="99"/>
      <c r="M74" s="99"/>
      <c r="N74" s="90"/>
    </row>
    <row r="75" spans="1:14" x14ac:dyDescent="0.2">
      <c r="A75" s="105"/>
      <c r="B75" s="107" t="s">
        <v>427</v>
      </c>
      <c r="C75" s="444" t="s">
        <v>1327</v>
      </c>
      <c r="D75" s="444"/>
      <c r="E75" s="444"/>
      <c r="F75" s="444"/>
      <c r="G75" s="444"/>
      <c r="H75" s="444"/>
      <c r="I75" s="444"/>
      <c r="J75" s="444"/>
      <c r="K75" s="444"/>
      <c r="L75" s="444"/>
      <c r="M75" s="444"/>
      <c r="N75" s="445"/>
    </row>
    <row r="76" spans="1:14" x14ac:dyDescent="0.2">
      <c r="A76" s="105"/>
      <c r="B76" s="98"/>
      <c r="C76" s="444"/>
      <c r="D76" s="444"/>
      <c r="E76" s="444"/>
      <c r="F76" s="444"/>
      <c r="G76" s="444"/>
      <c r="H76" s="444"/>
      <c r="I76" s="444"/>
      <c r="J76" s="444"/>
      <c r="K76" s="444"/>
      <c r="L76" s="444"/>
      <c r="M76" s="444"/>
      <c r="N76" s="445"/>
    </row>
    <row r="77" spans="1:14" x14ac:dyDescent="0.2">
      <c r="A77" s="105"/>
      <c r="B77" s="98"/>
      <c r="C77" s="446"/>
      <c r="D77" s="446"/>
      <c r="E77" s="446"/>
      <c r="F77" s="446"/>
      <c r="G77" s="446"/>
      <c r="H77" s="446"/>
      <c r="I77" s="446"/>
      <c r="J77" s="446"/>
      <c r="K77" s="446"/>
      <c r="L77" s="446"/>
      <c r="M77" s="446"/>
      <c r="N77" s="447"/>
    </row>
    <row r="78" spans="1:14" x14ac:dyDescent="0.2">
      <c r="A78" s="105"/>
      <c r="B78" s="98"/>
      <c r="C78" s="446"/>
      <c r="D78" s="446"/>
      <c r="E78" s="446"/>
      <c r="F78" s="446"/>
      <c r="G78" s="446"/>
      <c r="H78" s="446"/>
      <c r="I78" s="446"/>
      <c r="J78" s="446"/>
      <c r="K78" s="446"/>
      <c r="L78" s="446"/>
      <c r="M78" s="446"/>
      <c r="N78" s="447"/>
    </row>
    <row r="79" spans="1:14" ht="13.5" thickBot="1" x14ac:dyDescent="0.25">
      <c r="A79" s="105"/>
      <c r="B79" s="107" t="s">
        <v>426</v>
      </c>
      <c r="C79" s="98" t="s">
        <v>827</v>
      </c>
      <c r="D79" s="98"/>
      <c r="E79" s="99"/>
      <c r="F79" s="99"/>
      <c r="G79" s="99"/>
      <c r="H79" s="99"/>
      <c r="I79" s="99"/>
      <c r="J79" s="99"/>
      <c r="K79" s="99"/>
      <c r="L79" s="99"/>
      <c r="M79" s="99"/>
      <c r="N79" s="90"/>
    </row>
    <row r="80" spans="1:14" x14ac:dyDescent="0.2">
      <c r="A80" s="101"/>
      <c r="B80" s="102" t="s">
        <v>263</v>
      </c>
      <c r="C80" s="102"/>
      <c r="D80" s="102"/>
      <c r="E80" s="103"/>
      <c r="F80" s="103"/>
      <c r="G80" s="103"/>
      <c r="H80" s="103"/>
      <c r="I80" s="103"/>
      <c r="J80" s="114" t="s">
        <v>2039</v>
      </c>
      <c r="K80" s="114" t="s">
        <v>1871</v>
      </c>
      <c r="L80" s="114" t="s">
        <v>1586</v>
      </c>
      <c r="M80" s="114"/>
      <c r="N80" s="113"/>
    </row>
    <row r="81" spans="1:14" ht="13.5" thickBot="1" x14ac:dyDescent="0.25">
      <c r="A81" s="108"/>
      <c r="B81" s="109"/>
      <c r="C81" s="109"/>
      <c r="D81" s="109"/>
      <c r="E81" s="110"/>
      <c r="F81" s="110"/>
      <c r="G81" s="110"/>
      <c r="H81" s="110"/>
      <c r="I81" s="110"/>
      <c r="J81" s="112" t="s">
        <v>2040</v>
      </c>
      <c r="K81" s="94" t="s">
        <v>2041</v>
      </c>
      <c r="L81" s="94" t="s">
        <v>2042</v>
      </c>
      <c r="M81" s="94" t="s">
        <v>2043</v>
      </c>
      <c r="N81" s="94"/>
    </row>
    <row r="82" spans="1:14" x14ac:dyDescent="0.2">
      <c r="A82" s="101"/>
      <c r="B82" s="448" t="s">
        <v>67</v>
      </c>
      <c r="C82" s="448"/>
      <c r="D82" s="448"/>
      <c r="E82" s="103"/>
      <c r="F82" s="103" t="s">
        <v>1180</v>
      </c>
      <c r="G82" s="103" t="s">
        <v>68</v>
      </c>
      <c r="H82" s="103" t="s">
        <v>702</v>
      </c>
      <c r="I82" s="103"/>
      <c r="J82" s="89">
        <f>150/ATHENS!O1*ATHENS!O2</f>
        <v>306.12244897959187</v>
      </c>
      <c r="K82" s="89">
        <f>180/ATHENS!O1*ATHENS!O2</f>
        <v>367.34693877551024</v>
      </c>
      <c r="L82" s="89">
        <f>220/ATHENS!O1*ATHENS!O2</f>
        <v>448.9795918367347</v>
      </c>
      <c r="M82" s="89">
        <f>310/ATHENS!O1*ATHENS!O2</f>
        <v>632.65306122448976</v>
      </c>
      <c r="N82" s="89"/>
    </row>
    <row r="83" spans="1:14" x14ac:dyDescent="0.2">
      <c r="A83" s="105"/>
      <c r="B83" s="443" t="s">
        <v>67</v>
      </c>
      <c r="C83" s="443"/>
      <c r="D83" s="443"/>
      <c r="E83" s="99"/>
      <c r="F83" s="99" t="s">
        <v>1181</v>
      </c>
      <c r="G83" s="99" t="s">
        <v>68</v>
      </c>
      <c r="H83" s="99" t="s">
        <v>702</v>
      </c>
      <c r="I83" s="99"/>
      <c r="J83" s="89">
        <f>75/ATHENS!O1*ATHENS!O2</f>
        <v>153.06122448979593</v>
      </c>
      <c r="K83" s="89">
        <f>90/ATHENS!O1*ATHENS!O2</f>
        <v>183.67346938775512</v>
      </c>
      <c r="L83" s="89">
        <f>110/ATHENS!O1*ATHENS!O2</f>
        <v>224.48979591836735</v>
      </c>
      <c r="M83" s="89">
        <f>155/ATHENS!O1*ATHENS!O2</f>
        <v>316.32653061224488</v>
      </c>
      <c r="N83" s="89"/>
    </row>
    <row r="84" spans="1:14" x14ac:dyDescent="0.2">
      <c r="A84" s="105"/>
      <c r="B84" s="443" t="s">
        <v>1446</v>
      </c>
      <c r="C84" s="443"/>
      <c r="D84" s="443"/>
      <c r="E84" s="99"/>
      <c r="F84" s="99"/>
      <c r="G84" s="99"/>
      <c r="H84" s="99" t="s">
        <v>702</v>
      </c>
      <c r="I84" s="99"/>
      <c r="J84" s="89">
        <f>50/ATHENS!O1*ATHENS!O2</f>
        <v>102.04081632653062</v>
      </c>
      <c r="K84" s="89">
        <f>50/ATHENS!O1*ATHENS!O2</f>
        <v>102.04081632653062</v>
      </c>
      <c r="L84" s="89">
        <f>50/ATHENS!O1*ATHENS!O2</f>
        <v>102.04081632653062</v>
      </c>
      <c r="M84" s="89">
        <f>50/ATHENS!O1*ATHENS!O2</f>
        <v>102.04081632653062</v>
      </c>
      <c r="N84" s="89"/>
    </row>
    <row r="85" spans="1:14" ht="13.5" thickBot="1" x14ac:dyDescent="0.25">
      <c r="A85" s="108"/>
      <c r="B85" s="436"/>
      <c r="C85" s="436"/>
      <c r="D85" s="436"/>
      <c r="E85" s="110"/>
      <c r="F85" s="110"/>
      <c r="G85" s="110"/>
      <c r="H85" s="110"/>
      <c r="I85" s="110"/>
      <c r="J85" s="94"/>
      <c r="K85" s="94"/>
      <c r="L85" s="94"/>
      <c r="M85" s="94"/>
      <c r="N85" s="94"/>
    </row>
    <row r="86" spans="1:14" x14ac:dyDescent="0.2">
      <c r="A86" s="97"/>
      <c r="B86" s="98"/>
      <c r="C86" s="98"/>
      <c r="D86" s="98"/>
      <c r="E86" s="99"/>
      <c r="F86" s="99"/>
      <c r="G86" s="99"/>
      <c r="H86" s="99"/>
      <c r="I86" s="99"/>
      <c r="J86" s="99"/>
      <c r="K86" s="99"/>
      <c r="L86" s="99"/>
      <c r="M86" s="99"/>
      <c r="N86" s="99"/>
    </row>
    <row r="87" spans="1:14" x14ac:dyDescent="0.2">
      <c r="A87" s="97"/>
      <c r="B87" s="98"/>
      <c r="C87" s="98"/>
      <c r="D87" s="98"/>
      <c r="E87" s="99"/>
      <c r="F87" s="99"/>
      <c r="G87" s="99"/>
      <c r="H87" s="99"/>
      <c r="I87" s="99"/>
      <c r="J87" s="99"/>
      <c r="K87" s="99"/>
      <c r="L87" s="99"/>
      <c r="M87" s="99"/>
      <c r="N87" s="99"/>
    </row>
    <row r="88" spans="1:14" x14ac:dyDescent="0.2">
      <c r="A88" s="97"/>
      <c r="B88" s="98"/>
      <c r="C88" s="98"/>
      <c r="D88" s="98"/>
      <c r="E88" s="99"/>
      <c r="F88" s="99"/>
      <c r="G88" s="99"/>
      <c r="H88" s="99"/>
      <c r="I88" s="99"/>
      <c r="J88" s="99"/>
      <c r="K88" s="99"/>
      <c r="L88" s="99"/>
      <c r="M88" s="99"/>
      <c r="N88" s="99"/>
    </row>
    <row r="89" spans="1:14" x14ac:dyDescent="0.2">
      <c r="A89" s="97"/>
      <c r="B89" s="98"/>
      <c r="C89" s="98"/>
      <c r="D89" s="98"/>
      <c r="E89" s="99"/>
      <c r="F89" s="99"/>
      <c r="G89" s="99"/>
      <c r="H89" s="99"/>
      <c r="I89" s="99"/>
      <c r="J89" s="99"/>
      <c r="K89" s="99"/>
      <c r="L89" s="99"/>
      <c r="M89" s="99"/>
      <c r="N89" s="99"/>
    </row>
    <row r="90" spans="1:14" x14ac:dyDescent="0.2">
      <c r="A90" s="97"/>
      <c r="B90" s="98"/>
      <c r="C90" s="98"/>
      <c r="D90" s="98"/>
      <c r="E90" s="99"/>
      <c r="F90" s="99"/>
      <c r="G90" s="99"/>
      <c r="H90" s="99"/>
      <c r="I90" s="99"/>
      <c r="J90" s="99"/>
      <c r="K90" s="99"/>
      <c r="L90" s="99"/>
      <c r="M90" s="99"/>
      <c r="N90" s="99"/>
    </row>
    <row r="91" spans="1:14" x14ac:dyDescent="0.2">
      <c r="A91" s="97"/>
      <c r="B91" s="98"/>
      <c r="C91" s="98"/>
      <c r="D91" s="98"/>
      <c r="E91" s="99"/>
      <c r="F91" s="99"/>
      <c r="G91" s="99"/>
      <c r="H91" s="99"/>
      <c r="I91" s="99"/>
      <c r="J91" s="99"/>
      <c r="K91" s="99"/>
      <c r="L91" s="99"/>
      <c r="M91" s="99"/>
      <c r="N91" s="99"/>
    </row>
    <row r="92" spans="1:14" x14ac:dyDescent="0.2">
      <c r="A92" s="97"/>
      <c r="B92" s="98"/>
      <c r="C92" s="98"/>
      <c r="D92" s="98"/>
      <c r="E92" s="99"/>
      <c r="F92" s="99"/>
      <c r="G92" s="99"/>
      <c r="H92" s="99"/>
      <c r="I92" s="99"/>
      <c r="J92" s="99"/>
      <c r="K92" s="99"/>
      <c r="L92" s="99"/>
      <c r="M92" s="99"/>
      <c r="N92" s="99"/>
    </row>
    <row r="93" spans="1:14" x14ac:dyDescent="0.2">
      <c r="A93" s="97"/>
      <c r="B93" s="98"/>
      <c r="C93" s="98"/>
      <c r="D93" s="98"/>
      <c r="E93" s="99"/>
      <c r="F93" s="99"/>
      <c r="G93" s="99"/>
      <c r="H93" s="99"/>
      <c r="I93" s="99"/>
      <c r="J93" s="99"/>
      <c r="K93" s="99"/>
      <c r="L93" s="99"/>
      <c r="M93" s="99"/>
      <c r="N93" s="99"/>
    </row>
    <row r="94" spans="1:14" x14ac:dyDescent="0.2">
      <c r="A94" s="97"/>
      <c r="B94" s="98"/>
      <c r="C94" s="98"/>
      <c r="D94" s="98"/>
      <c r="E94" s="99"/>
      <c r="F94" s="99"/>
      <c r="G94" s="99"/>
      <c r="H94" s="99"/>
      <c r="I94" s="99"/>
      <c r="J94" s="99"/>
      <c r="K94" s="99"/>
      <c r="L94" s="99"/>
      <c r="M94" s="99"/>
      <c r="N94" s="99"/>
    </row>
    <row r="95" spans="1:14" x14ac:dyDescent="0.2">
      <c r="A95" s="97"/>
      <c r="B95" s="98"/>
      <c r="C95" s="98"/>
      <c r="D95" s="98"/>
      <c r="E95" s="99"/>
      <c r="F95" s="99"/>
      <c r="G95" s="99"/>
      <c r="H95" s="99"/>
      <c r="I95" s="99"/>
      <c r="J95" s="99"/>
      <c r="K95" s="99"/>
      <c r="L95" s="99"/>
      <c r="M95" s="99"/>
      <c r="N95" s="99"/>
    </row>
    <row r="96" spans="1:14" x14ac:dyDescent="0.2">
      <c r="A96" s="97"/>
      <c r="B96" s="98"/>
      <c r="C96" s="98"/>
      <c r="D96" s="98"/>
      <c r="E96" s="99"/>
      <c r="F96" s="99"/>
      <c r="G96" s="99"/>
      <c r="H96" s="99"/>
      <c r="I96" s="99"/>
      <c r="J96" s="99"/>
      <c r="K96" s="99"/>
      <c r="L96" s="99"/>
      <c r="M96" s="99"/>
      <c r="N96" s="99"/>
    </row>
    <row r="97" spans="1:14" x14ac:dyDescent="0.2">
      <c r="A97" s="97"/>
      <c r="B97" s="98"/>
      <c r="C97" s="98"/>
      <c r="D97" s="98"/>
      <c r="E97" s="99"/>
      <c r="F97" s="99"/>
      <c r="G97" s="99"/>
      <c r="H97" s="99"/>
      <c r="I97" s="99"/>
      <c r="J97" s="99"/>
      <c r="K97" s="99"/>
      <c r="L97" s="99"/>
      <c r="M97" s="99"/>
      <c r="N97" s="99"/>
    </row>
    <row r="98" spans="1:14" x14ac:dyDescent="0.2">
      <c r="A98" s="97"/>
      <c r="B98" s="98"/>
      <c r="C98" s="98"/>
      <c r="D98" s="98"/>
      <c r="E98" s="99"/>
      <c r="F98" s="99"/>
      <c r="G98" s="99"/>
      <c r="H98" s="99"/>
      <c r="I98" s="99"/>
      <c r="J98" s="99"/>
      <c r="K98" s="99"/>
      <c r="L98" s="99"/>
      <c r="M98" s="99"/>
      <c r="N98" s="99"/>
    </row>
    <row r="99" spans="1:14" x14ac:dyDescent="0.2">
      <c r="A99" s="97"/>
      <c r="B99" s="98"/>
      <c r="C99" s="98"/>
      <c r="D99" s="98"/>
      <c r="E99" s="99"/>
      <c r="F99" s="99"/>
      <c r="G99" s="99"/>
      <c r="H99" s="99"/>
      <c r="I99" s="99"/>
      <c r="J99" s="99"/>
      <c r="K99" s="99"/>
      <c r="L99" s="99"/>
      <c r="M99" s="99"/>
      <c r="N99" s="99"/>
    </row>
    <row r="100" spans="1:14" x14ac:dyDescent="0.2">
      <c r="A100" s="97"/>
      <c r="B100" s="98"/>
      <c r="C100" s="98"/>
      <c r="D100" s="98"/>
      <c r="E100" s="99"/>
      <c r="F100" s="99"/>
      <c r="G100" s="99"/>
      <c r="H100" s="99"/>
      <c r="I100" s="99"/>
      <c r="J100" s="99"/>
      <c r="K100" s="99"/>
      <c r="L100" s="99"/>
      <c r="M100" s="99"/>
      <c r="N100" s="99"/>
    </row>
    <row r="101" spans="1:14" x14ac:dyDescent="0.2">
      <c r="A101" s="97"/>
      <c r="B101" s="98"/>
      <c r="C101" s="98"/>
      <c r="D101" s="98"/>
      <c r="E101" s="99"/>
      <c r="F101" s="99"/>
      <c r="G101" s="99"/>
      <c r="H101" s="99"/>
      <c r="I101" s="99"/>
      <c r="J101" s="99"/>
      <c r="K101" s="99"/>
      <c r="L101" s="99"/>
      <c r="M101" s="99"/>
      <c r="N101" s="99"/>
    </row>
    <row r="102" spans="1:14" x14ac:dyDescent="0.2">
      <c r="A102" s="97"/>
      <c r="B102" s="98"/>
      <c r="C102" s="98"/>
      <c r="D102" s="98"/>
      <c r="E102" s="99"/>
      <c r="F102" s="99"/>
      <c r="G102" s="99"/>
      <c r="H102" s="99"/>
      <c r="I102" s="99"/>
      <c r="J102" s="99"/>
      <c r="K102" s="99"/>
      <c r="L102" s="99"/>
      <c r="M102" s="99"/>
      <c r="N102" s="99"/>
    </row>
    <row r="103" spans="1:14" x14ac:dyDescent="0.2">
      <c r="A103" s="97"/>
      <c r="B103" s="98"/>
      <c r="C103" s="98"/>
      <c r="D103" s="98"/>
      <c r="E103" s="99"/>
      <c r="F103" s="99"/>
      <c r="G103" s="99"/>
      <c r="H103" s="99"/>
      <c r="I103" s="99"/>
      <c r="J103" s="99"/>
      <c r="K103" s="99"/>
      <c r="L103" s="99"/>
      <c r="M103" s="99"/>
      <c r="N103" s="99"/>
    </row>
    <row r="104" spans="1:14" x14ac:dyDescent="0.2">
      <c r="A104" s="97"/>
      <c r="B104" s="98"/>
      <c r="C104" s="98"/>
      <c r="D104" s="98"/>
      <c r="E104" s="99"/>
      <c r="F104" s="99"/>
      <c r="G104" s="99"/>
      <c r="H104" s="99"/>
      <c r="I104" s="99"/>
      <c r="J104" s="99"/>
      <c r="K104" s="99"/>
      <c r="L104" s="99"/>
      <c r="M104" s="99"/>
      <c r="N104" s="99"/>
    </row>
    <row r="105" spans="1:14" x14ac:dyDescent="0.2">
      <c r="A105" s="97"/>
      <c r="B105" s="98"/>
      <c r="C105" s="98"/>
      <c r="D105" s="98"/>
      <c r="E105" s="99"/>
      <c r="F105" s="99"/>
      <c r="G105" s="99"/>
      <c r="H105" s="99"/>
      <c r="I105" s="99"/>
      <c r="J105" s="99"/>
      <c r="K105" s="99"/>
      <c r="L105" s="99"/>
      <c r="M105" s="99"/>
      <c r="N105" s="99"/>
    </row>
    <row r="106" spans="1:14" x14ac:dyDescent="0.2">
      <c r="A106" s="97"/>
      <c r="B106" s="98"/>
      <c r="C106" s="98"/>
      <c r="D106" s="98"/>
      <c r="E106" s="99"/>
      <c r="F106" s="99"/>
      <c r="G106" s="99"/>
      <c r="H106" s="99"/>
      <c r="I106" s="99"/>
      <c r="J106" s="99"/>
      <c r="K106" s="99"/>
      <c r="L106" s="99"/>
      <c r="M106" s="99"/>
      <c r="N106" s="99"/>
    </row>
    <row r="107" spans="1:14" x14ac:dyDescent="0.2">
      <c r="A107" s="97"/>
      <c r="B107" s="98"/>
      <c r="C107" s="98"/>
      <c r="D107" s="98"/>
      <c r="E107" s="99"/>
      <c r="F107" s="99"/>
      <c r="G107" s="99"/>
      <c r="H107" s="99"/>
      <c r="I107" s="99"/>
      <c r="J107" s="99"/>
      <c r="K107" s="99"/>
      <c r="L107" s="99"/>
      <c r="M107" s="99"/>
      <c r="N107" s="99"/>
    </row>
    <row r="108" spans="1:14" x14ac:dyDescent="0.2">
      <c r="A108" s="97"/>
      <c r="B108" s="98"/>
      <c r="C108" s="98"/>
      <c r="D108" s="98"/>
      <c r="E108" s="99"/>
      <c r="F108" s="99"/>
      <c r="G108" s="99"/>
      <c r="H108" s="99"/>
      <c r="I108" s="99"/>
      <c r="J108" s="99"/>
      <c r="K108" s="99"/>
      <c r="L108" s="99"/>
      <c r="M108" s="99"/>
      <c r="N108" s="99"/>
    </row>
    <row r="109" spans="1:14" x14ac:dyDescent="0.2">
      <c r="A109" s="97"/>
      <c r="B109" s="98"/>
      <c r="C109" s="98"/>
      <c r="D109" s="98"/>
      <c r="E109" s="99"/>
      <c r="F109" s="99"/>
      <c r="G109" s="99"/>
      <c r="H109" s="99"/>
      <c r="I109" s="99"/>
      <c r="J109" s="99"/>
      <c r="K109" s="99"/>
      <c r="L109" s="99"/>
      <c r="M109" s="99"/>
      <c r="N109" s="99"/>
    </row>
    <row r="110" spans="1:14" x14ac:dyDescent="0.2">
      <c r="A110" s="97"/>
      <c r="B110" s="98"/>
      <c r="C110" s="98"/>
      <c r="D110" s="98"/>
      <c r="E110" s="99"/>
      <c r="F110" s="99"/>
      <c r="G110" s="99"/>
      <c r="H110" s="99"/>
      <c r="I110" s="99"/>
      <c r="J110" s="99"/>
      <c r="K110" s="99"/>
      <c r="L110" s="99"/>
      <c r="M110" s="99"/>
      <c r="N110" s="99"/>
    </row>
    <row r="111" spans="1:14" x14ac:dyDescent="0.2">
      <c r="A111" s="97"/>
      <c r="B111" s="98"/>
      <c r="C111" s="98"/>
      <c r="D111" s="98"/>
      <c r="E111" s="99"/>
      <c r="F111" s="99"/>
      <c r="G111" s="99"/>
      <c r="H111" s="99"/>
      <c r="I111" s="99"/>
      <c r="J111" s="99"/>
      <c r="K111" s="99"/>
      <c r="L111" s="99"/>
      <c r="M111" s="99"/>
      <c r="N111" s="99"/>
    </row>
    <row r="112" spans="1:14" ht="13.5" thickBot="1" x14ac:dyDescent="0.25">
      <c r="A112" s="97"/>
      <c r="B112" s="98"/>
      <c r="C112" s="98"/>
      <c r="D112" s="98"/>
      <c r="E112" s="99"/>
      <c r="F112" s="99"/>
      <c r="G112" s="99"/>
      <c r="H112" s="99"/>
      <c r="I112" s="99"/>
      <c r="J112" s="99"/>
      <c r="K112" s="99"/>
      <c r="L112" s="99"/>
      <c r="M112" s="99"/>
      <c r="N112" s="99"/>
    </row>
    <row r="113" spans="1:14" x14ac:dyDescent="0.2">
      <c r="A113" s="101"/>
      <c r="B113" s="102"/>
      <c r="C113" s="102"/>
      <c r="D113" s="102"/>
      <c r="E113" s="103"/>
      <c r="F113" s="103"/>
      <c r="G113" s="103"/>
      <c r="H113" s="103"/>
      <c r="I113" s="103"/>
      <c r="J113" s="103"/>
      <c r="K113" s="103"/>
      <c r="L113" s="103"/>
      <c r="M113" s="103"/>
      <c r="N113" s="104"/>
    </row>
    <row r="114" spans="1:14" ht="15" x14ac:dyDescent="0.2">
      <c r="A114" s="105"/>
      <c r="B114" s="437" t="s">
        <v>1221</v>
      </c>
      <c r="C114" s="438"/>
      <c r="D114" s="438"/>
      <c r="E114" s="438"/>
      <c r="F114" s="438"/>
      <c r="G114" s="438"/>
      <c r="H114" s="438"/>
      <c r="I114" s="438"/>
      <c r="J114" s="438"/>
      <c r="K114" s="438"/>
      <c r="L114" s="438"/>
      <c r="M114" s="439"/>
      <c r="N114" s="106" t="s">
        <v>904</v>
      </c>
    </row>
    <row r="115" spans="1:14" x14ac:dyDescent="0.2">
      <c r="A115" s="105"/>
      <c r="B115" s="107" t="s">
        <v>428</v>
      </c>
      <c r="C115" s="98" t="s">
        <v>372</v>
      </c>
      <c r="D115" s="98"/>
      <c r="E115" s="99"/>
      <c r="F115" s="99"/>
      <c r="G115" s="99"/>
      <c r="H115" s="99"/>
      <c r="I115" s="99"/>
      <c r="J115" s="99"/>
      <c r="K115" s="99"/>
      <c r="L115" s="99"/>
      <c r="M115" s="99"/>
      <c r="N115" s="90"/>
    </row>
    <row r="116" spans="1:14" x14ac:dyDescent="0.2">
      <c r="A116" s="105"/>
      <c r="B116" s="107" t="s">
        <v>429</v>
      </c>
      <c r="C116" s="98" t="s">
        <v>824</v>
      </c>
      <c r="D116" s="98"/>
      <c r="E116" s="99"/>
      <c r="F116" s="99"/>
      <c r="G116" s="99"/>
      <c r="H116" s="99"/>
      <c r="I116" s="99"/>
      <c r="J116" s="99"/>
      <c r="K116" s="99"/>
      <c r="L116" s="99"/>
      <c r="M116" s="99"/>
      <c r="N116" s="90"/>
    </row>
    <row r="117" spans="1:14" x14ac:dyDescent="0.2">
      <c r="A117" s="105"/>
      <c r="B117" s="107" t="s">
        <v>427</v>
      </c>
      <c r="C117" s="444" t="s">
        <v>1388</v>
      </c>
      <c r="D117" s="444"/>
      <c r="E117" s="444"/>
      <c r="F117" s="444"/>
      <c r="G117" s="444"/>
      <c r="H117" s="444"/>
      <c r="I117" s="444"/>
      <c r="J117" s="444"/>
      <c r="K117" s="444"/>
      <c r="L117" s="444"/>
      <c r="M117" s="444"/>
      <c r="N117" s="445"/>
    </row>
    <row r="118" spans="1:14" x14ac:dyDescent="0.2">
      <c r="A118" s="105"/>
      <c r="B118" s="98"/>
      <c r="C118" s="444"/>
      <c r="D118" s="444"/>
      <c r="E118" s="444"/>
      <c r="F118" s="444"/>
      <c r="G118" s="444"/>
      <c r="H118" s="444"/>
      <c r="I118" s="444"/>
      <c r="J118" s="444"/>
      <c r="K118" s="444"/>
      <c r="L118" s="444"/>
      <c r="M118" s="444"/>
      <c r="N118" s="445"/>
    </row>
    <row r="119" spans="1:14" x14ac:dyDescent="0.2">
      <c r="A119" s="105"/>
      <c r="B119" s="98"/>
      <c r="C119" s="444"/>
      <c r="D119" s="444"/>
      <c r="E119" s="444"/>
      <c r="F119" s="444"/>
      <c r="G119" s="444"/>
      <c r="H119" s="444"/>
      <c r="I119" s="444"/>
      <c r="J119" s="444"/>
      <c r="K119" s="444"/>
      <c r="L119" s="444"/>
      <c r="M119" s="444"/>
      <c r="N119" s="445"/>
    </row>
    <row r="120" spans="1:14" x14ac:dyDescent="0.2">
      <c r="A120" s="105"/>
      <c r="B120" s="98"/>
      <c r="C120" s="446"/>
      <c r="D120" s="446"/>
      <c r="E120" s="446"/>
      <c r="F120" s="446"/>
      <c r="G120" s="446"/>
      <c r="H120" s="446"/>
      <c r="I120" s="446"/>
      <c r="J120" s="446"/>
      <c r="K120" s="446"/>
      <c r="L120" s="446"/>
      <c r="M120" s="446"/>
      <c r="N120" s="447"/>
    </row>
    <row r="121" spans="1:14" x14ac:dyDescent="0.2">
      <c r="A121" s="105"/>
      <c r="B121" s="98"/>
      <c r="C121" s="446"/>
      <c r="D121" s="446"/>
      <c r="E121" s="446"/>
      <c r="F121" s="446"/>
      <c r="G121" s="446"/>
      <c r="H121" s="446"/>
      <c r="I121" s="446"/>
      <c r="J121" s="446"/>
      <c r="K121" s="446"/>
      <c r="L121" s="446"/>
      <c r="M121" s="446"/>
      <c r="N121" s="447"/>
    </row>
    <row r="122" spans="1:14" x14ac:dyDescent="0.2">
      <c r="A122" s="105"/>
      <c r="B122" s="98"/>
      <c r="C122" s="446"/>
      <c r="D122" s="446"/>
      <c r="E122" s="446"/>
      <c r="F122" s="446"/>
      <c r="G122" s="446"/>
      <c r="H122" s="446"/>
      <c r="I122" s="446"/>
      <c r="J122" s="446"/>
      <c r="K122" s="446"/>
      <c r="L122" s="446"/>
      <c r="M122" s="446"/>
      <c r="N122" s="447"/>
    </row>
    <row r="123" spans="1:14" x14ac:dyDescent="0.2">
      <c r="A123" s="105"/>
      <c r="B123" s="107" t="s">
        <v>426</v>
      </c>
      <c r="C123" s="98" t="s">
        <v>573</v>
      </c>
      <c r="D123" s="98"/>
      <c r="E123" s="99"/>
      <c r="F123" s="99"/>
      <c r="G123" s="99"/>
      <c r="H123" s="99"/>
      <c r="I123" s="99"/>
      <c r="J123" s="99"/>
      <c r="K123" s="99"/>
      <c r="L123" s="99"/>
      <c r="M123" s="99"/>
      <c r="N123" s="90"/>
    </row>
    <row r="124" spans="1:14" x14ac:dyDescent="0.2">
      <c r="A124" s="105"/>
      <c r="B124" s="107" t="s">
        <v>430</v>
      </c>
      <c r="C124" s="449" t="s">
        <v>574</v>
      </c>
      <c r="D124" s="450"/>
      <c r="E124" s="450"/>
      <c r="F124" s="450"/>
      <c r="G124" s="450"/>
      <c r="H124" s="450"/>
      <c r="I124" s="450"/>
      <c r="J124" s="450"/>
      <c r="K124" s="450"/>
      <c r="L124" s="450"/>
      <c r="M124" s="450"/>
      <c r="N124" s="451"/>
    </row>
    <row r="125" spans="1:14" ht="13.5" thickBot="1" x14ac:dyDescent="0.25">
      <c r="A125" s="105"/>
      <c r="B125" s="107"/>
      <c r="C125" s="452"/>
      <c r="D125" s="452"/>
      <c r="E125" s="452"/>
      <c r="F125" s="452"/>
      <c r="G125" s="452"/>
      <c r="H125" s="452"/>
      <c r="I125" s="452"/>
      <c r="J125" s="452"/>
      <c r="K125" s="452"/>
      <c r="L125" s="452"/>
      <c r="M125" s="452"/>
      <c r="N125" s="453"/>
    </row>
    <row r="126" spans="1:14" x14ac:dyDescent="0.2">
      <c r="A126" s="101"/>
      <c r="B126" s="102" t="s">
        <v>263</v>
      </c>
      <c r="C126" s="102"/>
      <c r="D126" s="102"/>
      <c r="E126" s="103"/>
      <c r="F126" s="103"/>
      <c r="G126" s="103"/>
      <c r="H126" s="103"/>
      <c r="I126" s="103"/>
      <c r="J126" s="114" t="s">
        <v>1782</v>
      </c>
      <c r="K126" s="113" t="s">
        <v>1783</v>
      </c>
      <c r="L126" s="113" t="s">
        <v>167</v>
      </c>
      <c r="M126" s="113"/>
      <c r="N126" s="113"/>
    </row>
    <row r="127" spans="1:14" ht="13.5" thickBot="1" x14ac:dyDescent="0.25">
      <c r="A127" s="108"/>
      <c r="B127" s="109" t="s">
        <v>263</v>
      </c>
      <c r="C127" s="109"/>
      <c r="D127" s="109"/>
      <c r="E127" s="110"/>
      <c r="F127" s="110"/>
      <c r="G127" s="110"/>
      <c r="H127" s="110"/>
      <c r="I127" s="110"/>
      <c r="J127" s="112" t="s">
        <v>1597</v>
      </c>
      <c r="K127" s="94" t="s">
        <v>1784</v>
      </c>
      <c r="L127" s="94" t="s">
        <v>1785</v>
      </c>
      <c r="M127" s="94" t="s">
        <v>1786</v>
      </c>
      <c r="N127" s="94"/>
    </row>
    <row r="128" spans="1:14" x14ac:dyDescent="0.2">
      <c r="A128" s="105"/>
      <c r="B128" s="98" t="s">
        <v>300</v>
      </c>
      <c r="C128" s="98"/>
      <c r="D128" s="98"/>
      <c r="E128" s="99"/>
      <c r="F128" s="99" t="s">
        <v>1180</v>
      </c>
      <c r="G128" s="99" t="s">
        <v>68</v>
      </c>
      <c r="H128" s="99" t="s">
        <v>702</v>
      </c>
      <c r="I128" s="99"/>
      <c r="J128" s="89">
        <f>208/ATHENS!O1*ATHENS!O2</f>
        <v>424.48979591836735</v>
      </c>
      <c r="K128" s="89">
        <f>299/ATHENS!O1*ATHENS!O2</f>
        <v>610.20408163265313</v>
      </c>
      <c r="L128" s="89">
        <f>410/ATHENS!O1*ATHENS!O2</f>
        <v>836.73469387755108</v>
      </c>
      <c r="M128" s="89">
        <f>530/ATHENS!O1*ATHENS!O2</f>
        <v>1081.6326530612246</v>
      </c>
      <c r="N128" s="89"/>
    </row>
    <row r="129" spans="1:14" x14ac:dyDescent="0.2">
      <c r="A129" s="105"/>
      <c r="B129" s="98" t="s">
        <v>300</v>
      </c>
      <c r="C129" s="98"/>
      <c r="D129" s="98"/>
      <c r="E129" s="99"/>
      <c r="F129" s="99" t="s">
        <v>1181</v>
      </c>
      <c r="G129" s="99" t="s">
        <v>68</v>
      </c>
      <c r="H129" s="99" t="s">
        <v>702</v>
      </c>
      <c r="I129" s="99"/>
      <c r="J129" s="89">
        <f>111/ATHENS!O1*ATHENS!O2</f>
        <v>226.53061224489795</v>
      </c>
      <c r="K129" s="89">
        <f>156.5/ATHENS!O1*ATHENS!O2</f>
        <v>319.38775510204084</v>
      </c>
      <c r="L129" s="89">
        <f>212/ATHENS!O1*ATHENS!O2</f>
        <v>432.65306122448982</v>
      </c>
      <c r="M129" s="89">
        <f>272/ATHENS!O1*ATHENS!O2</f>
        <v>555.10204081632651</v>
      </c>
      <c r="N129" s="89"/>
    </row>
    <row r="130" spans="1:14" x14ac:dyDescent="0.2">
      <c r="A130" s="105"/>
      <c r="B130" s="98" t="s">
        <v>300</v>
      </c>
      <c r="C130" s="98"/>
      <c r="D130" s="98"/>
      <c r="E130" s="99"/>
      <c r="F130" s="99" t="s">
        <v>1182</v>
      </c>
      <c r="G130" s="99" t="s">
        <v>68</v>
      </c>
      <c r="H130" s="99" t="s">
        <v>702</v>
      </c>
      <c r="I130" s="99"/>
      <c r="J130" s="89">
        <f>91.6/ATHENS!O1*ATHENS!O2</f>
        <v>186.93877551020407</v>
      </c>
      <c r="K130" s="89">
        <f>133.5/ATHENS!O1*ATHENS!O2</f>
        <v>272.44897959183675</v>
      </c>
      <c r="L130" s="89">
        <f>174.5/ATHENS!O1*ATHENS!O2</f>
        <v>356.12244897959187</v>
      </c>
      <c r="M130" s="89">
        <f>221.5/ATHENS!O1*ATHENS!O2</f>
        <v>452.0408163265306</v>
      </c>
      <c r="N130" s="89"/>
    </row>
    <row r="131" spans="1:14" x14ac:dyDescent="0.2">
      <c r="A131" s="105"/>
      <c r="B131" s="443" t="s">
        <v>301</v>
      </c>
      <c r="C131" s="443"/>
      <c r="D131" s="443"/>
      <c r="E131" s="99"/>
      <c r="F131" s="99" t="s">
        <v>1180</v>
      </c>
      <c r="G131" s="99" t="s">
        <v>68</v>
      </c>
      <c r="H131" s="99" t="s">
        <v>702</v>
      </c>
      <c r="I131" s="99"/>
      <c r="J131" s="89">
        <f>150/ATHENS!O1*ATHENS!O2</f>
        <v>306.12244897959187</v>
      </c>
      <c r="K131" s="89">
        <f>226/ATHENS!O1*ATHENS!O2</f>
        <v>461.22448979591837</v>
      </c>
      <c r="L131" s="89">
        <f>305/ATHENS!O1*ATHENS!O2</f>
        <v>622.44897959183675</v>
      </c>
      <c r="M131" s="89">
        <f>412/ATHENS!O1*ATHENS!O2</f>
        <v>840.81632653061229</v>
      </c>
      <c r="N131" s="89"/>
    </row>
    <row r="132" spans="1:14" x14ac:dyDescent="0.2">
      <c r="A132" s="105"/>
      <c r="B132" s="443" t="s">
        <v>301</v>
      </c>
      <c r="C132" s="443"/>
      <c r="D132" s="443"/>
      <c r="E132" s="99"/>
      <c r="F132" s="99" t="s">
        <v>1181</v>
      </c>
      <c r="G132" s="99" t="s">
        <v>68</v>
      </c>
      <c r="H132" s="99" t="s">
        <v>702</v>
      </c>
      <c r="I132" s="99"/>
      <c r="J132" s="89">
        <f>82/ATHENS!O1*ATHENS!O2</f>
        <v>167.34693877551021</v>
      </c>
      <c r="K132" s="89">
        <f>120/ATHENS!O1*ATHENS!O2</f>
        <v>244.89795918367346</v>
      </c>
      <c r="L132" s="89">
        <f>159.5/ATHENS!O1*ATHENS!O2</f>
        <v>325.51020408163265</v>
      </c>
      <c r="M132" s="89">
        <f>213/ATHENS!O1*ATHENS!O2</f>
        <v>434.69387755102042</v>
      </c>
      <c r="N132" s="89"/>
    </row>
    <row r="133" spans="1:14" x14ac:dyDescent="0.2">
      <c r="A133" s="105"/>
      <c r="B133" s="443" t="s">
        <v>301</v>
      </c>
      <c r="C133" s="443"/>
      <c r="D133" s="443"/>
      <c r="E133" s="99"/>
      <c r="F133" s="99" t="s">
        <v>1182</v>
      </c>
      <c r="G133" s="99" t="s">
        <v>68</v>
      </c>
      <c r="H133" s="99" t="s">
        <v>702</v>
      </c>
      <c r="I133" s="99"/>
      <c r="J133" s="89">
        <f>69.5/ATHENS!O1*ATHENS!O2</f>
        <v>141.83673469387756</v>
      </c>
      <c r="K133" s="89">
        <f>104.5/ATHENS!O1*ATHENS!O2</f>
        <v>213.26530612244898</v>
      </c>
      <c r="L133" s="89">
        <f>138/ATHENS!O1*ATHENS!O2</f>
        <v>281.63265306122452</v>
      </c>
      <c r="M133" s="89">
        <f>181/ATHENS!O1*ATHENS!O2</f>
        <v>369.38775510204084</v>
      </c>
      <c r="N133" s="89"/>
    </row>
    <row r="134" spans="1:14" ht="13.5" thickBot="1" x14ac:dyDescent="0.25">
      <c r="A134" s="108"/>
      <c r="B134" s="436" t="s">
        <v>902</v>
      </c>
      <c r="C134" s="436"/>
      <c r="D134" s="436"/>
      <c r="E134" s="110"/>
      <c r="F134" s="110"/>
      <c r="G134" s="110"/>
      <c r="H134" s="110" t="s">
        <v>702</v>
      </c>
      <c r="I134" s="110"/>
      <c r="J134" s="94">
        <f>47/ATHENS!O1*ATHENS!O2</f>
        <v>95.91836734693878</v>
      </c>
      <c r="K134" s="94">
        <f>47/ATHENS!O1*ATHENS!O2</f>
        <v>95.91836734693878</v>
      </c>
      <c r="L134" s="94">
        <f>47/ATHENS!O1*ATHENS!O2</f>
        <v>95.91836734693878</v>
      </c>
      <c r="M134" s="94">
        <f>47/ATHENS!O1*ATHENS!O2</f>
        <v>95.91836734693878</v>
      </c>
      <c r="N134" s="94"/>
    </row>
    <row r="135" spans="1:14" x14ac:dyDescent="0.2">
      <c r="A135" s="97"/>
      <c r="B135" s="98"/>
      <c r="C135" s="98"/>
      <c r="D135" s="98"/>
      <c r="E135" s="99"/>
      <c r="F135" s="99"/>
      <c r="G135" s="99"/>
      <c r="H135" s="99"/>
      <c r="I135" s="99"/>
      <c r="J135" s="99"/>
      <c r="K135" s="99"/>
      <c r="L135" s="99"/>
      <c r="M135" s="99"/>
      <c r="N135" s="99"/>
    </row>
    <row r="136" spans="1:14" ht="13.5" thickBot="1" x14ac:dyDescent="0.25">
      <c r="A136" s="97"/>
      <c r="B136" s="98"/>
      <c r="C136" s="98"/>
      <c r="D136" s="98"/>
      <c r="E136" s="99"/>
      <c r="F136" s="99"/>
      <c r="G136" s="99"/>
      <c r="H136" s="99"/>
      <c r="I136" s="99"/>
      <c r="J136" s="99"/>
      <c r="K136" s="99"/>
      <c r="L136" s="99"/>
      <c r="M136" s="99"/>
      <c r="N136" s="99"/>
    </row>
    <row r="137" spans="1:14" x14ac:dyDescent="0.2">
      <c r="A137" s="101"/>
      <c r="B137" s="102"/>
      <c r="C137" s="102"/>
      <c r="D137" s="102"/>
      <c r="E137" s="103"/>
      <c r="F137" s="103"/>
      <c r="G137" s="103"/>
      <c r="H137" s="103"/>
      <c r="I137" s="103"/>
      <c r="J137" s="103"/>
      <c r="K137" s="103"/>
      <c r="L137" s="103"/>
      <c r="M137" s="103"/>
      <c r="N137" s="104"/>
    </row>
    <row r="138" spans="1:14" ht="15" x14ac:dyDescent="0.2">
      <c r="A138" s="105"/>
      <c r="B138" s="437" t="s">
        <v>744</v>
      </c>
      <c r="C138" s="438"/>
      <c r="D138" s="438"/>
      <c r="E138" s="438"/>
      <c r="F138" s="438"/>
      <c r="G138" s="438"/>
      <c r="H138" s="438"/>
      <c r="I138" s="438"/>
      <c r="J138" s="438"/>
      <c r="K138" s="438"/>
      <c r="L138" s="438"/>
      <c r="M138" s="439"/>
      <c r="N138" s="106" t="s">
        <v>904</v>
      </c>
    </row>
    <row r="139" spans="1:14" x14ac:dyDescent="0.2">
      <c r="A139" s="105"/>
      <c r="B139" s="107" t="s">
        <v>428</v>
      </c>
      <c r="C139" s="98" t="s">
        <v>130</v>
      </c>
      <c r="D139" s="98"/>
      <c r="E139" s="99"/>
      <c r="F139" s="99"/>
      <c r="G139" s="99"/>
      <c r="H139" s="99"/>
      <c r="I139" s="99"/>
      <c r="J139" s="99"/>
      <c r="K139" s="99"/>
      <c r="L139" s="99"/>
      <c r="M139" s="99"/>
      <c r="N139" s="90"/>
    </row>
    <row r="140" spans="1:14" x14ac:dyDescent="0.2">
      <c r="A140" s="105"/>
      <c r="B140" s="107" t="s">
        <v>429</v>
      </c>
      <c r="C140" s="98" t="s">
        <v>825</v>
      </c>
      <c r="D140" s="98"/>
      <c r="E140" s="99"/>
      <c r="F140" s="99"/>
      <c r="G140" s="99"/>
      <c r="H140" s="99"/>
      <c r="I140" s="99"/>
      <c r="J140" s="99"/>
      <c r="K140" s="99"/>
      <c r="L140" s="99"/>
      <c r="M140" s="99"/>
      <c r="N140" s="90"/>
    </row>
    <row r="141" spans="1:14" x14ac:dyDescent="0.2">
      <c r="A141" s="105"/>
      <c r="B141" s="107" t="s">
        <v>427</v>
      </c>
      <c r="C141" s="444" t="s">
        <v>1311</v>
      </c>
      <c r="D141" s="444"/>
      <c r="E141" s="444"/>
      <c r="F141" s="444"/>
      <c r="G141" s="444"/>
      <c r="H141" s="444"/>
      <c r="I141" s="444"/>
      <c r="J141" s="444"/>
      <c r="K141" s="444"/>
      <c r="L141" s="444"/>
      <c r="M141" s="444"/>
      <c r="N141" s="445"/>
    </row>
    <row r="142" spans="1:14" x14ac:dyDescent="0.2">
      <c r="A142" s="105"/>
      <c r="B142" s="98"/>
      <c r="C142" s="444"/>
      <c r="D142" s="444"/>
      <c r="E142" s="444"/>
      <c r="F142" s="444"/>
      <c r="G142" s="444"/>
      <c r="H142" s="444"/>
      <c r="I142" s="444"/>
      <c r="J142" s="444"/>
      <c r="K142" s="444"/>
      <c r="L142" s="444"/>
      <c r="M142" s="444"/>
      <c r="N142" s="445"/>
    </row>
    <row r="143" spans="1:14" x14ac:dyDescent="0.2">
      <c r="A143" s="105"/>
      <c r="B143" s="98"/>
      <c r="C143" s="444"/>
      <c r="D143" s="444"/>
      <c r="E143" s="444"/>
      <c r="F143" s="444"/>
      <c r="G143" s="444"/>
      <c r="H143" s="444"/>
      <c r="I143" s="444"/>
      <c r="J143" s="444"/>
      <c r="K143" s="444"/>
      <c r="L143" s="444"/>
      <c r="M143" s="444"/>
      <c r="N143" s="445"/>
    </row>
    <row r="144" spans="1:14" x14ac:dyDescent="0.2">
      <c r="A144" s="105"/>
      <c r="B144" s="98"/>
      <c r="C144" s="446"/>
      <c r="D144" s="446"/>
      <c r="E144" s="446"/>
      <c r="F144" s="446"/>
      <c r="G144" s="446"/>
      <c r="H144" s="446"/>
      <c r="I144" s="446"/>
      <c r="J144" s="446"/>
      <c r="K144" s="446"/>
      <c r="L144" s="446"/>
      <c r="M144" s="446"/>
      <c r="N144" s="447"/>
    </row>
    <row r="145" spans="1:14" x14ac:dyDescent="0.2">
      <c r="A145" s="105"/>
      <c r="B145" s="98"/>
      <c r="C145" s="446"/>
      <c r="D145" s="446"/>
      <c r="E145" s="446"/>
      <c r="F145" s="446"/>
      <c r="G145" s="446"/>
      <c r="H145" s="446"/>
      <c r="I145" s="446"/>
      <c r="J145" s="446"/>
      <c r="K145" s="446"/>
      <c r="L145" s="446"/>
      <c r="M145" s="446"/>
      <c r="N145" s="447"/>
    </row>
    <row r="146" spans="1:14" ht="13.5" thickBot="1" x14ac:dyDescent="0.25">
      <c r="A146" s="105"/>
      <c r="B146" s="107" t="s">
        <v>426</v>
      </c>
      <c r="C146" s="98" t="s">
        <v>775</v>
      </c>
      <c r="D146" s="98"/>
      <c r="E146" s="99"/>
      <c r="F146" s="99"/>
      <c r="G146" s="99"/>
      <c r="H146" s="99"/>
      <c r="I146" s="99"/>
      <c r="J146" s="99"/>
      <c r="K146" s="99"/>
      <c r="L146" s="99"/>
      <c r="M146" s="99"/>
      <c r="N146" s="90"/>
    </row>
    <row r="147" spans="1:14" x14ac:dyDescent="0.2">
      <c r="A147" s="101"/>
      <c r="B147" s="102" t="s">
        <v>263</v>
      </c>
      <c r="C147" s="102"/>
      <c r="D147" s="102"/>
      <c r="E147" s="103"/>
      <c r="F147" s="103"/>
      <c r="G147" s="103"/>
      <c r="H147" s="103"/>
      <c r="I147" s="103"/>
      <c r="J147" s="114" t="s">
        <v>1949</v>
      </c>
      <c r="K147" s="113" t="s">
        <v>1951</v>
      </c>
      <c r="L147" s="113"/>
      <c r="N147" s="113"/>
    </row>
    <row r="148" spans="1:14" ht="13.5" thickBot="1" x14ac:dyDescent="0.25">
      <c r="A148" s="108"/>
      <c r="B148" s="98"/>
      <c r="C148" s="109"/>
      <c r="D148" s="109"/>
      <c r="E148" s="110"/>
      <c r="F148" s="110"/>
      <c r="G148" s="110"/>
      <c r="H148" s="110"/>
      <c r="I148" s="110"/>
      <c r="J148" s="112" t="s">
        <v>1950</v>
      </c>
      <c r="K148" s="94" t="s">
        <v>1387</v>
      </c>
      <c r="L148" s="94" t="s">
        <v>1952</v>
      </c>
      <c r="N148" s="94"/>
    </row>
    <row r="149" spans="1:14" x14ac:dyDescent="0.2">
      <c r="A149" s="101"/>
      <c r="B149" s="448" t="s">
        <v>901</v>
      </c>
      <c r="C149" s="448"/>
      <c r="D149" s="448"/>
      <c r="E149" s="103"/>
      <c r="F149" s="103" t="s">
        <v>518</v>
      </c>
      <c r="G149" s="103" t="s">
        <v>68</v>
      </c>
      <c r="H149" s="103" t="s">
        <v>702</v>
      </c>
      <c r="I149" s="103"/>
      <c r="J149" s="89">
        <f>157.5/ATHENS!O1*ATHENS!O2</f>
        <v>321.42857142857144</v>
      </c>
      <c r="K149" s="89">
        <f>215/ATHENS!O1*ATHENS!O2</f>
        <v>438.77551020408163</v>
      </c>
      <c r="L149" s="89">
        <f>265/ATHENS!O1*ATHENS!O2</f>
        <v>540.81632653061229</v>
      </c>
      <c r="M149" s="89"/>
      <c r="N149" s="113"/>
    </row>
    <row r="150" spans="1:14" x14ac:dyDescent="0.2">
      <c r="A150" s="105"/>
      <c r="B150" s="98" t="s">
        <v>901</v>
      </c>
      <c r="C150" s="98"/>
      <c r="D150" s="98"/>
      <c r="E150" s="99"/>
      <c r="F150" s="99" t="s">
        <v>705</v>
      </c>
      <c r="G150" s="99" t="s">
        <v>68</v>
      </c>
      <c r="H150" s="99" t="s">
        <v>702</v>
      </c>
      <c r="I150" s="99"/>
      <c r="J150" s="89">
        <f>105/ATHENS!O1*ATHENS!O2</f>
        <v>214.28571428571428</v>
      </c>
      <c r="K150" s="89">
        <f>143.5/ATHENS!O1*ATHENS!O2</f>
        <v>292.85714285714289</v>
      </c>
      <c r="L150" s="89">
        <f>176.6/ATHENS!O1*ATHENS!O2</f>
        <v>360.40816326530614</v>
      </c>
      <c r="M150" s="89"/>
      <c r="N150" s="89"/>
    </row>
    <row r="151" spans="1:14" x14ac:dyDescent="0.2">
      <c r="A151" s="105"/>
      <c r="B151" s="443" t="s">
        <v>760</v>
      </c>
      <c r="C151" s="443"/>
      <c r="D151" s="443"/>
      <c r="E151" s="99"/>
      <c r="F151" s="99" t="s">
        <v>1180</v>
      </c>
      <c r="G151" s="99" t="s">
        <v>68</v>
      </c>
      <c r="H151" s="99" t="s">
        <v>702</v>
      </c>
      <c r="I151" s="99"/>
      <c r="J151" s="89">
        <f>227/ATHENS!O1*ATHENS!O2</f>
        <v>463.26530612244898</v>
      </c>
      <c r="K151" s="89">
        <f>315/ATHENS!O1*ATHENS!O2</f>
        <v>642.85714285714289</v>
      </c>
      <c r="L151" s="89">
        <f>430/ATHENS!O1*ATHENS!O2</f>
        <v>877.55102040816325</v>
      </c>
      <c r="M151" s="89"/>
      <c r="N151" s="89"/>
    </row>
    <row r="152" spans="1:14" x14ac:dyDescent="0.2">
      <c r="A152" s="105"/>
      <c r="B152" s="443" t="s">
        <v>760</v>
      </c>
      <c r="C152" s="443"/>
      <c r="D152" s="443"/>
      <c r="E152" s="99"/>
      <c r="F152" s="99" t="s">
        <v>1181</v>
      </c>
      <c r="G152" s="99" t="s">
        <v>68</v>
      </c>
      <c r="H152" s="99" t="s">
        <v>702</v>
      </c>
      <c r="I152" s="99"/>
      <c r="J152" s="89">
        <f>113.5/ATHENS!O1*ATHENS!O2</f>
        <v>231.63265306122449</v>
      </c>
      <c r="K152" s="89">
        <f>157.5/ATHENS!O1*ATHENS!O2</f>
        <v>321.42857142857144</v>
      </c>
      <c r="L152" s="89">
        <f>215/ATHENS!O1*ATHENS!O2</f>
        <v>438.77551020408163</v>
      </c>
      <c r="M152" s="89"/>
      <c r="N152" s="89"/>
    </row>
    <row r="153" spans="1:14" x14ac:dyDescent="0.2">
      <c r="A153" s="105"/>
      <c r="B153" s="443" t="s">
        <v>760</v>
      </c>
      <c r="C153" s="443"/>
      <c r="D153" s="443"/>
      <c r="E153" s="99"/>
      <c r="F153" s="99" t="s">
        <v>1182</v>
      </c>
      <c r="G153" s="99" t="s">
        <v>68</v>
      </c>
      <c r="H153" s="99" t="s">
        <v>702</v>
      </c>
      <c r="I153" s="99"/>
      <c r="J153" s="89">
        <f>75.6/ATHENS!O1*ATHENS!O2</f>
        <v>154.28571428571428</v>
      </c>
      <c r="K153" s="89">
        <f>105/ATHENS!O1*ATHENS!O2</f>
        <v>214.28571428571428</v>
      </c>
      <c r="L153" s="89">
        <f>143.5/ATHENS!O1*ATHENS!O2</f>
        <v>292.85714285714289</v>
      </c>
      <c r="M153" s="89"/>
      <c r="N153" s="89"/>
    </row>
    <row r="154" spans="1:14" x14ac:dyDescent="0.2">
      <c r="A154" s="105"/>
      <c r="B154" s="443" t="s">
        <v>67</v>
      </c>
      <c r="C154" s="443"/>
      <c r="D154" s="443"/>
      <c r="E154" s="99"/>
      <c r="F154" s="99" t="s">
        <v>1180</v>
      </c>
      <c r="G154" s="99" t="s">
        <v>68</v>
      </c>
      <c r="H154" s="99" t="s">
        <v>702</v>
      </c>
      <c r="I154" s="99"/>
      <c r="J154" s="89">
        <f>152/ATHENS!O1*ATHENS!O2</f>
        <v>310.20408163265307</v>
      </c>
      <c r="K154" s="89">
        <f>230/ATHENS!O1*ATHENS!O2</f>
        <v>469.38775510204084</v>
      </c>
      <c r="L154" s="89">
        <f>330/ATHENS!O1*ATHENS!O2</f>
        <v>673.46938775510205</v>
      </c>
      <c r="M154" s="89"/>
      <c r="N154" s="89"/>
    </row>
    <row r="155" spans="1:14" x14ac:dyDescent="0.2">
      <c r="A155" s="105"/>
      <c r="B155" s="443" t="s">
        <v>67</v>
      </c>
      <c r="C155" s="443"/>
      <c r="D155" s="443"/>
      <c r="E155" s="99"/>
      <c r="F155" s="99" t="s">
        <v>1181</v>
      </c>
      <c r="G155" s="99" t="s">
        <v>68</v>
      </c>
      <c r="H155" s="99" t="s">
        <v>702</v>
      </c>
      <c r="I155" s="99"/>
      <c r="J155" s="89">
        <f>68/ATHENS!O1*ATHENS!O2</f>
        <v>138.77551020408163</v>
      </c>
      <c r="K155" s="89">
        <f>96.5/ATHENS!O1*ATHENS!O2</f>
        <v>196.9387755102041</v>
      </c>
      <c r="L155" s="89">
        <f>140/ATHENS!O1*ATHENS!O2</f>
        <v>285.71428571428572</v>
      </c>
      <c r="M155" s="89"/>
      <c r="N155" s="89"/>
    </row>
    <row r="156" spans="1:14" x14ac:dyDescent="0.2">
      <c r="A156" s="105"/>
      <c r="B156" s="443" t="s">
        <v>67</v>
      </c>
      <c r="C156" s="443"/>
      <c r="D156" s="443"/>
      <c r="E156" s="99"/>
      <c r="F156" s="99" t="s">
        <v>1182</v>
      </c>
      <c r="G156" s="99" t="s">
        <v>68</v>
      </c>
      <c r="H156" s="99" t="s">
        <v>702</v>
      </c>
      <c r="I156" s="99"/>
      <c r="J156" s="89">
        <f>66/ATHENS!O1*ATHENS!O2</f>
        <v>134.69387755102042</v>
      </c>
      <c r="K156" s="89">
        <f>94.5/ATHENS!O1*ATHENS!O2</f>
        <v>192.85714285714286</v>
      </c>
      <c r="L156" s="89">
        <f>128.5/ATHENS!O1*ATHENS!O2</f>
        <v>262.24489795918367</v>
      </c>
      <c r="M156" s="89"/>
      <c r="N156" s="89"/>
    </row>
    <row r="157" spans="1:14" ht="13.5" thickBot="1" x14ac:dyDescent="0.25">
      <c r="A157" s="108"/>
      <c r="B157" s="436" t="s">
        <v>902</v>
      </c>
      <c r="C157" s="436"/>
      <c r="D157" s="436"/>
      <c r="E157" s="110"/>
      <c r="F157" s="110"/>
      <c r="G157" s="110"/>
      <c r="H157" s="110" t="s">
        <v>702</v>
      </c>
      <c r="I157" s="110"/>
      <c r="J157" s="94">
        <f>50/ATHENS!O1*ATHENS!O2</f>
        <v>102.04081632653062</v>
      </c>
      <c r="K157" s="94">
        <f>50/ATHENS!O1*ATHENS!O2</f>
        <v>102.04081632653062</v>
      </c>
      <c r="L157" s="94">
        <f>50/ATHENS!O1*ATHENS!O2</f>
        <v>102.04081632653062</v>
      </c>
      <c r="M157" s="94"/>
      <c r="N157" s="94"/>
    </row>
    <row r="158" spans="1:14" x14ac:dyDescent="0.2">
      <c r="A158" s="97"/>
      <c r="B158" s="98"/>
      <c r="C158" s="98"/>
      <c r="D158" s="98"/>
      <c r="E158" s="99"/>
      <c r="F158" s="99"/>
      <c r="G158" s="99"/>
      <c r="H158" s="99"/>
      <c r="I158" s="99"/>
      <c r="J158" s="99"/>
      <c r="K158" s="99"/>
      <c r="L158" s="99"/>
      <c r="M158" s="99"/>
      <c r="N158" s="99"/>
    </row>
    <row r="159" spans="1:14" x14ac:dyDescent="0.2">
      <c r="A159" s="97"/>
      <c r="B159" s="98"/>
      <c r="C159" s="98"/>
      <c r="D159" s="98"/>
      <c r="E159" s="99"/>
      <c r="F159" s="99"/>
      <c r="G159" s="99"/>
      <c r="H159" s="99"/>
      <c r="I159" s="99"/>
      <c r="J159" s="99"/>
      <c r="K159" s="99"/>
      <c r="L159" s="99"/>
      <c r="M159" s="99"/>
      <c r="N159" s="99"/>
    </row>
    <row r="160" spans="1:14" x14ac:dyDescent="0.2">
      <c r="A160" s="97"/>
      <c r="B160" s="98"/>
      <c r="C160" s="98"/>
      <c r="D160" s="98"/>
      <c r="E160" s="99"/>
      <c r="F160" s="99"/>
      <c r="G160" s="99"/>
      <c r="H160" s="99"/>
      <c r="I160" s="99"/>
      <c r="J160" s="99"/>
      <c r="K160" s="99"/>
      <c r="L160" s="99"/>
      <c r="M160" s="99"/>
      <c r="N160" s="99"/>
    </row>
    <row r="161" spans="1:14" x14ac:dyDescent="0.2">
      <c r="A161" s="97"/>
      <c r="B161" s="98"/>
      <c r="C161" s="98"/>
      <c r="D161" s="98"/>
      <c r="E161" s="99"/>
      <c r="F161" s="99"/>
      <c r="G161" s="99"/>
      <c r="H161" s="99"/>
      <c r="I161" s="99"/>
      <c r="J161" s="99"/>
      <c r="K161" s="99"/>
      <c r="L161" s="99"/>
      <c r="M161" s="99"/>
      <c r="N161" s="99"/>
    </row>
    <row r="162" spans="1:14" x14ac:dyDescent="0.2">
      <c r="A162" s="97"/>
      <c r="B162" s="98"/>
      <c r="C162" s="98"/>
      <c r="D162" s="98"/>
      <c r="E162" s="99"/>
      <c r="F162" s="99"/>
      <c r="G162" s="99"/>
      <c r="H162" s="99"/>
      <c r="I162" s="99"/>
      <c r="J162" s="99"/>
      <c r="K162" s="99"/>
      <c r="L162" s="99"/>
      <c r="M162" s="99"/>
      <c r="N162" s="99"/>
    </row>
    <row r="163" spans="1:14" x14ac:dyDescent="0.2">
      <c r="A163" s="97"/>
      <c r="B163" s="98"/>
      <c r="C163" s="98"/>
      <c r="D163" s="98"/>
      <c r="E163" s="99"/>
      <c r="F163" s="99"/>
      <c r="G163" s="99"/>
      <c r="H163" s="99"/>
      <c r="I163" s="99"/>
      <c r="J163" s="99"/>
      <c r="K163" s="99"/>
      <c r="L163" s="99"/>
      <c r="M163" s="99"/>
      <c r="N163" s="99"/>
    </row>
    <row r="164" spans="1:14" x14ac:dyDescent="0.2">
      <c r="A164" s="97"/>
      <c r="B164" s="98"/>
      <c r="C164" s="98"/>
      <c r="D164" s="98"/>
      <c r="E164" s="99"/>
      <c r="F164" s="99"/>
      <c r="G164" s="99"/>
      <c r="H164" s="99"/>
      <c r="I164" s="99"/>
      <c r="J164" s="99"/>
      <c r="K164" s="99"/>
      <c r="L164" s="99"/>
      <c r="M164" s="99"/>
      <c r="N164" s="99"/>
    </row>
    <row r="165" spans="1:14" x14ac:dyDescent="0.2">
      <c r="A165" s="97"/>
      <c r="B165" s="98"/>
      <c r="C165" s="98"/>
      <c r="D165" s="98"/>
      <c r="E165" s="99"/>
      <c r="F165" s="99"/>
      <c r="G165" s="99"/>
      <c r="H165" s="99"/>
      <c r="I165" s="99"/>
      <c r="J165" s="99"/>
      <c r="K165" s="99"/>
      <c r="L165" s="99"/>
      <c r="M165" s="99"/>
      <c r="N165" s="99"/>
    </row>
    <row r="166" spans="1:14" x14ac:dyDescent="0.2">
      <c r="A166" s="97"/>
      <c r="B166" s="98"/>
      <c r="C166" s="98"/>
      <c r="D166" s="98"/>
      <c r="E166" s="99"/>
      <c r="F166" s="99"/>
      <c r="G166" s="99"/>
      <c r="H166" s="99"/>
      <c r="I166" s="99"/>
      <c r="J166" s="99"/>
      <c r="K166" s="99"/>
      <c r="L166" s="99"/>
      <c r="M166" s="99"/>
      <c r="N166" s="99"/>
    </row>
    <row r="167" spans="1:14" x14ac:dyDescent="0.2">
      <c r="A167" s="97"/>
      <c r="B167" s="98"/>
      <c r="C167" s="98"/>
      <c r="D167" s="98"/>
      <c r="E167" s="99"/>
      <c r="F167" s="99"/>
      <c r="G167" s="99"/>
      <c r="H167" s="99"/>
      <c r="I167" s="99"/>
      <c r="J167" s="99"/>
      <c r="K167" s="99"/>
      <c r="L167" s="99"/>
      <c r="M167" s="99"/>
      <c r="N167" s="99"/>
    </row>
    <row r="168" spans="1:14" x14ac:dyDescent="0.2">
      <c r="A168" s="97"/>
      <c r="B168" s="98"/>
      <c r="C168" s="98"/>
      <c r="D168" s="98"/>
      <c r="E168" s="99"/>
      <c r="F168" s="99"/>
      <c r="G168" s="99"/>
      <c r="H168" s="99"/>
      <c r="I168" s="99"/>
      <c r="J168" s="99"/>
      <c r="K168" s="99"/>
      <c r="L168" s="99"/>
      <c r="M168" s="99"/>
      <c r="N168" s="99"/>
    </row>
    <row r="169" spans="1:14" x14ac:dyDescent="0.2">
      <c r="A169" s="97"/>
      <c r="B169" s="98"/>
      <c r="C169" s="98"/>
      <c r="D169" s="98"/>
      <c r="E169" s="99"/>
      <c r="F169" s="99"/>
      <c r="G169" s="99"/>
      <c r="H169" s="99"/>
      <c r="I169" s="99"/>
      <c r="J169" s="99"/>
      <c r="K169" s="99"/>
      <c r="L169" s="99"/>
      <c r="M169" s="99"/>
      <c r="N169" s="99"/>
    </row>
    <row r="170" spans="1:14" x14ac:dyDescent="0.2">
      <c r="A170" s="97"/>
      <c r="B170" s="98"/>
      <c r="C170" s="98"/>
      <c r="D170" s="98"/>
      <c r="E170" s="99"/>
      <c r="F170" s="99"/>
      <c r="G170" s="99"/>
      <c r="H170" s="99"/>
      <c r="I170" s="99"/>
      <c r="J170" s="99"/>
      <c r="K170" s="99"/>
      <c r="L170" s="99"/>
      <c r="M170" s="99"/>
      <c r="N170" s="99"/>
    </row>
    <row r="171" spans="1:14" ht="13.5" thickBot="1" x14ac:dyDescent="0.25">
      <c r="A171" s="97"/>
      <c r="B171" s="98"/>
      <c r="C171" s="98"/>
      <c r="D171" s="98"/>
      <c r="E171" s="99"/>
      <c r="F171" s="99"/>
      <c r="G171" s="99"/>
      <c r="H171" s="99"/>
      <c r="I171" s="99"/>
      <c r="J171" s="99"/>
      <c r="K171" s="99"/>
      <c r="L171" s="99"/>
      <c r="M171" s="99"/>
      <c r="N171" s="99"/>
    </row>
    <row r="172" spans="1:14" x14ac:dyDescent="0.2">
      <c r="A172" s="101"/>
      <c r="B172" s="102"/>
      <c r="C172" s="102"/>
      <c r="D172" s="102"/>
      <c r="E172" s="103"/>
      <c r="F172" s="103"/>
      <c r="G172" s="103"/>
      <c r="H172" s="103"/>
      <c r="I172" s="103"/>
      <c r="J172" s="103"/>
      <c r="K172" s="103"/>
      <c r="L172" s="103"/>
      <c r="M172" s="103"/>
      <c r="N172" s="104"/>
    </row>
    <row r="173" spans="1:14" ht="15" x14ac:dyDescent="0.2">
      <c r="A173" s="105"/>
      <c r="B173" s="437" t="s">
        <v>288</v>
      </c>
      <c r="C173" s="438"/>
      <c r="D173" s="438"/>
      <c r="E173" s="438"/>
      <c r="F173" s="438"/>
      <c r="G173" s="438"/>
      <c r="H173" s="438"/>
      <c r="I173" s="438"/>
      <c r="J173" s="438"/>
      <c r="K173" s="438"/>
      <c r="L173" s="438"/>
      <c r="M173" s="439"/>
      <c r="N173" s="106" t="s">
        <v>904</v>
      </c>
    </row>
    <row r="174" spans="1:14" x14ac:dyDescent="0.2">
      <c r="A174" s="105"/>
      <c r="B174" s="107" t="s">
        <v>428</v>
      </c>
      <c r="C174" s="98" t="s">
        <v>289</v>
      </c>
      <c r="D174" s="98"/>
      <c r="E174" s="99"/>
      <c r="F174" s="99"/>
      <c r="G174" s="99"/>
      <c r="H174" s="99"/>
      <c r="I174" s="99"/>
      <c r="J174" s="99"/>
      <c r="K174" s="99"/>
      <c r="L174" s="99"/>
      <c r="M174" s="99"/>
      <c r="N174" s="90"/>
    </row>
    <row r="175" spans="1:14" x14ac:dyDescent="0.2">
      <c r="A175" s="105"/>
      <c r="B175" s="107" t="s">
        <v>429</v>
      </c>
      <c r="C175" s="98" t="s">
        <v>17</v>
      </c>
      <c r="D175" s="98"/>
      <c r="E175" s="99"/>
      <c r="F175" s="99"/>
      <c r="G175" s="99"/>
      <c r="H175" s="99"/>
      <c r="I175" s="99"/>
      <c r="J175" s="99"/>
      <c r="K175" s="99"/>
      <c r="L175" s="99"/>
      <c r="M175" s="99"/>
      <c r="N175" s="90"/>
    </row>
    <row r="176" spans="1:14" x14ac:dyDescent="0.2">
      <c r="A176" s="105"/>
      <c r="B176" s="107" t="s">
        <v>427</v>
      </c>
      <c r="C176" s="444" t="s">
        <v>1312</v>
      </c>
      <c r="D176" s="444"/>
      <c r="E176" s="444"/>
      <c r="F176" s="444"/>
      <c r="G176" s="444"/>
      <c r="H176" s="444"/>
      <c r="I176" s="444"/>
      <c r="J176" s="444"/>
      <c r="K176" s="444"/>
      <c r="L176" s="444"/>
      <c r="M176" s="444"/>
      <c r="N176" s="445"/>
    </row>
    <row r="177" spans="1:14" x14ac:dyDescent="0.2">
      <c r="A177" s="105"/>
      <c r="B177" s="98"/>
      <c r="C177" s="444"/>
      <c r="D177" s="444"/>
      <c r="E177" s="444"/>
      <c r="F177" s="444"/>
      <c r="G177" s="444"/>
      <c r="H177" s="444"/>
      <c r="I177" s="444"/>
      <c r="J177" s="444"/>
      <c r="K177" s="444"/>
      <c r="L177" s="444"/>
      <c r="M177" s="444"/>
      <c r="N177" s="445"/>
    </row>
    <row r="178" spans="1:14" x14ac:dyDescent="0.2">
      <c r="A178" s="105"/>
      <c r="B178" s="98"/>
      <c r="C178" s="446"/>
      <c r="D178" s="446"/>
      <c r="E178" s="446"/>
      <c r="F178" s="446"/>
      <c r="G178" s="446"/>
      <c r="H178" s="446"/>
      <c r="I178" s="446"/>
      <c r="J178" s="446"/>
      <c r="K178" s="446"/>
      <c r="L178" s="446"/>
      <c r="M178" s="446"/>
      <c r="N178" s="447"/>
    </row>
    <row r="179" spans="1:14" x14ac:dyDescent="0.2">
      <c r="A179" s="105"/>
      <c r="B179" s="107" t="s">
        <v>426</v>
      </c>
      <c r="C179" s="98"/>
      <c r="D179" s="98"/>
      <c r="E179" s="99"/>
      <c r="F179" s="99"/>
      <c r="G179" s="99"/>
      <c r="H179" s="99"/>
      <c r="I179" s="99"/>
      <c r="J179" s="99"/>
      <c r="K179" s="99"/>
      <c r="L179" s="99"/>
      <c r="M179" s="99"/>
      <c r="N179" s="90"/>
    </row>
    <row r="180" spans="1:14" ht="13.5" thickBot="1" x14ac:dyDescent="0.25">
      <c r="A180" s="105"/>
      <c r="B180" s="107" t="s">
        <v>430</v>
      </c>
      <c r="C180" s="98"/>
      <c r="D180" s="98"/>
      <c r="E180" s="99"/>
      <c r="F180" s="99"/>
      <c r="G180" s="99"/>
      <c r="H180" s="99"/>
      <c r="I180" s="99"/>
      <c r="J180" s="99"/>
      <c r="K180" s="99"/>
      <c r="L180" s="99"/>
      <c r="M180" s="99"/>
      <c r="N180" s="90"/>
    </row>
    <row r="181" spans="1:14" x14ac:dyDescent="0.2">
      <c r="A181" s="101"/>
      <c r="B181" s="102" t="s">
        <v>263</v>
      </c>
      <c r="C181" s="102"/>
      <c r="D181" s="102"/>
      <c r="E181" s="103"/>
      <c r="F181" s="103"/>
      <c r="G181" s="103"/>
      <c r="H181" s="103"/>
      <c r="I181" s="103"/>
      <c r="J181" s="114" t="s">
        <v>2205</v>
      </c>
      <c r="K181" s="113" t="s">
        <v>1986</v>
      </c>
      <c r="L181" s="113" t="s">
        <v>2206</v>
      </c>
      <c r="M181" s="113"/>
      <c r="N181" s="113"/>
    </row>
    <row r="182" spans="1:14" ht="13.5" thickBot="1" x14ac:dyDescent="0.25">
      <c r="A182" s="108"/>
      <c r="B182" s="109"/>
      <c r="C182" s="109"/>
      <c r="D182" s="109"/>
      <c r="E182" s="110"/>
      <c r="F182" s="110"/>
      <c r="G182" s="110"/>
      <c r="H182" s="110"/>
      <c r="I182" s="110"/>
      <c r="J182" s="112" t="s">
        <v>2202</v>
      </c>
      <c r="K182" s="94" t="s">
        <v>296</v>
      </c>
      <c r="L182" s="94" t="s">
        <v>2052</v>
      </c>
      <c r="M182" s="94" t="s">
        <v>2198</v>
      </c>
      <c r="N182" s="94"/>
    </row>
    <row r="183" spans="1:14" x14ac:dyDescent="0.2">
      <c r="A183" s="105"/>
      <c r="B183" s="443" t="s">
        <v>67</v>
      </c>
      <c r="C183" s="443"/>
      <c r="D183" s="443"/>
      <c r="E183" s="99"/>
      <c r="F183" s="99" t="s">
        <v>1180</v>
      </c>
      <c r="G183" s="99" t="s">
        <v>68</v>
      </c>
      <c r="H183" s="99" t="s">
        <v>702</v>
      </c>
      <c r="I183" s="99"/>
      <c r="J183" s="89">
        <f>220/ATHENS!O1*ATHENS!O2</f>
        <v>448.9795918367347</v>
      </c>
      <c r="K183" s="89">
        <f>240/ATHENS!O1*ATHENS!O2</f>
        <v>489.79591836734693</v>
      </c>
      <c r="L183" s="89">
        <f>310/ATHENS!O1*ATHENS!O2</f>
        <v>632.65306122448976</v>
      </c>
      <c r="M183" s="89">
        <f>380/ATHENS!O1*ATHENS!O2</f>
        <v>775.51020408163265</v>
      </c>
      <c r="N183" s="89"/>
    </row>
    <row r="184" spans="1:14" x14ac:dyDescent="0.2">
      <c r="A184" s="105"/>
      <c r="B184" s="443" t="s">
        <v>67</v>
      </c>
      <c r="C184" s="443"/>
      <c r="D184" s="443"/>
      <c r="E184" s="99"/>
      <c r="F184" s="99" t="s">
        <v>1181</v>
      </c>
      <c r="G184" s="99" t="s">
        <v>68</v>
      </c>
      <c r="H184" s="99" t="s">
        <v>702</v>
      </c>
      <c r="I184" s="99"/>
      <c r="J184" s="89">
        <f>110/ATHENS!O1*ATHENS!O2</f>
        <v>224.48979591836735</v>
      </c>
      <c r="K184" s="89">
        <f>120/ATHENS!O1*ATHENS!O2</f>
        <v>244.89795918367346</v>
      </c>
      <c r="L184" s="89">
        <f>155/ATHENS!O1*ATHENS!O2</f>
        <v>316.32653061224488</v>
      </c>
      <c r="M184" s="89">
        <f>190/ATHENS!O1*ATHENS!O2</f>
        <v>387.75510204081633</v>
      </c>
      <c r="N184" s="89"/>
    </row>
    <row r="185" spans="1:14" ht="13.5" thickBot="1" x14ac:dyDescent="0.25">
      <c r="A185" s="108"/>
      <c r="B185" s="436" t="s">
        <v>67</v>
      </c>
      <c r="C185" s="436"/>
      <c r="D185" s="436"/>
      <c r="E185" s="110"/>
      <c r="F185" s="110" t="s">
        <v>1182</v>
      </c>
      <c r="G185" s="110" t="s">
        <v>68</v>
      </c>
      <c r="H185" s="110" t="s">
        <v>702</v>
      </c>
      <c r="I185" s="110"/>
      <c r="J185" s="94">
        <f>110/ATHENS!O1*ATHENS!O2</f>
        <v>224.48979591836735</v>
      </c>
      <c r="K185" s="94">
        <f>116.6/ATHENS!O1*ATHENS!O2</f>
        <v>237.95918367346937</v>
      </c>
      <c r="L185" s="94">
        <f>140/ATHENS!O1*ATHENS!O2</f>
        <v>285.71428571428572</v>
      </c>
      <c r="M185" s="94">
        <f>163.5/ATHENS!O1*ATHENS!O2</f>
        <v>333.67346938775512</v>
      </c>
      <c r="N185" s="94"/>
    </row>
    <row r="186" spans="1:14" x14ac:dyDescent="0.2">
      <c r="A186" s="97"/>
      <c r="B186" s="98"/>
      <c r="C186" s="98"/>
      <c r="D186" s="98"/>
      <c r="E186" s="99"/>
      <c r="F186" s="99"/>
      <c r="G186" s="99"/>
      <c r="H186" s="99"/>
      <c r="I186" s="99"/>
      <c r="J186" s="99"/>
      <c r="K186" s="99"/>
      <c r="L186" s="99"/>
      <c r="M186" s="99"/>
      <c r="N186" s="99"/>
    </row>
    <row r="187" spans="1:14" ht="13.5" thickBot="1" x14ac:dyDescent="0.25">
      <c r="A187" s="97"/>
      <c r="B187" s="98"/>
      <c r="C187" s="98"/>
      <c r="D187" s="98"/>
      <c r="E187" s="99"/>
      <c r="F187" s="99"/>
      <c r="G187" s="99"/>
      <c r="H187" s="99"/>
      <c r="I187" s="99"/>
      <c r="J187" s="99"/>
      <c r="K187" s="99"/>
      <c r="L187" s="99"/>
      <c r="M187" s="99"/>
      <c r="N187" s="99"/>
    </row>
    <row r="188" spans="1:14" x14ac:dyDescent="0.2">
      <c r="A188" s="101"/>
      <c r="B188" s="102"/>
      <c r="C188" s="102"/>
      <c r="D188" s="102"/>
      <c r="E188" s="103"/>
      <c r="F188" s="103"/>
      <c r="G188" s="103"/>
      <c r="H188" s="103"/>
      <c r="I188" s="103"/>
      <c r="J188" s="103"/>
      <c r="K188" s="103"/>
      <c r="L188" s="103"/>
      <c r="M188" s="103"/>
      <c r="N188" s="104"/>
    </row>
    <row r="189" spans="1:14" ht="15" x14ac:dyDescent="0.2">
      <c r="A189" s="105"/>
      <c r="B189" s="437" t="s">
        <v>298</v>
      </c>
      <c r="C189" s="438"/>
      <c r="D189" s="438"/>
      <c r="E189" s="438"/>
      <c r="F189" s="438"/>
      <c r="G189" s="438"/>
      <c r="H189" s="438"/>
      <c r="I189" s="438"/>
      <c r="J189" s="438"/>
      <c r="K189" s="438"/>
      <c r="L189" s="438"/>
      <c r="M189" s="439"/>
      <c r="N189" s="106" t="s">
        <v>96</v>
      </c>
    </row>
    <row r="190" spans="1:14" x14ac:dyDescent="0.2">
      <c r="A190" s="105"/>
      <c r="B190" s="107" t="s">
        <v>428</v>
      </c>
      <c r="C190" s="98" t="s">
        <v>1060</v>
      </c>
      <c r="D190" s="98"/>
      <c r="E190" s="99"/>
      <c r="F190" s="99"/>
      <c r="G190" s="99"/>
      <c r="H190" s="99"/>
      <c r="I190" s="99"/>
      <c r="J190" s="99"/>
      <c r="K190" s="99"/>
      <c r="L190" s="99"/>
      <c r="M190" s="99"/>
      <c r="N190" s="90"/>
    </row>
    <row r="191" spans="1:14" x14ac:dyDescent="0.2">
      <c r="A191" s="105"/>
      <c r="B191" s="107" t="s">
        <v>429</v>
      </c>
      <c r="C191" s="98" t="s">
        <v>241</v>
      </c>
      <c r="D191" s="98"/>
      <c r="E191" s="99"/>
      <c r="F191" s="99"/>
      <c r="G191" s="99"/>
      <c r="H191" s="99"/>
      <c r="I191" s="99"/>
      <c r="J191" s="99"/>
      <c r="K191" s="99"/>
      <c r="L191" s="99"/>
      <c r="M191" s="99"/>
      <c r="N191" s="90"/>
    </row>
    <row r="192" spans="1:14" x14ac:dyDescent="0.2">
      <c r="A192" s="105"/>
      <c r="B192" s="107" t="s">
        <v>427</v>
      </c>
      <c r="C192" s="444" t="s">
        <v>1551</v>
      </c>
      <c r="D192" s="444"/>
      <c r="E192" s="444"/>
      <c r="F192" s="444"/>
      <c r="G192" s="444"/>
      <c r="H192" s="444"/>
      <c r="I192" s="444"/>
      <c r="J192" s="444"/>
      <c r="K192" s="444"/>
      <c r="L192" s="444"/>
      <c r="M192" s="444"/>
      <c r="N192" s="445"/>
    </row>
    <row r="193" spans="1:14" x14ac:dyDescent="0.2">
      <c r="A193" s="105"/>
      <c r="B193" s="98"/>
      <c r="C193" s="444"/>
      <c r="D193" s="444"/>
      <c r="E193" s="444"/>
      <c r="F193" s="444"/>
      <c r="G193" s="444"/>
      <c r="H193" s="444"/>
      <c r="I193" s="444"/>
      <c r="J193" s="444"/>
      <c r="K193" s="444"/>
      <c r="L193" s="444"/>
      <c r="M193" s="444"/>
      <c r="N193" s="445"/>
    </row>
    <row r="194" spans="1:14" x14ac:dyDescent="0.2">
      <c r="A194" s="105"/>
      <c r="B194" s="98"/>
      <c r="C194" s="446"/>
      <c r="D194" s="446"/>
      <c r="E194" s="446"/>
      <c r="F194" s="446"/>
      <c r="G194" s="446"/>
      <c r="H194" s="446"/>
      <c r="I194" s="446"/>
      <c r="J194" s="446"/>
      <c r="K194" s="446"/>
      <c r="L194" s="446"/>
      <c r="M194" s="446"/>
      <c r="N194" s="447"/>
    </row>
    <row r="195" spans="1:14" x14ac:dyDescent="0.2">
      <c r="A195" s="105"/>
      <c r="B195" s="98"/>
      <c r="C195" s="446"/>
      <c r="D195" s="446"/>
      <c r="E195" s="446"/>
      <c r="F195" s="446"/>
      <c r="G195" s="446"/>
      <c r="H195" s="446"/>
      <c r="I195" s="446"/>
      <c r="J195" s="446"/>
      <c r="K195" s="446"/>
      <c r="L195" s="446"/>
      <c r="M195" s="446"/>
      <c r="N195" s="447"/>
    </row>
    <row r="196" spans="1:14" x14ac:dyDescent="0.2">
      <c r="A196" s="105"/>
      <c r="B196" s="107" t="s">
        <v>426</v>
      </c>
      <c r="C196" s="98"/>
      <c r="D196" s="98"/>
      <c r="E196" s="99"/>
      <c r="F196" s="99"/>
      <c r="G196" s="99"/>
      <c r="H196" s="99"/>
      <c r="I196" s="99"/>
      <c r="J196" s="99"/>
      <c r="K196" s="99"/>
      <c r="L196" s="99"/>
      <c r="M196" s="99"/>
      <c r="N196" s="90"/>
    </row>
    <row r="197" spans="1:14" ht="13.5" thickBot="1" x14ac:dyDescent="0.25">
      <c r="A197" s="108"/>
      <c r="B197" s="107" t="s">
        <v>430</v>
      </c>
      <c r="C197" s="109"/>
      <c r="D197" s="109"/>
      <c r="E197" s="110"/>
      <c r="F197" s="110"/>
      <c r="G197" s="110"/>
      <c r="H197" s="110"/>
      <c r="I197" s="110"/>
      <c r="J197" s="110"/>
      <c r="K197" s="110"/>
      <c r="L197" s="110"/>
      <c r="M197" s="110"/>
      <c r="N197" s="93"/>
    </row>
    <row r="198" spans="1:14" x14ac:dyDescent="0.2">
      <c r="A198" s="101"/>
      <c r="B198" s="102" t="s">
        <v>263</v>
      </c>
      <c r="C198" s="102"/>
      <c r="D198" s="102"/>
      <c r="E198" s="103"/>
      <c r="F198" s="103"/>
      <c r="G198" s="103"/>
      <c r="H198" s="103"/>
      <c r="I198" s="103"/>
      <c r="J198" s="114" t="s">
        <v>2048</v>
      </c>
      <c r="K198" s="114" t="s">
        <v>1559</v>
      </c>
      <c r="L198" s="114"/>
      <c r="M198" s="113" t="s">
        <v>2051</v>
      </c>
      <c r="N198" s="113"/>
    </row>
    <row r="199" spans="1:14" ht="13.5" thickBot="1" x14ac:dyDescent="0.25">
      <c r="A199" s="108"/>
      <c r="B199" s="109"/>
      <c r="C199" s="109"/>
      <c r="D199" s="109"/>
      <c r="E199" s="110"/>
      <c r="F199" s="110"/>
      <c r="G199" s="110"/>
      <c r="H199" s="110"/>
      <c r="I199" s="110"/>
      <c r="J199" s="112" t="s">
        <v>282</v>
      </c>
      <c r="K199" s="94" t="s">
        <v>523</v>
      </c>
      <c r="L199" s="94" t="s">
        <v>2049</v>
      </c>
      <c r="M199" s="94" t="s">
        <v>2052</v>
      </c>
      <c r="N199" s="94" t="s">
        <v>2050</v>
      </c>
    </row>
    <row r="200" spans="1:14" x14ac:dyDescent="0.2">
      <c r="A200" s="101"/>
      <c r="B200" s="448" t="s">
        <v>67</v>
      </c>
      <c r="C200" s="448"/>
      <c r="D200" s="448"/>
      <c r="E200" s="103"/>
      <c r="F200" s="103" t="s">
        <v>1180</v>
      </c>
      <c r="G200" s="103" t="s">
        <v>68</v>
      </c>
      <c r="H200" s="103" t="s">
        <v>702</v>
      </c>
      <c r="I200" s="103"/>
      <c r="J200" s="89">
        <f>73.5/ATHENS!O1*ATHENS!O2</f>
        <v>150</v>
      </c>
      <c r="K200" s="89">
        <f>120.5/ATHENS!O1*ATHENS!O2</f>
        <v>245.91836734693879</v>
      </c>
      <c r="L200" s="89">
        <f>181.69/ATHENS!O1*ATHENS!O2</f>
        <v>370.79591836734693</v>
      </c>
      <c r="M200" s="113">
        <f>227.5/ATHENS!O1*ATHENS!O2</f>
        <v>464.28571428571428</v>
      </c>
      <c r="N200" s="113">
        <f>258.5/ATHENS!O1*ATHENS!O2</f>
        <v>527.55102040816325</v>
      </c>
    </row>
    <row r="201" spans="1:14" x14ac:dyDescent="0.2">
      <c r="A201" s="105"/>
      <c r="B201" s="443" t="s">
        <v>67</v>
      </c>
      <c r="C201" s="443"/>
      <c r="D201" s="443"/>
      <c r="E201" s="99"/>
      <c r="F201" s="99" t="s">
        <v>1181</v>
      </c>
      <c r="G201" s="99" t="s">
        <v>68</v>
      </c>
      <c r="H201" s="99" t="s">
        <v>702</v>
      </c>
      <c r="I201" s="99"/>
      <c r="J201" s="89">
        <f>40.6/ATHENS!O1*ATHENS!O2</f>
        <v>82.857142857142861</v>
      </c>
      <c r="K201" s="89">
        <f>66.95/ATHENS!O1*ATHENS!O2</f>
        <v>136.63265306122449</v>
      </c>
      <c r="L201" s="89">
        <f>100.94/ATHENS!O1*ATHENS!O2</f>
        <v>206</v>
      </c>
      <c r="M201" s="89">
        <f>126.5/ATHENS!O1*ATHENS!O2</f>
        <v>258.16326530612247</v>
      </c>
      <c r="N201" s="89">
        <f>143.65/ATHENS!O1*ATHENS!O2</f>
        <v>293.16326530612247</v>
      </c>
    </row>
    <row r="202" spans="1:14" ht="13.5" thickBot="1" x14ac:dyDescent="0.25">
      <c r="A202" s="108"/>
      <c r="B202" s="436" t="s">
        <v>67</v>
      </c>
      <c r="C202" s="436"/>
      <c r="D202" s="436"/>
      <c r="E202" s="110"/>
      <c r="F202" s="110" t="s">
        <v>1182</v>
      </c>
      <c r="G202" s="110" t="s">
        <v>68</v>
      </c>
      <c r="H202" s="110" t="s">
        <v>702</v>
      </c>
      <c r="I202" s="110"/>
      <c r="J202" s="94">
        <f>36.6/ATHENS!O1*ATHENS!O2</f>
        <v>74.693877551020407</v>
      </c>
      <c r="K202" s="94">
        <f>60.5/ATHENS!O1*ATHENS!O2</f>
        <v>123.46938775510205</v>
      </c>
      <c r="L202" s="94">
        <f>90.8/ATHENS!O1*ATHENS!O2</f>
        <v>185.30612244897958</v>
      </c>
      <c r="M202" s="94">
        <f>113.5/ATHENS!O1*ATHENS!O2</f>
        <v>231.63265306122449</v>
      </c>
      <c r="N202" s="94">
        <f>129.5/ATHENS!O1*ATHENS!O2</f>
        <v>264.28571428571428</v>
      </c>
    </row>
    <row r="203" spans="1:14" ht="13.5" thickBot="1" x14ac:dyDescent="0.25">
      <c r="A203" s="97"/>
      <c r="B203" s="98"/>
      <c r="C203" s="98"/>
      <c r="D203" s="98"/>
      <c r="E203" s="99"/>
      <c r="F203" s="99"/>
      <c r="G203" s="99"/>
      <c r="H203" s="99"/>
      <c r="I203" s="99"/>
      <c r="J203" s="99"/>
      <c r="K203" s="99"/>
      <c r="L203" s="99"/>
      <c r="M203" s="99"/>
      <c r="N203" s="99"/>
    </row>
    <row r="204" spans="1:14" x14ac:dyDescent="0.2">
      <c r="A204" s="101"/>
      <c r="B204" s="102"/>
      <c r="C204" s="102"/>
      <c r="D204" s="102"/>
      <c r="E204" s="103"/>
      <c r="F204" s="103"/>
      <c r="G204" s="103"/>
      <c r="H204" s="103"/>
      <c r="I204" s="103"/>
      <c r="J204" s="103"/>
      <c r="K204" s="103"/>
      <c r="L204" s="103"/>
      <c r="M204" s="103"/>
      <c r="N204" s="104"/>
    </row>
    <row r="205" spans="1:14" ht="15" x14ac:dyDescent="0.2">
      <c r="A205" s="105"/>
      <c r="B205" s="437" t="s">
        <v>1348</v>
      </c>
      <c r="C205" s="438"/>
      <c r="D205" s="438"/>
      <c r="E205" s="438"/>
      <c r="F205" s="438"/>
      <c r="G205" s="438"/>
      <c r="H205" s="438"/>
      <c r="I205" s="438"/>
      <c r="J205" s="438"/>
      <c r="K205" s="438"/>
      <c r="L205" s="438"/>
      <c r="M205" s="439"/>
      <c r="N205" s="106" t="s">
        <v>96</v>
      </c>
    </row>
    <row r="206" spans="1:14" x14ac:dyDescent="0.2">
      <c r="A206" s="105"/>
      <c r="B206" s="107" t="s">
        <v>428</v>
      </c>
      <c r="C206" s="98" t="s">
        <v>575</v>
      </c>
      <c r="D206" s="98"/>
      <c r="E206" s="99"/>
      <c r="F206" s="99"/>
      <c r="G206" s="99"/>
      <c r="H206" s="99"/>
      <c r="I206" s="99"/>
      <c r="J206" s="99"/>
      <c r="K206" s="99"/>
      <c r="L206" s="99"/>
      <c r="M206" s="99"/>
      <c r="N206" s="90"/>
    </row>
    <row r="207" spans="1:14" x14ac:dyDescent="0.2">
      <c r="A207" s="105"/>
      <c r="B207" s="107" t="s">
        <v>429</v>
      </c>
      <c r="C207" s="98" t="s">
        <v>616</v>
      </c>
      <c r="D207" s="98"/>
      <c r="E207" s="99"/>
      <c r="F207" s="99"/>
      <c r="G207" s="99"/>
      <c r="H207" s="99"/>
      <c r="I207" s="99"/>
      <c r="J207" s="99"/>
      <c r="K207" s="99"/>
      <c r="L207" s="99"/>
      <c r="M207" s="99"/>
      <c r="N207" s="90"/>
    </row>
    <row r="208" spans="1:14" x14ac:dyDescent="0.2">
      <c r="A208" s="105"/>
      <c r="B208" s="107" t="s">
        <v>427</v>
      </c>
      <c r="C208" s="444" t="s">
        <v>710</v>
      </c>
      <c r="D208" s="444"/>
      <c r="E208" s="444"/>
      <c r="F208" s="444"/>
      <c r="G208" s="444"/>
      <c r="H208" s="444"/>
      <c r="I208" s="444"/>
      <c r="J208" s="444"/>
      <c r="K208" s="444"/>
      <c r="L208" s="444"/>
      <c r="M208" s="444"/>
      <c r="N208" s="445"/>
    </row>
    <row r="209" spans="1:14" x14ac:dyDescent="0.2">
      <c r="A209" s="105"/>
      <c r="B209" s="98"/>
      <c r="C209" s="444"/>
      <c r="D209" s="444"/>
      <c r="E209" s="444"/>
      <c r="F209" s="444"/>
      <c r="G209" s="444"/>
      <c r="H209" s="444"/>
      <c r="I209" s="444"/>
      <c r="J209" s="444"/>
      <c r="K209" s="444"/>
      <c r="L209" s="444"/>
      <c r="M209" s="444"/>
      <c r="N209" s="445"/>
    </row>
    <row r="210" spans="1:14" x14ac:dyDescent="0.2">
      <c r="A210" s="105"/>
      <c r="B210" s="98"/>
      <c r="C210" s="446"/>
      <c r="D210" s="446"/>
      <c r="E210" s="446"/>
      <c r="F210" s="446"/>
      <c r="G210" s="446"/>
      <c r="H210" s="446"/>
      <c r="I210" s="446"/>
      <c r="J210" s="446"/>
      <c r="K210" s="446"/>
      <c r="L210" s="446"/>
      <c r="M210" s="446"/>
      <c r="N210" s="447"/>
    </row>
    <row r="211" spans="1:14" x14ac:dyDescent="0.2">
      <c r="A211" s="105"/>
      <c r="B211" s="107" t="s">
        <v>426</v>
      </c>
      <c r="C211" s="98" t="s">
        <v>598</v>
      </c>
      <c r="D211" s="98"/>
      <c r="E211" s="99"/>
      <c r="F211" s="99"/>
      <c r="G211" s="99"/>
      <c r="H211" s="99"/>
      <c r="I211" s="99"/>
      <c r="J211" s="99"/>
      <c r="K211" s="99"/>
      <c r="L211" s="99"/>
      <c r="M211" s="99"/>
      <c r="N211" s="90"/>
    </row>
    <row r="212" spans="1:14" ht="13.5" thickBot="1" x14ac:dyDescent="0.25">
      <c r="A212" s="108"/>
      <c r="B212" s="107" t="s">
        <v>430</v>
      </c>
      <c r="C212" s="109"/>
      <c r="D212" s="109"/>
      <c r="E212" s="110"/>
      <c r="F212" s="110"/>
      <c r="G212" s="110"/>
      <c r="H212" s="110"/>
      <c r="I212" s="110"/>
      <c r="J212" s="110"/>
      <c r="K212" s="110"/>
      <c r="L212" s="110"/>
      <c r="M212" s="110"/>
      <c r="N212" s="93"/>
    </row>
    <row r="213" spans="1:14" x14ac:dyDescent="0.2">
      <c r="A213" s="101"/>
      <c r="B213" s="102" t="s">
        <v>263</v>
      </c>
      <c r="C213" s="102"/>
      <c r="D213" s="102"/>
      <c r="E213" s="103"/>
      <c r="F213" s="103"/>
      <c r="G213" s="103"/>
      <c r="H213" s="103"/>
      <c r="I213" s="103"/>
      <c r="J213" s="114" t="s">
        <v>758</v>
      </c>
      <c r="K213" s="114"/>
      <c r="L213" s="114" t="s">
        <v>820</v>
      </c>
      <c r="M213" s="114"/>
      <c r="N213" s="113"/>
    </row>
    <row r="214" spans="1:14" ht="13.5" thickBot="1" x14ac:dyDescent="0.25">
      <c r="A214" s="108"/>
      <c r="B214" s="109"/>
      <c r="C214" s="109"/>
      <c r="D214" s="109"/>
      <c r="E214" s="110"/>
      <c r="F214" s="110"/>
      <c r="G214" s="110"/>
      <c r="H214" s="110"/>
      <c r="I214" s="110"/>
      <c r="J214" s="112" t="s">
        <v>754</v>
      </c>
      <c r="K214" s="112" t="s">
        <v>279</v>
      </c>
      <c r="L214" s="94" t="s">
        <v>821</v>
      </c>
      <c r="M214" s="94" t="s">
        <v>822</v>
      </c>
      <c r="N214" s="94"/>
    </row>
    <row r="215" spans="1:14" x14ac:dyDescent="0.2">
      <c r="A215" s="101"/>
      <c r="B215" s="448" t="s">
        <v>67</v>
      </c>
      <c r="C215" s="448"/>
      <c r="D215" s="448"/>
      <c r="E215" s="103"/>
      <c r="F215" s="103" t="s">
        <v>1180</v>
      </c>
      <c r="G215" s="103" t="s">
        <v>68</v>
      </c>
      <c r="H215" s="103" t="s">
        <v>702</v>
      </c>
      <c r="I215" s="103"/>
      <c r="J215" s="89">
        <f>110.76/ATHENS!O1*ATHENS!O2</f>
        <v>226.04081632653063</v>
      </c>
      <c r="K215" s="89">
        <f>134.5/ATHENS!O1*ATHENS!O2</f>
        <v>274.48979591836735</v>
      </c>
      <c r="L215" s="89">
        <f>193.5/ATHENS!O1*ATHENS!O2</f>
        <v>394.89795918367349</v>
      </c>
      <c r="M215" s="89">
        <f>278.5/ATHENS!O1*ATHENS!O2</f>
        <v>568.36734693877554</v>
      </c>
      <c r="N215" s="113"/>
    </row>
    <row r="216" spans="1:14" x14ac:dyDescent="0.2">
      <c r="A216" s="105"/>
      <c r="B216" s="443" t="s">
        <v>67</v>
      </c>
      <c r="C216" s="443"/>
      <c r="D216" s="443"/>
      <c r="E216" s="99"/>
      <c r="F216" s="99" t="s">
        <v>1181</v>
      </c>
      <c r="G216" s="99" t="s">
        <v>68</v>
      </c>
      <c r="H216" s="99" t="s">
        <v>702</v>
      </c>
      <c r="I216" s="99"/>
      <c r="J216" s="89">
        <f>62.9/ATHENS!O1*ATHENS!O2</f>
        <v>128.36734693877551</v>
      </c>
      <c r="K216" s="89">
        <f>74.7/ATHENS!O1*ATHENS!O2</f>
        <v>152.44897959183675</v>
      </c>
      <c r="L216" s="89">
        <f>103.7/ATHENS!O1*ATHENS!O2</f>
        <v>211.63265306122449</v>
      </c>
      <c r="M216" s="89">
        <f>147.5/ATHENS!O1*ATHENS!O2</f>
        <v>301.0204081632653</v>
      </c>
      <c r="N216" s="89"/>
    </row>
    <row r="217" spans="1:14" ht="13.5" thickBot="1" x14ac:dyDescent="0.25">
      <c r="A217" s="108"/>
      <c r="B217" s="436" t="s">
        <v>819</v>
      </c>
      <c r="C217" s="436"/>
      <c r="D217" s="436"/>
      <c r="E217" s="110"/>
      <c r="F217" s="110" t="s">
        <v>1181</v>
      </c>
      <c r="G217" s="110" t="s">
        <v>68</v>
      </c>
      <c r="H217" s="110" t="s">
        <v>702</v>
      </c>
      <c r="I217" s="110"/>
      <c r="J217" s="94">
        <f>79.5/ATHENS!O1*ATHENS!O2</f>
        <v>162.24489795918367</v>
      </c>
      <c r="K217" s="94">
        <f>91.5/ATHENS!O1*ATHENS!O2</f>
        <v>186.73469387755102</v>
      </c>
      <c r="L217" s="94">
        <f>124.7/ATHENS!O1*ATHENS!O2</f>
        <v>254.48979591836735</v>
      </c>
      <c r="M217" s="94">
        <f>170.5/ATHENS!O1*ATHENS!O2</f>
        <v>347.9591836734694</v>
      </c>
      <c r="N217" s="93"/>
    </row>
    <row r="218" spans="1:14" x14ac:dyDescent="0.2">
      <c r="A218" s="97"/>
      <c r="B218" s="98"/>
      <c r="C218" s="98"/>
      <c r="D218" s="98"/>
      <c r="E218" s="99"/>
      <c r="F218" s="99"/>
      <c r="G218" s="99"/>
      <c r="H218" s="99"/>
      <c r="I218" s="99"/>
      <c r="J218" s="99"/>
      <c r="K218" s="99"/>
      <c r="L218" s="99"/>
      <c r="M218" s="99"/>
      <c r="N218" s="99"/>
    </row>
    <row r="219" spans="1:14" x14ac:dyDescent="0.2">
      <c r="A219" s="97"/>
      <c r="B219" s="98"/>
      <c r="C219" s="98"/>
      <c r="D219" s="98"/>
      <c r="E219" s="99"/>
      <c r="F219" s="99"/>
      <c r="G219" s="99"/>
      <c r="H219" s="99"/>
      <c r="I219" s="99"/>
      <c r="J219" s="99"/>
      <c r="K219" s="99"/>
      <c r="L219" s="99"/>
      <c r="M219" s="99"/>
      <c r="N219" s="99"/>
    </row>
    <row r="220" spans="1:14" x14ac:dyDescent="0.2">
      <c r="A220" s="97"/>
      <c r="B220" s="98"/>
      <c r="C220" s="98"/>
      <c r="D220" s="98"/>
      <c r="E220" s="99"/>
      <c r="F220" s="99"/>
      <c r="G220" s="99"/>
      <c r="H220" s="99"/>
      <c r="I220" s="99"/>
      <c r="J220" s="99"/>
      <c r="K220" s="99"/>
      <c r="L220" s="99"/>
      <c r="M220" s="99"/>
      <c r="N220" s="99"/>
    </row>
    <row r="221" spans="1:14" x14ac:dyDescent="0.2">
      <c r="A221" s="97"/>
      <c r="B221" s="98"/>
      <c r="C221" s="98"/>
      <c r="D221" s="98"/>
      <c r="E221" s="99"/>
      <c r="F221" s="99"/>
      <c r="G221" s="99"/>
      <c r="H221" s="99"/>
      <c r="I221" s="99"/>
      <c r="J221" s="99"/>
      <c r="K221" s="99"/>
      <c r="L221" s="99"/>
      <c r="M221" s="99"/>
      <c r="N221" s="99"/>
    </row>
    <row r="222" spans="1:14" x14ac:dyDescent="0.2">
      <c r="A222" s="97"/>
      <c r="B222" s="98"/>
      <c r="C222" s="98"/>
      <c r="D222" s="98"/>
      <c r="E222" s="99"/>
      <c r="F222" s="99"/>
      <c r="G222" s="99"/>
      <c r="H222" s="99"/>
      <c r="I222" s="99"/>
      <c r="J222" s="99"/>
      <c r="K222" s="99"/>
      <c r="L222" s="99"/>
      <c r="M222" s="99"/>
      <c r="N222" s="99"/>
    </row>
    <row r="223" spans="1:14" x14ac:dyDescent="0.2">
      <c r="A223" s="97"/>
      <c r="B223" s="98"/>
      <c r="C223" s="98"/>
      <c r="D223" s="98"/>
      <c r="E223" s="99"/>
      <c r="F223" s="99"/>
      <c r="G223" s="99"/>
      <c r="H223" s="99"/>
      <c r="I223" s="99"/>
      <c r="J223" s="99"/>
      <c r="K223" s="99"/>
      <c r="L223" s="99"/>
      <c r="M223" s="99"/>
      <c r="N223" s="99"/>
    </row>
    <row r="224" spans="1:14" x14ac:dyDescent="0.2">
      <c r="A224" s="97"/>
      <c r="B224" s="98"/>
      <c r="C224" s="98"/>
      <c r="D224" s="98"/>
      <c r="E224" s="99"/>
      <c r="F224" s="99"/>
      <c r="G224" s="99"/>
      <c r="H224" s="99"/>
      <c r="I224" s="99"/>
      <c r="J224" s="99"/>
      <c r="K224" s="99"/>
      <c r="L224" s="99"/>
      <c r="M224" s="99"/>
      <c r="N224" s="99"/>
    </row>
    <row r="225" spans="1:14" x14ac:dyDescent="0.2">
      <c r="A225" s="97"/>
      <c r="B225" s="98"/>
      <c r="C225" s="98"/>
      <c r="D225" s="98"/>
      <c r="E225" s="99"/>
      <c r="F225" s="99"/>
      <c r="G225" s="99"/>
      <c r="H225" s="99"/>
      <c r="I225" s="99"/>
      <c r="J225" s="99"/>
      <c r="K225" s="99"/>
      <c r="L225" s="99"/>
      <c r="M225" s="99"/>
      <c r="N225" s="99"/>
    </row>
    <row r="226" spans="1:14" ht="13.5" thickBot="1" x14ac:dyDescent="0.25">
      <c r="A226" s="97"/>
      <c r="B226" s="98"/>
      <c r="C226" s="98"/>
      <c r="D226" s="98"/>
      <c r="E226" s="99"/>
      <c r="F226" s="99"/>
      <c r="G226" s="99"/>
      <c r="H226" s="99"/>
      <c r="I226" s="99"/>
      <c r="J226" s="99"/>
      <c r="K226" s="99"/>
      <c r="L226" s="99"/>
      <c r="M226" s="99"/>
      <c r="N226" s="99"/>
    </row>
    <row r="227" spans="1:14" x14ac:dyDescent="0.2">
      <c r="A227" s="101"/>
      <c r="B227" s="102"/>
      <c r="C227" s="102"/>
      <c r="D227" s="102"/>
      <c r="E227" s="103"/>
      <c r="F227" s="103"/>
      <c r="G227" s="103"/>
      <c r="H227" s="103"/>
      <c r="I227" s="103"/>
      <c r="J227" s="103"/>
      <c r="K227" s="103"/>
      <c r="L227" s="103"/>
      <c r="M227" s="103"/>
      <c r="N227" s="104"/>
    </row>
    <row r="228" spans="1:14" ht="15" x14ac:dyDescent="0.2">
      <c r="A228" s="105"/>
      <c r="B228" s="437" t="s">
        <v>368</v>
      </c>
      <c r="C228" s="438"/>
      <c r="D228" s="438"/>
      <c r="E228" s="438"/>
      <c r="F228" s="438"/>
      <c r="G228" s="438"/>
      <c r="H228" s="438"/>
      <c r="I228" s="438"/>
      <c r="J228" s="438"/>
      <c r="K228" s="438"/>
      <c r="L228" s="438"/>
      <c r="M228" s="439"/>
      <c r="N228" s="106" t="s">
        <v>96</v>
      </c>
    </row>
    <row r="229" spans="1:14" x14ac:dyDescent="0.2">
      <c r="A229" s="105"/>
      <c r="B229" s="107" t="s">
        <v>428</v>
      </c>
      <c r="C229" s="98" t="s">
        <v>262</v>
      </c>
      <c r="D229" s="98"/>
      <c r="E229" s="99"/>
      <c r="F229" s="99"/>
      <c r="G229" s="99"/>
      <c r="H229" s="99"/>
      <c r="I229" s="99"/>
      <c r="J229" s="99"/>
      <c r="K229" s="99"/>
      <c r="L229" s="99"/>
      <c r="M229" s="99"/>
      <c r="N229" s="90"/>
    </row>
    <row r="230" spans="1:14" x14ac:dyDescent="0.2">
      <c r="A230" s="105"/>
      <c r="B230" s="107" t="s">
        <v>429</v>
      </c>
      <c r="C230" s="98" t="s">
        <v>120</v>
      </c>
      <c r="D230" s="98"/>
      <c r="E230" s="99"/>
      <c r="F230" s="99"/>
      <c r="G230" s="99"/>
      <c r="H230" s="99"/>
      <c r="I230" s="99"/>
      <c r="J230" s="99"/>
      <c r="K230" s="99"/>
      <c r="L230" s="99"/>
      <c r="M230" s="99"/>
      <c r="N230" s="90"/>
    </row>
    <row r="231" spans="1:14" x14ac:dyDescent="0.2">
      <c r="A231" s="105"/>
      <c r="B231" s="107" t="s">
        <v>427</v>
      </c>
      <c r="C231" s="444" t="s">
        <v>1319</v>
      </c>
      <c r="D231" s="444"/>
      <c r="E231" s="444"/>
      <c r="F231" s="444"/>
      <c r="G231" s="444"/>
      <c r="H231" s="444"/>
      <c r="I231" s="444"/>
      <c r="J231" s="444"/>
      <c r="K231" s="444"/>
      <c r="L231" s="444"/>
      <c r="M231" s="444"/>
      <c r="N231" s="445"/>
    </row>
    <row r="232" spans="1:14" x14ac:dyDescent="0.2">
      <c r="A232" s="105"/>
      <c r="B232" s="107"/>
      <c r="C232" s="444"/>
      <c r="D232" s="444"/>
      <c r="E232" s="444"/>
      <c r="F232" s="444"/>
      <c r="G232" s="444"/>
      <c r="H232" s="444"/>
      <c r="I232" s="444"/>
      <c r="J232" s="444"/>
      <c r="K232" s="444"/>
      <c r="L232" s="444"/>
      <c r="M232" s="444"/>
      <c r="N232" s="445"/>
    </row>
    <row r="233" spans="1:14" x14ac:dyDescent="0.2">
      <c r="A233" s="105"/>
      <c r="B233" s="107"/>
      <c r="C233" s="446"/>
      <c r="D233" s="446"/>
      <c r="E233" s="446"/>
      <c r="F233" s="446"/>
      <c r="G233" s="446"/>
      <c r="H233" s="446"/>
      <c r="I233" s="446"/>
      <c r="J233" s="446"/>
      <c r="K233" s="446"/>
      <c r="L233" s="446"/>
      <c r="M233" s="446"/>
      <c r="N233" s="447"/>
    </row>
    <row r="234" spans="1:14" x14ac:dyDescent="0.2">
      <c r="A234" s="105"/>
      <c r="B234" s="107" t="s">
        <v>426</v>
      </c>
      <c r="C234" s="98"/>
      <c r="D234" s="98"/>
      <c r="E234" s="99"/>
      <c r="F234" s="99"/>
      <c r="G234" s="99"/>
      <c r="H234" s="99"/>
      <c r="I234" s="99"/>
      <c r="J234" s="99"/>
      <c r="K234" s="99"/>
      <c r="L234" s="99"/>
      <c r="M234" s="99"/>
      <c r="N234" s="90"/>
    </row>
    <row r="235" spans="1:14" ht="13.5" thickBot="1" x14ac:dyDescent="0.25">
      <c r="A235" s="105"/>
      <c r="B235" s="107" t="s">
        <v>430</v>
      </c>
      <c r="C235" s="98" t="s">
        <v>369</v>
      </c>
      <c r="D235" s="98"/>
      <c r="E235" s="99"/>
      <c r="F235" s="99"/>
      <c r="G235" s="99"/>
      <c r="H235" s="99"/>
      <c r="I235" s="99"/>
      <c r="J235" s="99"/>
      <c r="K235" s="99"/>
      <c r="L235" s="99"/>
      <c r="M235" s="99"/>
      <c r="N235" s="90"/>
    </row>
    <row r="236" spans="1:14" x14ac:dyDescent="0.2">
      <c r="A236" s="101"/>
      <c r="B236" s="102" t="s">
        <v>263</v>
      </c>
      <c r="C236" s="102"/>
      <c r="D236" s="102"/>
      <c r="E236" s="103"/>
      <c r="F236" s="103"/>
      <c r="G236" s="103"/>
      <c r="H236" s="103"/>
      <c r="I236" s="103"/>
      <c r="J236" s="113"/>
      <c r="K236" s="113" t="s">
        <v>1799</v>
      </c>
      <c r="L236" s="113" t="s">
        <v>1800</v>
      </c>
      <c r="M236" s="113"/>
      <c r="N236" s="104"/>
    </row>
    <row r="237" spans="1:14" x14ac:dyDescent="0.2">
      <c r="A237" s="105"/>
      <c r="B237" s="98"/>
      <c r="C237" s="98"/>
      <c r="D237" s="98"/>
      <c r="E237" s="99"/>
      <c r="F237" s="99"/>
      <c r="G237" s="99"/>
      <c r="H237" s="99"/>
      <c r="I237" s="99"/>
      <c r="J237" s="89"/>
      <c r="K237" s="89" t="s">
        <v>1798</v>
      </c>
      <c r="L237" s="89" t="s">
        <v>1801</v>
      </c>
      <c r="M237" s="89" t="s">
        <v>1802</v>
      </c>
      <c r="N237" s="90"/>
    </row>
    <row r="238" spans="1:14" ht="13.5" thickBot="1" x14ac:dyDescent="0.25">
      <c r="A238" s="108"/>
      <c r="B238" s="109"/>
      <c r="C238" s="109"/>
      <c r="D238" s="109"/>
      <c r="E238" s="110"/>
      <c r="F238" s="110"/>
      <c r="G238" s="110"/>
      <c r="H238" s="110"/>
      <c r="I238" s="110"/>
      <c r="J238" s="94" t="s">
        <v>907</v>
      </c>
      <c r="K238" s="94" t="s">
        <v>481</v>
      </c>
      <c r="L238" s="117" t="s">
        <v>483</v>
      </c>
      <c r="M238" s="94" t="s">
        <v>1554</v>
      </c>
      <c r="N238" s="93" t="s">
        <v>1803</v>
      </c>
    </row>
    <row r="239" spans="1:14" x14ac:dyDescent="0.2">
      <c r="A239" s="101"/>
      <c r="B239" s="448" t="s">
        <v>67</v>
      </c>
      <c r="C239" s="448"/>
      <c r="D239" s="448"/>
      <c r="E239" s="103"/>
      <c r="F239" s="103" t="s">
        <v>1180</v>
      </c>
      <c r="G239" s="103" t="s">
        <v>68</v>
      </c>
      <c r="H239" s="103" t="s">
        <v>702</v>
      </c>
      <c r="I239" s="103"/>
      <c r="J239" s="113">
        <f>65/ATHENS!O1*ATHENS!O2</f>
        <v>132.65306122448979</v>
      </c>
      <c r="K239" s="113">
        <f>110/ATHENS!O1*ATHENS!O2</f>
        <v>224.48979591836735</v>
      </c>
      <c r="L239" s="113">
        <f>130/ATHENS!O1*ATHENS!O2</f>
        <v>265.30612244897958</v>
      </c>
      <c r="M239" s="113">
        <f>204/ATHENS!O1*ATHENS!O2</f>
        <v>416.32653061224488</v>
      </c>
      <c r="N239" s="113">
        <f>288/ATHENS!O1*ATHENS!O2</f>
        <v>587.75510204081638</v>
      </c>
    </row>
    <row r="240" spans="1:14" x14ac:dyDescent="0.2">
      <c r="A240" s="105"/>
      <c r="B240" s="443" t="s">
        <v>67</v>
      </c>
      <c r="C240" s="443"/>
      <c r="D240" s="443"/>
      <c r="E240" s="99"/>
      <c r="F240" s="99" t="s">
        <v>1181</v>
      </c>
      <c r="G240" s="99" t="s">
        <v>68</v>
      </c>
      <c r="H240" s="99" t="s">
        <v>702</v>
      </c>
      <c r="I240" s="99"/>
      <c r="J240" s="89">
        <f>37.5/ATHENS!O1*ATHENS!O2</f>
        <v>76.530612244897966</v>
      </c>
      <c r="K240" s="89">
        <f>60/ATHENS!O1*ATHENS!O2</f>
        <v>122.44897959183673</v>
      </c>
      <c r="L240" s="89">
        <f>77.5/ATHENS!O1*ATHENS!O2</f>
        <v>158.16326530612244</v>
      </c>
      <c r="M240" s="89">
        <f>115.5/ATHENS!O1*ATHENS!O2</f>
        <v>235.71428571428572</v>
      </c>
      <c r="N240" s="89">
        <f>157/ATHENS!O1*ATHENS!O2</f>
        <v>320.40816326530614</v>
      </c>
    </row>
    <row r="241" spans="1:14" ht="13.5" thickBot="1" x14ac:dyDescent="0.25">
      <c r="A241" s="108"/>
      <c r="B241" s="436" t="s">
        <v>67</v>
      </c>
      <c r="C241" s="436"/>
      <c r="D241" s="436"/>
      <c r="E241" s="110"/>
      <c r="F241" s="110" t="s">
        <v>1182</v>
      </c>
      <c r="G241" s="110" t="s">
        <v>68</v>
      </c>
      <c r="H241" s="110" t="s">
        <v>702</v>
      </c>
      <c r="I241" s="110"/>
      <c r="J241" s="94">
        <f>35/ATHENS!O1*ATHENS!O2</f>
        <v>71.428571428571431</v>
      </c>
      <c r="K241" s="94">
        <f>55/ATHENS!O1*ATHENS!O2</f>
        <v>112.24489795918367</v>
      </c>
      <c r="L241" s="94">
        <f>71.66/ATHENS!O1*ATHENS!O2</f>
        <v>146.24489795918367</v>
      </c>
      <c r="M241" s="94">
        <f>103.5/ATHENS!O1*ATHENS!O2</f>
        <v>211.22448979591837</v>
      </c>
      <c r="N241" s="94">
        <f>143.5/ATHENS!O1*ATHENS!O2</f>
        <v>292.85714285714289</v>
      </c>
    </row>
    <row r="242" spans="1:14" ht="13.5" thickBot="1" x14ac:dyDescent="0.25">
      <c r="A242" s="97"/>
      <c r="B242" s="98"/>
      <c r="C242" s="98"/>
      <c r="D242" s="98"/>
      <c r="E242" s="99"/>
      <c r="F242" s="99"/>
      <c r="G242" s="99"/>
      <c r="H242" s="99"/>
      <c r="I242" s="99"/>
      <c r="J242" s="99"/>
      <c r="K242" s="99"/>
      <c r="L242" s="99"/>
      <c r="M242" s="99"/>
      <c r="N242" s="99"/>
    </row>
    <row r="243" spans="1:14" x14ac:dyDescent="0.2">
      <c r="A243" s="101"/>
      <c r="B243" s="102"/>
      <c r="C243" s="102"/>
      <c r="D243" s="102"/>
      <c r="E243" s="103"/>
      <c r="F243" s="103"/>
      <c r="G243" s="103"/>
      <c r="H243" s="103"/>
      <c r="I243" s="103"/>
      <c r="J243" s="103"/>
      <c r="K243" s="103"/>
      <c r="L243" s="103"/>
      <c r="M243" s="103"/>
      <c r="N243" s="104"/>
    </row>
    <row r="244" spans="1:14" ht="15" x14ac:dyDescent="0.2">
      <c r="A244" s="105"/>
      <c r="B244" s="437" t="s">
        <v>371</v>
      </c>
      <c r="C244" s="438"/>
      <c r="D244" s="438"/>
      <c r="E244" s="438"/>
      <c r="F244" s="438"/>
      <c r="G244" s="438"/>
      <c r="H244" s="438"/>
      <c r="I244" s="438"/>
      <c r="J244" s="438"/>
      <c r="K244" s="438"/>
      <c r="L244" s="438"/>
      <c r="M244" s="439"/>
      <c r="N244" s="106" t="s">
        <v>96</v>
      </c>
    </row>
    <row r="245" spans="1:14" x14ac:dyDescent="0.2">
      <c r="A245" s="105"/>
      <c r="B245" s="107" t="s">
        <v>428</v>
      </c>
      <c r="C245" s="98" t="s">
        <v>372</v>
      </c>
      <c r="D245" s="98"/>
      <c r="E245" s="99"/>
      <c r="F245" s="99"/>
      <c r="G245" s="99"/>
      <c r="H245" s="99"/>
      <c r="I245" s="99"/>
      <c r="J245" s="99"/>
      <c r="K245" s="99"/>
      <c r="L245" s="99"/>
      <c r="M245" s="99"/>
      <c r="N245" s="90"/>
    </row>
    <row r="246" spans="1:14" x14ac:dyDescent="0.2">
      <c r="A246" s="105"/>
      <c r="B246" s="107" t="s">
        <v>429</v>
      </c>
      <c r="C246" s="98" t="s">
        <v>121</v>
      </c>
      <c r="D246" s="98"/>
      <c r="E246" s="99"/>
      <c r="F246" s="99"/>
      <c r="G246" s="99"/>
      <c r="H246" s="99"/>
      <c r="I246" s="99"/>
      <c r="J246" s="99"/>
      <c r="K246" s="99"/>
      <c r="L246" s="99"/>
      <c r="M246" s="99"/>
      <c r="N246" s="90"/>
    </row>
    <row r="247" spans="1:14" x14ac:dyDescent="0.2">
      <c r="A247" s="105"/>
      <c r="B247" s="107" t="s">
        <v>427</v>
      </c>
      <c r="C247" s="444" t="s">
        <v>1320</v>
      </c>
      <c r="D247" s="444"/>
      <c r="E247" s="444"/>
      <c r="F247" s="444"/>
      <c r="G247" s="444"/>
      <c r="H247" s="444"/>
      <c r="I247" s="444"/>
      <c r="J247" s="444"/>
      <c r="K247" s="444"/>
      <c r="L247" s="444"/>
      <c r="M247" s="444"/>
      <c r="N247" s="445"/>
    </row>
    <row r="248" spans="1:14" x14ac:dyDescent="0.2">
      <c r="A248" s="105"/>
      <c r="B248" s="98"/>
      <c r="C248" s="444"/>
      <c r="D248" s="444"/>
      <c r="E248" s="444"/>
      <c r="F248" s="444"/>
      <c r="G248" s="444"/>
      <c r="H248" s="444"/>
      <c r="I248" s="444"/>
      <c r="J248" s="444"/>
      <c r="K248" s="444"/>
      <c r="L248" s="444"/>
      <c r="M248" s="444"/>
      <c r="N248" s="445"/>
    </row>
    <row r="249" spans="1:14" x14ac:dyDescent="0.2">
      <c r="A249" s="105"/>
      <c r="B249" s="98"/>
      <c r="C249" s="446"/>
      <c r="D249" s="446"/>
      <c r="E249" s="446"/>
      <c r="F249" s="446"/>
      <c r="G249" s="446"/>
      <c r="H249" s="446"/>
      <c r="I249" s="446"/>
      <c r="J249" s="446"/>
      <c r="K249" s="446"/>
      <c r="L249" s="446"/>
      <c r="M249" s="446"/>
      <c r="N249" s="447"/>
    </row>
    <row r="250" spans="1:14" x14ac:dyDescent="0.2">
      <c r="A250" s="105"/>
      <c r="B250" s="107" t="s">
        <v>426</v>
      </c>
      <c r="C250" s="98" t="s">
        <v>373</v>
      </c>
      <c r="D250" s="98"/>
      <c r="E250" s="99"/>
      <c r="F250" s="99"/>
      <c r="G250" s="99"/>
      <c r="H250" s="99"/>
      <c r="I250" s="99"/>
      <c r="J250" s="99"/>
      <c r="K250" s="99"/>
      <c r="L250" s="99"/>
      <c r="M250" s="99"/>
      <c r="N250" s="90"/>
    </row>
    <row r="251" spans="1:14" ht="13.5" thickBot="1" x14ac:dyDescent="0.25">
      <c r="A251" s="108"/>
      <c r="B251" s="118" t="s">
        <v>430</v>
      </c>
      <c r="C251" s="109"/>
      <c r="D251" s="109"/>
      <c r="E251" s="110"/>
      <c r="F251" s="110"/>
      <c r="G251" s="110"/>
      <c r="H251" s="110"/>
      <c r="I251" s="110"/>
      <c r="J251" s="110"/>
      <c r="K251" s="110"/>
      <c r="L251" s="110"/>
      <c r="M251" s="110"/>
      <c r="N251" s="93"/>
    </row>
    <row r="252" spans="1:14" x14ac:dyDescent="0.2">
      <c r="A252" s="101"/>
      <c r="B252" s="102" t="s">
        <v>263</v>
      </c>
      <c r="C252" s="102"/>
      <c r="D252" s="102"/>
      <c r="E252" s="103"/>
      <c r="F252" s="103"/>
      <c r="G252" s="103"/>
      <c r="H252" s="103"/>
      <c r="I252" s="103"/>
      <c r="J252" s="114" t="s">
        <v>758</v>
      </c>
      <c r="K252" s="113" t="s">
        <v>279</v>
      </c>
      <c r="L252" s="113" t="s">
        <v>228</v>
      </c>
      <c r="M252" s="113"/>
      <c r="N252" s="113"/>
    </row>
    <row r="253" spans="1:14" ht="13.5" thickBot="1" x14ac:dyDescent="0.25">
      <c r="A253" s="108"/>
      <c r="B253" s="109"/>
      <c r="C253" s="109"/>
      <c r="D253" s="109"/>
      <c r="E253" s="110"/>
      <c r="F253" s="110"/>
      <c r="G253" s="110"/>
      <c r="H253" s="110"/>
      <c r="I253" s="110"/>
      <c r="J253" s="112" t="s">
        <v>282</v>
      </c>
      <c r="K253" s="94" t="s">
        <v>682</v>
      </c>
      <c r="L253" s="94" t="s">
        <v>482</v>
      </c>
      <c r="M253" s="94" t="s">
        <v>188</v>
      </c>
      <c r="N253" s="94"/>
    </row>
    <row r="254" spans="1:14" x14ac:dyDescent="0.2">
      <c r="A254" s="101"/>
      <c r="B254" s="448" t="s">
        <v>67</v>
      </c>
      <c r="C254" s="448"/>
      <c r="D254" s="448"/>
      <c r="E254" s="103"/>
      <c r="F254" s="103" t="s">
        <v>1180</v>
      </c>
      <c r="G254" s="103" t="s">
        <v>68</v>
      </c>
      <c r="H254" s="103" t="s">
        <v>702</v>
      </c>
      <c r="I254" s="103"/>
      <c r="J254" s="113">
        <f>95.5/ATHENS!O1*ATHENS!O2</f>
        <v>194.89795918367346</v>
      </c>
      <c r="K254" s="113">
        <f>122.6/ATHENS!O1*ATHENS!O2</f>
        <v>250.20408163265304</v>
      </c>
      <c r="L254" s="113">
        <f>180.5/ATHENS!O1*ATHENS!O2</f>
        <v>368.36734693877554</v>
      </c>
      <c r="M254" s="113">
        <f>223.9/ATHENS!O1*ATHENS!O2</f>
        <v>456.9387755102041</v>
      </c>
      <c r="N254" s="113"/>
    </row>
    <row r="255" spans="1:14" x14ac:dyDescent="0.2">
      <c r="A255" s="105"/>
      <c r="B255" s="443" t="s">
        <v>67</v>
      </c>
      <c r="C255" s="443"/>
      <c r="D255" s="443"/>
      <c r="E255" s="99"/>
      <c r="F255" s="99" t="s">
        <v>1181</v>
      </c>
      <c r="G255" s="99" t="s">
        <v>68</v>
      </c>
      <c r="H255" s="99" t="s">
        <v>702</v>
      </c>
      <c r="I255" s="99"/>
      <c r="J255" s="89">
        <f>47.5/ATHENS!O1*ATHENS!O2</f>
        <v>96.938775510204081</v>
      </c>
      <c r="K255" s="89">
        <f>61.5/ATHENS!O1*ATHENS!O2</f>
        <v>125.51020408163265</v>
      </c>
      <c r="L255" s="89">
        <f>90.5/ATHENS!O1*ATHENS!O2</f>
        <v>184.69387755102042</v>
      </c>
      <c r="M255" s="89">
        <f>111.9/ATHENS!O1*ATHENS!O2</f>
        <v>228.36734693877551</v>
      </c>
      <c r="N255" s="89"/>
    </row>
    <row r="256" spans="1:14" ht="13.5" thickBot="1" x14ac:dyDescent="0.25">
      <c r="A256" s="105"/>
      <c r="B256" s="443" t="s">
        <v>67</v>
      </c>
      <c r="C256" s="443"/>
      <c r="D256" s="443"/>
      <c r="E256" s="99"/>
      <c r="F256" s="99" t="s">
        <v>1182</v>
      </c>
      <c r="G256" s="99" t="s">
        <v>68</v>
      </c>
      <c r="H256" s="99" t="s">
        <v>702</v>
      </c>
      <c r="I256" s="99"/>
      <c r="J256" s="89">
        <f>41.5/ATHENS!O1*ATHENS!O2</f>
        <v>84.693877551020407</v>
      </c>
      <c r="K256" s="89">
        <f>53.5/ATHENS!O1*ATHENS!O2</f>
        <v>109.18367346938776</v>
      </c>
      <c r="L256" s="89">
        <f>78.5/ATHENS!O1*ATHENS!O2</f>
        <v>160.20408163265307</v>
      </c>
      <c r="M256" s="89">
        <f>97.5/ATHENS!O1*ATHENS!O2</f>
        <v>198.9795918367347</v>
      </c>
      <c r="N256" s="89"/>
    </row>
    <row r="257" spans="1:14" ht="13.5" thickBot="1" x14ac:dyDescent="0.25">
      <c r="A257" s="119"/>
      <c r="B257" s="120" t="s">
        <v>374</v>
      </c>
      <c r="C257" s="120"/>
      <c r="D257" s="120"/>
      <c r="E257" s="121"/>
      <c r="F257" s="121"/>
      <c r="G257" s="121"/>
      <c r="H257" s="121"/>
      <c r="I257" s="121"/>
      <c r="J257" s="121"/>
      <c r="K257" s="121"/>
      <c r="L257" s="121"/>
      <c r="M257" s="121"/>
      <c r="N257" s="122"/>
    </row>
    <row r="258" spans="1:14" ht="13.5" thickBot="1" x14ac:dyDescent="0.25">
      <c r="A258" s="97"/>
      <c r="B258" s="98"/>
      <c r="C258" s="98"/>
      <c r="D258" s="98"/>
      <c r="E258" s="99"/>
      <c r="F258" s="99"/>
      <c r="G258" s="99"/>
      <c r="H258" s="99"/>
      <c r="I258" s="99"/>
      <c r="J258" s="99"/>
      <c r="K258" s="99"/>
      <c r="L258" s="99"/>
      <c r="M258" s="99"/>
      <c r="N258" s="99"/>
    </row>
    <row r="259" spans="1:14" x14ac:dyDescent="0.2">
      <c r="A259" s="101"/>
      <c r="B259" s="102"/>
      <c r="C259" s="102"/>
      <c r="D259" s="102"/>
      <c r="E259" s="103"/>
      <c r="F259" s="103"/>
      <c r="G259" s="103"/>
      <c r="H259" s="103"/>
      <c r="I259" s="103"/>
      <c r="J259" s="103"/>
      <c r="K259" s="103"/>
      <c r="L259" s="103"/>
      <c r="M259" s="103"/>
      <c r="N259" s="104"/>
    </row>
    <row r="260" spans="1:14" ht="15" x14ac:dyDescent="0.2">
      <c r="A260" s="105"/>
      <c r="B260" s="437" t="s">
        <v>828</v>
      </c>
      <c r="C260" s="438"/>
      <c r="D260" s="438"/>
      <c r="E260" s="438"/>
      <c r="F260" s="438"/>
      <c r="G260" s="438"/>
      <c r="H260" s="438"/>
      <c r="I260" s="438"/>
      <c r="J260" s="438"/>
      <c r="K260" s="438"/>
      <c r="L260" s="438"/>
      <c r="M260" s="439"/>
      <c r="N260" s="106" t="s">
        <v>96</v>
      </c>
    </row>
    <row r="261" spans="1:14" x14ac:dyDescent="0.2">
      <c r="A261" s="105"/>
      <c r="B261" s="107" t="s">
        <v>428</v>
      </c>
      <c r="C261" s="98" t="s">
        <v>666</v>
      </c>
      <c r="D261" s="98"/>
      <c r="E261" s="99"/>
      <c r="F261" s="99"/>
      <c r="G261" s="99"/>
      <c r="H261" s="99"/>
      <c r="I261" s="99"/>
      <c r="J261" s="99"/>
      <c r="K261" s="99"/>
      <c r="L261" s="99"/>
      <c r="M261" s="99"/>
      <c r="N261" s="90"/>
    </row>
    <row r="262" spans="1:14" x14ac:dyDescent="0.2">
      <c r="A262" s="105"/>
      <c r="B262" s="107" t="s">
        <v>429</v>
      </c>
      <c r="C262" s="98" t="s">
        <v>1153</v>
      </c>
      <c r="D262" s="98"/>
      <c r="E262" s="99"/>
      <c r="F262" s="99"/>
      <c r="G262" s="99"/>
      <c r="H262" s="99"/>
      <c r="I262" s="99"/>
      <c r="J262" s="99"/>
      <c r="K262" s="99"/>
      <c r="L262" s="99"/>
      <c r="M262" s="99"/>
      <c r="N262" s="90"/>
    </row>
    <row r="263" spans="1:14" x14ac:dyDescent="0.2">
      <c r="A263" s="105"/>
      <c r="B263" s="107" t="s">
        <v>427</v>
      </c>
      <c r="C263" s="444" t="s">
        <v>1321</v>
      </c>
      <c r="D263" s="444"/>
      <c r="E263" s="444"/>
      <c r="F263" s="444"/>
      <c r="G263" s="444"/>
      <c r="H263" s="444"/>
      <c r="I263" s="444"/>
      <c r="J263" s="444"/>
      <c r="K263" s="444"/>
      <c r="L263" s="444"/>
      <c r="M263" s="444"/>
      <c r="N263" s="445"/>
    </row>
    <row r="264" spans="1:14" x14ac:dyDescent="0.2">
      <c r="A264" s="105"/>
      <c r="B264" s="98"/>
      <c r="C264" s="444"/>
      <c r="D264" s="444"/>
      <c r="E264" s="444"/>
      <c r="F264" s="444"/>
      <c r="G264" s="444"/>
      <c r="H264" s="444"/>
      <c r="I264" s="444"/>
      <c r="J264" s="444"/>
      <c r="K264" s="444"/>
      <c r="L264" s="444"/>
      <c r="M264" s="444"/>
      <c r="N264" s="445"/>
    </row>
    <row r="265" spans="1:14" x14ac:dyDescent="0.2">
      <c r="A265" s="105"/>
      <c r="B265" s="98"/>
      <c r="C265" s="446"/>
      <c r="D265" s="446"/>
      <c r="E265" s="446"/>
      <c r="F265" s="446"/>
      <c r="G265" s="446"/>
      <c r="H265" s="446"/>
      <c r="I265" s="446"/>
      <c r="J265" s="446"/>
      <c r="K265" s="446"/>
      <c r="L265" s="446"/>
      <c r="M265" s="446"/>
      <c r="N265" s="447"/>
    </row>
    <row r="266" spans="1:14" x14ac:dyDescent="0.2">
      <c r="A266" s="105"/>
      <c r="B266" s="107" t="s">
        <v>426</v>
      </c>
      <c r="C266" s="98" t="s">
        <v>283</v>
      </c>
      <c r="D266" s="98"/>
      <c r="E266" s="99"/>
      <c r="F266" s="99"/>
      <c r="G266" s="99"/>
      <c r="H266" s="99"/>
      <c r="I266" s="99"/>
      <c r="J266" s="99"/>
      <c r="K266" s="99"/>
      <c r="L266" s="99"/>
      <c r="M266" s="99"/>
      <c r="N266" s="90"/>
    </row>
    <row r="267" spans="1:14" ht="13.5" thickBot="1" x14ac:dyDescent="0.25">
      <c r="A267" s="108"/>
      <c r="B267" s="107" t="s">
        <v>430</v>
      </c>
      <c r="C267" s="109"/>
      <c r="D267" s="109"/>
      <c r="E267" s="110"/>
      <c r="F267" s="110"/>
      <c r="G267" s="110"/>
      <c r="H267" s="110"/>
      <c r="I267" s="110"/>
      <c r="J267" s="110"/>
      <c r="K267" s="110"/>
      <c r="L267" s="110"/>
      <c r="M267" s="110"/>
      <c r="N267" s="93"/>
    </row>
    <row r="268" spans="1:14" x14ac:dyDescent="0.2">
      <c r="A268" s="101"/>
      <c r="B268" s="102" t="s">
        <v>263</v>
      </c>
      <c r="C268" s="102"/>
      <c r="D268" s="102"/>
      <c r="E268" s="103"/>
      <c r="F268" s="103"/>
      <c r="G268" s="103"/>
      <c r="H268" s="103"/>
      <c r="I268" s="103"/>
      <c r="J268" s="113" t="s">
        <v>2053</v>
      </c>
      <c r="K268" s="113"/>
      <c r="L268" s="113" t="s">
        <v>2054</v>
      </c>
      <c r="M268" s="113"/>
      <c r="N268" s="113"/>
    </row>
    <row r="269" spans="1:14" ht="13.5" thickBot="1" x14ac:dyDescent="0.25">
      <c r="A269" s="108"/>
      <c r="B269" s="98"/>
      <c r="C269" s="109"/>
      <c r="D269" s="109"/>
      <c r="E269" s="110"/>
      <c r="F269" s="110"/>
      <c r="G269" s="110"/>
      <c r="H269" s="110"/>
      <c r="I269" s="110"/>
      <c r="J269" s="94" t="s">
        <v>272</v>
      </c>
      <c r="K269" s="94" t="s">
        <v>279</v>
      </c>
      <c r="L269" s="94" t="s">
        <v>2055</v>
      </c>
      <c r="M269" s="94" t="s">
        <v>2056</v>
      </c>
      <c r="N269" s="94"/>
    </row>
    <row r="270" spans="1:14" x14ac:dyDescent="0.2">
      <c r="A270" s="101"/>
      <c r="B270" s="448" t="s">
        <v>67</v>
      </c>
      <c r="C270" s="448"/>
      <c r="D270" s="448"/>
      <c r="E270" s="103"/>
      <c r="F270" s="103" t="s">
        <v>1180</v>
      </c>
      <c r="G270" s="103" t="s">
        <v>68</v>
      </c>
      <c r="H270" s="103" t="s">
        <v>702</v>
      </c>
      <c r="I270" s="103"/>
      <c r="J270" s="89">
        <f>147.5/ATHENS!O1*ATHENS!O2</f>
        <v>301.0204081632653</v>
      </c>
      <c r="K270" s="89">
        <f>210.89/ATHENS!O1*ATHENS!O2</f>
        <v>430.38775510204079</v>
      </c>
      <c r="L270" s="89">
        <f>284.5/ATHENS!O1*ATHENS!O2</f>
        <v>580.61224489795916</v>
      </c>
      <c r="M270" s="89">
        <f>373.8/ATHENS!O1*ATHENS!O2</f>
        <v>762.85714285714289</v>
      </c>
      <c r="N270" s="113"/>
    </row>
    <row r="271" spans="1:14" x14ac:dyDescent="0.2">
      <c r="A271" s="105"/>
      <c r="B271" s="443" t="s">
        <v>67</v>
      </c>
      <c r="C271" s="443"/>
      <c r="D271" s="443"/>
      <c r="E271" s="99"/>
      <c r="F271" s="99" t="s">
        <v>1181</v>
      </c>
      <c r="G271" s="99" t="s">
        <v>68</v>
      </c>
      <c r="H271" s="99" t="s">
        <v>702</v>
      </c>
      <c r="I271" s="99"/>
      <c r="J271" s="89">
        <f>73.69/ATHENS!O1*ATHENS!O2</f>
        <v>150.38775510204081</v>
      </c>
      <c r="K271" s="89">
        <f>105.5/ATHENS!O1*ATHENS!O2</f>
        <v>215.30612244897961</v>
      </c>
      <c r="L271" s="89">
        <f>142.5/ATHENS!O1*ATHENS!O2</f>
        <v>290.81632653061223</v>
      </c>
      <c r="M271" s="89">
        <f>186.9/ATHENS!O1*ATHENS!O2</f>
        <v>381.42857142857144</v>
      </c>
      <c r="N271" s="89"/>
    </row>
    <row r="272" spans="1:14" ht="13.5" thickBot="1" x14ac:dyDescent="0.25">
      <c r="A272" s="108"/>
      <c r="B272" s="436" t="s">
        <v>67</v>
      </c>
      <c r="C272" s="436"/>
      <c r="D272" s="436"/>
      <c r="E272" s="110"/>
      <c r="F272" s="110" t="s">
        <v>1182</v>
      </c>
      <c r="G272" s="110" t="s">
        <v>68</v>
      </c>
      <c r="H272" s="110" t="s">
        <v>702</v>
      </c>
      <c r="I272" s="110"/>
      <c r="J272" s="94">
        <f>60.7/ATHENS!O1*ATHENS!O2</f>
        <v>123.87755102040818</v>
      </c>
      <c r="K272" s="94">
        <f>85.5/ATHENS!O1*ATHENS!O2</f>
        <v>174.48979591836735</v>
      </c>
      <c r="L272" s="94">
        <f>106.6/ATHENS!O1*ATHENS!O2</f>
        <v>217.55102040816325</v>
      </c>
      <c r="M272" s="94">
        <f>143.5/ATHENS!O1*ATHENS!O2</f>
        <v>292.85714285714289</v>
      </c>
      <c r="N272" s="94"/>
    </row>
    <row r="273" spans="1:14" ht="13.5" thickBot="1" x14ac:dyDescent="0.25">
      <c r="A273" s="97"/>
      <c r="B273" s="98"/>
      <c r="C273" s="98"/>
      <c r="D273" s="98"/>
      <c r="E273" s="99"/>
      <c r="F273" s="99"/>
      <c r="G273" s="99"/>
      <c r="H273" s="99"/>
      <c r="I273" s="99"/>
      <c r="J273" s="99"/>
      <c r="K273" s="99"/>
      <c r="L273" s="99"/>
      <c r="M273" s="99"/>
      <c r="N273" s="99"/>
    </row>
    <row r="274" spans="1:14" x14ac:dyDescent="0.2">
      <c r="A274" s="101"/>
      <c r="B274" s="102"/>
      <c r="C274" s="102"/>
      <c r="D274" s="102"/>
      <c r="E274" s="103"/>
      <c r="F274" s="103"/>
      <c r="G274" s="103"/>
      <c r="H274" s="103"/>
      <c r="I274" s="103"/>
      <c r="J274" s="103"/>
      <c r="K274" s="103"/>
      <c r="L274" s="103"/>
      <c r="M274" s="103"/>
      <c r="N274" s="104"/>
    </row>
    <row r="275" spans="1:14" ht="15" x14ac:dyDescent="0.2">
      <c r="A275" s="105"/>
      <c r="B275" s="437" t="s">
        <v>375</v>
      </c>
      <c r="C275" s="438"/>
      <c r="D275" s="438"/>
      <c r="E275" s="438"/>
      <c r="F275" s="438"/>
      <c r="G275" s="438"/>
      <c r="H275" s="438"/>
      <c r="I275" s="438"/>
      <c r="J275" s="438"/>
      <c r="K275" s="438"/>
      <c r="L275" s="438"/>
      <c r="M275" s="439"/>
      <c r="N275" s="106" t="s">
        <v>96</v>
      </c>
    </row>
    <row r="276" spans="1:14" x14ac:dyDescent="0.2">
      <c r="A276" s="105"/>
      <c r="B276" s="107" t="s">
        <v>428</v>
      </c>
      <c r="C276" s="98" t="s">
        <v>575</v>
      </c>
      <c r="D276" s="98"/>
      <c r="E276" s="99"/>
      <c r="F276" s="99"/>
      <c r="G276" s="99"/>
      <c r="H276" s="99"/>
      <c r="I276" s="99"/>
      <c r="J276" s="99"/>
      <c r="K276" s="99"/>
      <c r="L276" s="99"/>
      <c r="M276" s="99"/>
      <c r="N276" s="90"/>
    </row>
    <row r="277" spans="1:14" x14ac:dyDescent="0.2">
      <c r="A277" s="105"/>
      <c r="B277" s="107" t="s">
        <v>429</v>
      </c>
      <c r="C277" s="98" t="s">
        <v>122</v>
      </c>
      <c r="D277" s="98"/>
      <c r="E277" s="99"/>
      <c r="F277" s="99"/>
      <c r="G277" s="99"/>
      <c r="H277" s="99"/>
      <c r="I277" s="99"/>
      <c r="J277" s="99"/>
      <c r="K277" s="99"/>
      <c r="L277" s="99"/>
      <c r="M277" s="99"/>
      <c r="N277" s="90"/>
    </row>
    <row r="278" spans="1:14" x14ac:dyDescent="0.2">
      <c r="A278" s="105"/>
      <c r="B278" s="107" t="s">
        <v>427</v>
      </c>
      <c r="C278" s="444" t="s">
        <v>1550</v>
      </c>
      <c r="D278" s="444"/>
      <c r="E278" s="444"/>
      <c r="F278" s="444"/>
      <c r="G278" s="444"/>
      <c r="H278" s="444"/>
      <c r="I278" s="444"/>
      <c r="J278" s="444"/>
      <c r="K278" s="444"/>
      <c r="L278" s="444"/>
      <c r="M278" s="444"/>
      <c r="N278" s="445"/>
    </row>
    <row r="279" spans="1:14" x14ac:dyDescent="0.2">
      <c r="A279" s="105"/>
      <c r="B279" s="98"/>
      <c r="C279" s="444"/>
      <c r="D279" s="444"/>
      <c r="E279" s="444"/>
      <c r="F279" s="444"/>
      <c r="G279" s="444"/>
      <c r="H279" s="444"/>
      <c r="I279" s="444"/>
      <c r="J279" s="444"/>
      <c r="K279" s="444"/>
      <c r="L279" s="444"/>
      <c r="M279" s="444"/>
      <c r="N279" s="445"/>
    </row>
    <row r="280" spans="1:14" x14ac:dyDescent="0.2">
      <c r="A280" s="105"/>
      <c r="B280" s="98"/>
      <c r="C280" s="444"/>
      <c r="D280" s="444"/>
      <c r="E280" s="444"/>
      <c r="F280" s="444"/>
      <c r="G280" s="444"/>
      <c r="H280" s="444"/>
      <c r="I280" s="444"/>
      <c r="J280" s="444"/>
      <c r="K280" s="444"/>
      <c r="L280" s="444"/>
      <c r="M280" s="444"/>
      <c r="N280" s="445"/>
    </row>
    <row r="281" spans="1:14" x14ac:dyDescent="0.2">
      <c r="A281" s="105"/>
      <c r="B281" s="98"/>
      <c r="C281" s="446"/>
      <c r="D281" s="446"/>
      <c r="E281" s="446"/>
      <c r="F281" s="446"/>
      <c r="G281" s="446"/>
      <c r="H281" s="446"/>
      <c r="I281" s="446"/>
      <c r="J281" s="446"/>
      <c r="K281" s="446"/>
      <c r="L281" s="446"/>
      <c r="M281" s="446"/>
      <c r="N281" s="447"/>
    </row>
    <row r="282" spans="1:14" x14ac:dyDescent="0.2">
      <c r="A282" s="105"/>
      <c r="B282" s="107" t="s">
        <v>426</v>
      </c>
      <c r="C282" s="98" t="s">
        <v>4</v>
      </c>
      <c r="D282" s="98"/>
      <c r="E282" s="99"/>
      <c r="F282" s="99"/>
      <c r="G282" s="99"/>
      <c r="H282" s="99"/>
      <c r="I282" s="99"/>
      <c r="J282" s="99"/>
      <c r="K282" s="99"/>
      <c r="L282" s="99"/>
      <c r="M282" s="99"/>
      <c r="N282" s="90"/>
    </row>
    <row r="283" spans="1:14" ht="13.5" thickBot="1" x14ac:dyDescent="0.25">
      <c r="A283" s="105"/>
      <c r="B283" s="107" t="s">
        <v>430</v>
      </c>
      <c r="C283" s="98"/>
      <c r="D283" s="98"/>
      <c r="E283" s="99"/>
      <c r="F283" s="99"/>
      <c r="G283" s="99"/>
      <c r="H283" s="99"/>
      <c r="I283" s="99"/>
      <c r="J283" s="99"/>
      <c r="K283" s="99"/>
      <c r="L283" s="99"/>
      <c r="M283" s="99"/>
      <c r="N283" s="90"/>
    </row>
    <row r="284" spans="1:14" x14ac:dyDescent="0.2">
      <c r="A284" s="101"/>
      <c r="B284" s="102" t="s">
        <v>263</v>
      </c>
      <c r="C284" s="102"/>
      <c r="D284" s="102"/>
      <c r="E284" s="103"/>
      <c r="F284" s="103"/>
      <c r="G284" s="103"/>
      <c r="H284" s="103"/>
      <c r="I284" s="103"/>
      <c r="J284" s="114" t="s">
        <v>2057</v>
      </c>
      <c r="K284" s="113" t="s">
        <v>279</v>
      </c>
      <c r="L284" s="113" t="s">
        <v>74</v>
      </c>
      <c r="M284" s="113"/>
      <c r="N284" s="113"/>
    </row>
    <row r="285" spans="1:14" ht="13.5" thickBot="1" x14ac:dyDescent="0.25">
      <c r="A285" s="108"/>
      <c r="B285" s="109"/>
      <c r="C285" s="109"/>
      <c r="D285" s="109"/>
      <c r="E285" s="110"/>
      <c r="F285" s="110"/>
      <c r="G285" s="110"/>
      <c r="H285" s="110"/>
      <c r="I285" s="110"/>
      <c r="J285" s="112" t="s">
        <v>481</v>
      </c>
      <c r="K285" s="94" t="s">
        <v>341</v>
      </c>
      <c r="L285" s="94" t="s">
        <v>520</v>
      </c>
      <c r="M285" s="94" t="s">
        <v>524</v>
      </c>
      <c r="N285" s="94"/>
    </row>
    <row r="286" spans="1:14" x14ac:dyDescent="0.2">
      <c r="A286" s="105"/>
      <c r="B286" s="443" t="s">
        <v>67</v>
      </c>
      <c r="C286" s="443"/>
      <c r="D286" s="443"/>
      <c r="E286" s="99"/>
      <c r="F286" s="99" t="s">
        <v>1180</v>
      </c>
      <c r="G286" s="99" t="s">
        <v>68</v>
      </c>
      <c r="H286" s="99" t="s">
        <v>702</v>
      </c>
      <c r="I286" s="99"/>
      <c r="J286" s="89">
        <f>205.5/ATHENS!O1*ATHENS!O2</f>
        <v>419.38775510204084</v>
      </c>
      <c r="K286" s="89">
        <f>257.5/ATHENS!O1*ATHENS!O2</f>
        <v>525.51020408163265</v>
      </c>
      <c r="L286" s="89">
        <f>342.8/ATHENS!O1*ATHENS!O2</f>
        <v>699.59183673469386</v>
      </c>
      <c r="M286" s="89">
        <f>402.5/ATHENS!O1*ATHENS!O2</f>
        <v>821.42857142857144</v>
      </c>
      <c r="N286" s="89"/>
    </row>
    <row r="287" spans="1:14" x14ac:dyDescent="0.2">
      <c r="A287" s="105"/>
      <c r="B287" s="443" t="s">
        <v>67</v>
      </c>
      <c r="C287" s="443"/>
      <c r="D287" s="443"/>
      <c r="E287" s="99"/>
      <c r="F287" s="99" t="s">
        <v>1181</v>
      </c>
      <c r="G287" s="99" t="s">
        <v>68</v>
      </c>
      <c r="H287" s="99" t="s">
        <v>702</v>
      </c>
      <c r="I287" s="99"/>
      <c r="J287" s="89">
        <f>102.6/ATHENS!O1*ATHENS!O2</f>
        <v>209.38775510204081</v>
      </c>
      <c r="K287" s="89">
        <f>128.7/ATHENS!O1*ATHENS!O2</f>
        <v>262.65306122448976</v>
      </c>
      <c r="L287" s="89">
        <f>171.5/ATHENS!O1*ATHENS!O2</f>
        <v>350</v>
      </c>
      <c r="M287" s="89">
        <f>201.5/ATHENS!O1*ATHENS!O2</f>
        <v>411.22448979591837</v>
      </c>
      <c r="N287" s="89"/>
    </row>
    <row r="288" spans="1:14" ht="13.5" thickBot="1" x14ac:dyDescent="0.25">
      <c r="A288" s="108"/>
      <c r="B288" s="436" t="s">
        <v>67</v>
      </c>
      <c r="C288" s="436"/>
      <c r="D288" s="436"/>
      <c r="E288" s="110"/>
      <c r="F288" s="110" t="s">
        <v>1182</v>
      </c>
      <c r="G288" s="110" t="s">
        <v>68</v>
      </c>
      <c r="H288" s="110" t="s">
        <v>702</v>
      </c>
      <c r="I288" s="110"/>
      <c r="J288" s="94">
        <f>92.5/ATHENS!O1*ATHENS!O2</f>
        <v>188.77551020408163</v>
      </c>
      <c r="K288" s="94">
        <f>116.5/ATHENS!O1*ATHENS!O2</f>
        <v>237.75510204081633</v>
      </c>
      <c r="L288" s="94">
        <f>154.5/ATHENS!O1*ATHENS!O2</f>
        <v>315.30612244897958</v>
      </c>
      <c r="M288" s="94">
        <f>180.9/ATHENS!O1*ATHENS!O2</f>
        <v>369.18367346938777</v>
      </c>
      <c r="N288" s="94"/>
    </row>
    <row r="289" spans="1:14" ht="13.5" thickBot="1" x14ac:dyDescent="0.25">
      <c r="A289" s="97"/>
      <c r="B289" s="98"/>
      <c r="C289" s="98"/>
      <c r="D289" s="98"/>
      <c r="E289" s="99"/>
      <c r="F289" s="99"/>
      <c r="G289" s="99"/>
      <c r="H289" s="99"/>
      <c r="I289" s="99"/>
      <c r="J289" s="99"/>
      <c r="K289" s="99"/>
      <c r="L289" s="99"/>
      <c r="M289" s="99"/>
      <c r="N289" s="99"/>
    </row>
    <row r="290" spans="1:14" x14ac:dyDescent="0.2">
      <c r="A290" s="101"/>
      <c r="B290" s="102"/>
      <c r="C290" s="102"/>
      <c r="D290" s="102"/>
      <c r="E290" s="103"/>
      <c r="F290" s="103"/>
      <c r="G290" s="103"/>
      <c r="H290" s="103"/>
      <c r="I290" s="103"/>
      <c r="J290" s="103"/>
      <c r="K290" s="103"/>
      <c r="L290" s="103"/>
      <c r="M290" s="103"/>
      <c r="N290" s="104"/>
    </row>
    <row r="291" spans="1:14" ht="15" x14ac:dyDescent="0.2">
      <c r="A291" s="105"/>
      <c r="B291" s="437" t="s">
        <v>299</v>
      </c>
      <c r="C291" s="438"/>
      <c r="D291" s="438"/>
      <c r="E291" s="438"/>
      <c r="F291" s="438"/>
      <c r="G291" s="438"/>
      <c r="H291" s="438"/>
      <c r="I291" s="438"/>
      <c r="J291" s="438"/>
      <c r="K291" s="438"/>
      <c r="L291" s="438"/>
      <c r="M291" s="439"/>
      <c r="N291" s="106" t="s">
        <v>96</v>
      </c>
    </row>
    <row r="292" spans="1:14" x14ac:dyDescent="0.2">
      <c r="A292" s="105"/>
      <c r="B292" s="107" t="s">
        <v>428</v>
      </c>
      <c r="C292" s="98" t="s">
        <v>18</v>
      </c>
      <c r="D292" s="98"/>
      <c r="E292" s="99"/>
      <c r="F292" s="99"/>
      <c r="G292" s="99"/>
      <c r="H292" s="99"/>
      <c r="I292" s="99"/>
      <c r="J292" s="99"/>
      <c r="K292" s="99"/>
      <c r="L292" s="99"/>
      <c r="M292" s="99"/>
      <c r="N292" s="90"/>
    </row>
    <row r="293" spans="1:14" x14ac:dyDescent="0.2">
      <c r="A293" s="105"/>
      <c r="B293" s="107" t="s">
        <v>429</v>
      </c>
      <c r="C293" s="98" t="s">
        <v>316</v>
      </c>
      <c r="D293" s="98"/>
      <c r="E293" s="99"/>
      <c r="F293" s="99"/>
      <c r="G293" s="99"/>
      <c r="H293" s="99"/>
      <c r="I293" s="99"/>
      <c r="J293" s="99"/>
      <c r="K293" s="99"/>
      <c r="L293" s="99"/>
      <c r="M293" s="99"/>
      <c r="N293" s="90"/>
    </row>
    <row r="294" spans="1:14" x14ac:dyDescent="0.2">
      <c r="A294" s="105"/>
      <c r="B294" s="107" t="s">
        <v>427</v>
      </c>
      <c r="C294" s="444" t="s">
        <v>1549</v>
      </c>
      <c r="D294" s="444"/>
      <c r="E294" s="444"/>
      <c r="F294" s="444"/>
      <c r="G294" s="444"/>
      <c r="H294" s="444"/>
      <c r="I294" s="444"/>
      <c r="J294" s="444"/>
      <c r="K294" s="444"/>
      <c r="L294" s="444"/>
      <c r="M294" s="444"/>
      <c r="N294" s="445"/>
    </row>
    <row r="295" spans="1:14" x14ac:dyDescent="0.2">
      <c r="A295" s="105"/>
      <c r="B295" s="98"/>
      <c r="C295" s="444"/>
      <c r="D295" s="444"/>
      <c r="E295" s="444"/>
      <c r="F295" s="444"/>
      <c r="G295" s="444"/>
      <c r="H295" s="444"/>
      <c r="I295" s="444"/>
      <c r="J295" s="444"/>
      <c r="K295" s="444"/>
      <c r="L295" s="444"/>
      <c r="M295" s="444"/>
      <c r="N295" s="445"/>
    </row>
    <row r="296" spans="1:14" x14ac:dyDescent="0.2">
      <c r="A296" s="105"/>
      <c r="B296" s="98"/>
      <c r="C296" s="446"/>
      <c r="D296" s="446"/>
      <c r="E296" s="446"/>
      <c r="F296" s="446"/>
      <c r="G296" s="446"/>
      <c r="H296" s="446"/>
      <c r="I296" s="446"/>
      <c r="J296" s="446"/>
      <c r="K296" s="446"/>
      <c r="L296" s="446"/>
      <c r="M296" s="446"/>
      <c r="N296" s="447"/>
    </row>
    <row r="297" spans="1:14" x14ac:dyDescent="0.2">
      <c r="A297" s="105"/>
      <c r="B297" s="98"/>
      <c r="C297" s="446"/>
      <c r="D297" s="446"/>
      <c r="E297" s="446"/>
      <c r="F297" s="446"/>
      <c r="G297" s="446"/>
      <c r="H297" s="446"/>
      <c r="I297" s="446"/>
      <c r="J297" s="446"/>
      <c r="K297" s="446"/>
      <c r="L297" s="446"/>
      <c r="M297" s="446"/>
      <c r="N297" s="447"/>
    </row>
    <row r="298" spans="1:14" x14ac:dyDescent="0.2">
      <c r="A298" s="105"/>
      <c r="B298" s="98"/>
      <c r="C298" s="446"/>
      <c r="D298" s="446"/>
      <c r="E298" s="446"/>
      <c r="F298" s="446"/>
      <c r="G298" s="446"/>
      <c r="H298" s="446"/>
      <c r="I298" s="446"/>
      <c r="J298" s="446"/>
      <c r="K298" s="446"/>
      <c r="L298" s="446"/>
      <c r="M298" s="446"/>
      <c r="N298" s="447"/>
    </row>
    <row r="299" spans="1:14" x14ac:dyDescent="0.2">
      <c r="A299" s="105"/>
      <c r="B299" s="107" t="s">
        <v>426</v>
      </c>
      <c r="C299" s="98"/>
      <c r="D299" s="98"/>
      <c r="E299" s="99"/>
      <c r="F299" s="99"/>
      <c r="G299" s="99"/>
      <c r="H299" s="99"/>
      <c r="I299" s="99"/>
      <c r="J299" s="99"/>
      <c r="K299" s="99"/>
      <c r="L299" s="99"/>
      <c r="M299" s="99"/>
      <c r="N299" s="90"/>
    </row>
    <row r="300" spans="1:14" ht="13.5" thickBot="1" x14ac:dyDescent="0.25">
      <c r="A300" s="105"/>
      <c r="B300" s="107" t="s">
        <v>430</v>
      </c>
      <c r="C300" s="98"/>
      <c r="D300" s="98"/>
      <c r="E300" s="99"/>
      <c r="F300" s="99"/>
      <c r="G300" s="99"/>
      <c r="H300" s="99"/>
      <c r="I300" s="99"/>
      <c r="J300" s="99"/>
      <c r="K300" s="99"/>
      <c r="L300" s="99"/>
      <c r="M300" s="99"/>
      <c r="N300" s="90"/>
    </row>
    <row r="301" spans="1:14" x14ac:dyDescent="0.2">
      <c r="A301" s="101"/>
      <c r="B301" s="102" t="s">
        <v>263</v>
      </c>
      <c r="C301" s="102"/>
      <c r="D301" s="102"/>
      <c r="E301" s="103"/>
      <c r="F301" s="103"/>
      <c r="G301" s="103"/>
      <c r="H301" s="103"/>
      <c r="I301" s="103"/>
      <c r="J301" s="114" t="s">
        <v>2058</v>
      </c>
      <c r="K301" s="113" t="s">
        <v>2060</v>
      </c>
      <c r="L301" s="113" t="s">
        <v>2062</v>
      </c>
      <c r="M301" s="113"/>
      <c r="N301" s="113"/>
    </row>
    <row r="302" spans="1:14" ht="13.5" thickBot="1" x14ac:dyDescent="0.25">
      <c r="A302" s="108"/>
      <c r="B302" s="109"/>
      <c r="C302" s="109"/>
      <c r="D302" s="109"/>
      <c r="E302" s="110"/>
      <c r="F302" s="110"/>
      <c r="G302" s="110"/>
      <c r="H302" s="110"/>
      <c r="I302" s="110"/>
      <c r="J302" s="112" t="s">
        <v>2059</v>
      </c>
      <c r="K302" s="94" t="s">
        <v>2061</v>
      </c>
      <c r="L302" s="94" t="s">
        <v>1793</v>
      </c>
      <c r="M302" s="94" t="s">
        <v>2063</v>
      </c>
      <c r="N302" s="94"/>
    </row>
    <row r="303" spans="1:14" x14ac:dyDescent="0.2">
      <c r="A303" s="105"/>
      <c r="B303" s="443" t="s">
        <v>67</v>
      </c>
      <c r="C303" s="443"/>
      <c r="D303" s="443"/>
      <c r="E303" s="99"/>
      <c r="F303" s="99" t="s">
        <v>1180</v>
      </c>
      <c r="G303" s="99" t="s">
        <v>68</v>
      </c>
      <c r="H303" s="99" t="s">
        <v>702</v>
      </c>
      <c r="I303" s="99"/>
      <c r="J303" s="89">
        <f>44.5/ATHENS!O1*ATHENS!O2</f>
        <v>90.816326530612244</v>
      </c>
      <c r="K303" s="89">
        <f>72.5/ATHENS!O1*ATHENS!O2</f>
        <v>147.9591836734694</v>
      </c>
      <c r="L303" s="89">
        <f>127.5/ATHENS!O1*ATHENS!O2</f>
        <v>260.20408163265307</v>
      </c>
      <c r="M303" s="89">
        <f>167.5/ATHENS!O1*ATHENS!O2</f>
        <v>341.83673469387753</v>
      </c>
      <c r="N303" s="89"/>
    </row>
    <row r="304" spans="1:14" x14ac:dyDescent="0.2">
      <c r="A304" s="105"/>
      <c r="B304" s="443" t="s">
        <v>67</v>
      </c>
      <c r="C304" s="443"/>
      <c r="D304" s="443"/>
      <c r="E304" s="99"/>
      <c r="F304" s="99" t="s">
        <v>1181</v>
      </c>
      <c r="G304" s="99" t="s">
        <v>68</v>
      </c>
      <c r="H304" s="99" t="s">
        <v>702</v>
      </c>
      <c r="I304" s="99"/>
      <c r="J304" s="89">
        <f>24.7/ATHENS!O1*ATHENS!O2</f>
        <v>50.408163265306122</v>
      </c>
      <c r="K304" s="89">
        <f>40.5/ATHENS!O1*ATHENS!O2</f>
        <v>82.653061224489804</v>
      </c>
      <c r="L304" s="89">
        <f>70.5/ATHENS!O1*ATHENS!O2</f>
        <v>143.87755102040816</v>
      </c>
      <c r="M304" s="89">
        <f>91.5/ATHENS!O1*ATHENS!O2</f>
        <v>186.73469387755102</v>
      </c>
      <c r="N304" s="89"/>
    </row>
    <row r="305" spans="1:14" ht="13.5" thickBot="1" x14ac:dyDescent="0.25">
      <c r="A305" s="108"/>
      <c r="B305" s="436" t="s">
        <v>67</v>
      </c>
      <c r="C305" s="436"/>
      <c r="D305" s="436"/>
      <c r="E305" s="110"/>
      <c r="F305" s="110" t="s">
        <v>1182</v>
      </c>
      <c r="G305" s="110" t="s">
        <v>68</v>
      </c>
      <c r="H305" s="110" t="s">
        <v>702</v>
      </c>
      <c r="I305" s="110"/>
      <c r="J305" s="94">
        <f>22.5/ATHENS!O1*ATHENS!O2</f>
        <v>45.91836734693878</v>
      </c>
      <c r="K305" s="94">
        <f>36.5/ATHENS!O1*ATHENS!O2</f>
        <v>74.489795918367349</v>
      </c>
      <c r="L305" s="94">
        <f>63.5/ATHENS!O1*ATHENS!O2</f>
        <v>129.59183673469389</v>
      </c>
      <c r="M305" s="94">
        <f>83.9/ATHENS!O1*ATHENS!O2</f>
        <v>171.22448979591837</v>
      </c>
      <c r="N305" s="94"/>
    </row>
    <row r="306" spans="1:14" ht="13.5" thickBot="1" x14ac:dyDescent="0.25">
      <c r="A306" s="97"/>
      <c r="B306" s="98"/>
      <c r="C306" s="98"/>
      <c r="D306" s="98"/>
      <c r="E306" s="99"/>
      <c r="F306" s="99"/>
      <c r="G306" s="99"/>
      <c r="H306" s="99"/>
      <c r="I306" s="99"/>
      <c r="J306" s="99"/>
      <c r="K306" s="99"/>
      <c r="L306" s="99"/>
      <c r="M306" s="99"/>
      <c r="N306" s="99"/>
    </row>
    <row r="307" spans="1:14" x14ac:dyDescent="0.2">
      <c r="A307" s="101"/>
      <c r="B307" s="102"/>
      <c r="C307" s="102"/>
      <c r="D307" s="102"/>
      <c r="E307" s="103"/>
      <c r="F307" s="103"/>
      <c r="G307" s="103"/>
      <c r="H307" s="103"/>
      <c r="I307" s="103"/>
      <c r="J307" s="103"/>
      <c r="K307" s="103"/>
      <c r="L307" s="103"/>
      <c r="M307" s="103"/>
      <c r="N307" s="104"/>
    </row>
    <row r="308" spans="1:14" ht="15" x14ac:dyDescent="0.2">
      <c r="A308" s="105"/>
      <c r="B308" s="437" t="s">
        <v>477</v>
      </c>
      <c r="C308" s="438"/>
      <c r="D308" s="438"/>
      <c r="E308" s="438"/>
      <c r="F308" s="438"/>
      <c r="G308" s="438"/>
      <c r="H308" s="438"/>
      <c r="I308" s="438"/>
      <c r="J308" s="438"/>
      <c r="K308" s="438"/>
      <c r="L308" s="438"/>
      <c r="M308" s="439"/>
      <c r="N308" s="106" t="s">
        <v>96</v>
      </c>
    </row>
    <row r="309" spans="1:14" x14ac:dyDescent="0.2">
      <c r="A309" s="105"/>
      <c r="B309" s="107" t="s">
        <v>428</v>
      </c>
      <c r="C309" s="98" t="s">
        <v>575</v>
      </c>
      <c r="D309" s="98"/>
      <c r="E309" s="99"/>
      <c r="F309" s="99"/>
      <c r="G309" s="99"/>
      <c r="H309" s="99"/>
      <c r="I309" s="99"/>
      <c r="J309" s="99"/>
      <c r="K309" s="99"/>
      <c r="L309" s="99"/>
      <c r="M309" s="99"/>
      <c r="N309" s="90"/>
    </row>
    <row r="310" spans="1:14" x14ac:dyDescent="0.2">
      <c r="A310" s="105"/>
      <c r="B310" s="107" t="s">
        <v>429</v>
      </c>
      <c r="C310" s="98" t="s">
        <v>878</v>
      </c>
      <c r="D310" s="98"/>
      <c r="E310" s="99"/>
      <c r="F310" s="99"/>
      <c r="G310" s="99"/>
      <c r="H310" s="99"/>
      <c r="I310" s="99"/>
      <c r="J310" s="99"/>
      <c r="K310" s="99"/>
      <c r="L310" s="99"/>
      <c r="M310" s="99"/>
      <c r="N310" s="90"/>
    </row>
    <row r="311" spans="1:14" x14ac:dyDescent="0.2">
      <c r="A311" s="105"/>
      <c r="B311" s="107" t="s">
        <v>427</v>
      </c>
      <c r="C311" s="444" t="s">
        <v>1322</v>
      </c>
      <c r="D311" s="444"/>
      <c r="E311" s="444"/>
      <c r="F311" s="444"/>
      <c r="G311" s="444"/>
      <c r="H311" s="444"/>
      <c r="I311" s="444"/>
      <c r="J311" s="444"/>
      <c r="K311" s="444"/>
      <c r="L311" s="444"/>
      <c r="M311" s="444"/>
      <c r="N311" s="445"/>
    </row>
    <row r="312" spans="1:14" x14ac:dyDescent="0.2">
      <c r="A312" s="105"/>
      <c r="B312" s="98"/>
      <c r="C312" s="444"/>
      <c r="D312" s="444"/>
      <c r="E312" s="444"/>
      <c r="F312" s="444"/>
      <c r="G312" s="444"/>
      <c r="H312" s="444"/>
      <c r="I312" s="444"/>
      <c r="J312" s="444"/>
      <c r="K312" s="444"/>
      <c r="L312" s="444"/>
      <c r="M312" s="444"/>
      <c r="N312" s="445"/>
    </row>
    <row r="313" spans="1:14" x14ac:dyDescent="0.2">
      <c r="A313" s="105"/>
      <c r="B313" s="107" t="s">
        <v>426</v>
      </c>
      <c r="C313" s="98"/>
      <c r="D313" s="98"/>
      <c r="E313" s="99"/>
      <c r="F313" s="99"/>
      <c r="G313" s="99"/>
      <c r="H313" s="99"/>
      <c r="I313" s="99"/>
      <c r="J313" s="99"/>
      <c r="K313" s="99"/>
      <c r="L313" s="99"/>
      <c r="M313" s="99"/>
      <c r="N313" s="90"/>
    </row>
    <row r="314" spans="1:14" ht="13.5" thickBot="1" x14ac:dyDescent="0.25">
      <c r="A314" s="105"/>
      <c r="B314" s="107" t="s">
        <v>430</v>
      </c>
      <c r="C314" s="98"/>
      <c r="D314" s="98"/>
      <c r="E314" s="99"/>
      <c r="F314" s="99"/>
      <c r="G314" s="99"/>
      <c r="H314" s="99"/>
      <c r="I314" s="99"/>
      <c r="J314" s="99"/>
      <c r="K314" s="99"/>
      <c r="L314" s="99"/>
      <c r="M314" s="99"/>
      <c r="N314" s="90"/>
    </row>
    <row r="315" spans="1:14" x14ac:dyDescent="0.2">
      <c r="A315" s="101"/>
      <c r="B315" s="102" t="s">
        <v>263</v>
      </c>
      <c r="C315" s="102"/>
      <c r="D315" s="102"/>
      <c r="E315" s="103"/>
      <c r="F315" s="103"/>
      <c r="G315" s="103"/>
      <c r="H315" s="103"/>
      <c r="I315" s="103"/>
      <c r="J315" s="114" t="s">
        <v>1801</v>
      </c>
      <c r="K315" s="113" t="s">
        <v>2203</v>
      </c>
      <c r="L315" s="113" t="s">
        <v>2204</v>
      </c>
      <c r="M315" s="113"/>
      <c r="N315" s="113"/>
    </row>
    <row r="316" spans="1:14" ht="13.5" thickBot="1" x14ac:dyDescent="0.25">
      <c r="A316" s="108"/>
      <c r="B316" s="109"/>
      <c r="C316" s="109"/>
      <c r="D316" s="109"/>
      <c r="E316" s="110"/>
      <c r="F316" s="110"/>
      <c r="G316" s="110"/>
      <c r="H316" s="110"/>
      <c r="I316" s="110"/>
      <c r="J316" s="112" t="s">
        <v>2202</v>
      </c>
      <c r="K316" s="94" t="s">
        <v>296</v>
      </c>
      <c r="L316" s="94" t="s">
        <v>2052</v>
      </c>
      <c r="M316" s="94" t="s">
        <v>511</v>
      </c>
      <c r="N316" s="94"/>
    </row>
    <row r="317" spans="1:14" x14ac:dyDescent="0.2">
      <c r="A317" s="101"/>
      <c r="B317" s="448" t="s">
        <v>67</v>
      </c>
      <c r="C317" s="448"/>
      <c r="D317" s="448"/>
      <c r="E317" s="103"/>
      <c r="F317" s="103" t="s">
        <v>1180</v>
      </c>
      <c r="G317" s="103" t="s">
        <v>68</v>
      </c>
      <c r="H317" s="103" t="s">
        <v>702</v>
      </c>
      <c r="I317" s="103"/>
      <c r="J317" s="113">
        <f>78/ATHENS!O1*ATHENS!O2</f>
        <v>159.18367346938777</v>
      </c>
      <c r="K317" s="113">
        <f>110/ATHENS!O1*ATHENS!O2</f>
        <v>224.48979591836735</v>
      </c>
      <c r="L317" s="113">
        <f>144/ATHENS!O1*ATHENS!O2</f>
        <v>293.87755102040819</v>
      </c>
      <c r="M317" s="113">
        <f>204/ATHENS!O1*ATHENS!O2</f>
        <v>416.32653061224488</v>
      </c>
      <c r="N317" s="113"/>
    </row>
    <row r="318" spans="1:14" x14ac:dyDescent="0.2">
      <c r="A318" s="105"/>
      <c r="B318" s="443" t="s">
        <v>67</v>
      </c>
      <c r="C318" s="443"/>
      <c r="D318" s="443"/>
      <c r="E318" s="99"/>
      <c r="F318" s="99" t="s">
        <v>1181</v>
      </c>
      <c r="G318" s="99" t="s">
        <v>68</v>
      </c>
      <c r="H318" s="99" t="s">
        <v>702</v>
      </c>
      <c r="I318" s="99"/>
      <c r="J318" s="89">
        <f>39/ATHENS!O1*ATHENS!O2</f>
        <v>79.591836734693885</v>
      </c>
      <c r="K318" s="89">
        <f>55/ATHENS!O1*ATHENS!O2</f>
        <v>112.24489795918367</v>
      </c>
      <c r="L318" s="89">
        <f>72/ATHENS!O1*ATHENS!O2</f>
        <v>146.9387755102041</v>
      </c>
      <c r="M318" s="89">
        <f>102/ATHENS!O1*ATHENS!O2</f>
        <v>208.16326530612244</v>
      </c>
      <c r="N318" s="89"/>
    </row>
    <row r="319" spans="1:14" x14ac:dyDescent="0.2">
      <c r="A319" s="105"/>
      <c r="B319" s="443" t="s">
        <v>67</v>
      </c>
      <c r="C319" s="443"/>
      <c r="D319" s="443"/>
      <c r="E319" s="99"/>
      <c r="F319" s="99" t="s">
        <v>1182</v>
      </c>
      <c r="G319" s="99" t="s">
        <v>68</v>
      </c>
      <c r="H319" s="99" t="s">
        <v>702</v>
      </c>
      <c r="I319" s="99"/>
      <c r="J319" s="89">
        <f>35.5/ATHENS!O1*ATHENS!O2</f>
        <v>72.448979591836732</v>
      </c>
      <c r="K319" s="89">
        <f>49.5/ATHENS!O1*ATHENS!O2</f>
        <v>101.0204081632653</v>
      </c>
      <c r="L319" s="89">
        <f>64.8/ATHENS!O1*ATHENS!O2</f>
        <v>132.24489795918367</v>
      </c>
      <c r="M319" s="89">
        <f>91.8/ATHENS!O1*ATHENS!O2</f>
        <v>187.34693877551021</v>
      </c>
      <c r="N319" s="89"/>
    </row>
    <row r="320" spans="1:14" ht="13.5" thickBot="1" x14ac:dyDescent="0.25">
      <c r="A320" s="97"/>
      <c r="B320" s="98"/>
      <c r="C320" s="98"/>
      <c r="D320" s="98"/>
      <c r="E320" s="99"/>
      <c r="F320" s="99"/>
      <c r="G320" s="99"/>
      <c r="H320" s="99"/>
      <c r="I320" s="99"/>
      <c r="J320" s="99"/>
      <c r="K320" s="99"/>
      <c r="L320" s="99"/>
      <c r="M320" s="99"/>
      <c r="N320" s="99"/>
    </row>
    <row r="321" spans="1:14" x14ac:dyDescent="0.2">
      <c r="A321" s="101"/>
      <c r="B321" s="102"/>
      <c r="C321" s="102"/>
      <c r="D321" s="102"/>
      <c r="E321" s="103"/>
      <c r="F321" s="103"/>
      <c r="G321" s="103"/>
      <c r="H321" s="103"/>
      <c r="I321" s="103"/>
      <c r="J321" s="103"/>
      <c r="K321" s="103"/>
      <c r="L321" s="103"/>
      <c r="M321" s="103"/>
      <c r="N321" s="104"/>
    </row>
    <row r="322" spans="1:14" ht="15" x14ac:dyDescent="0.2">
      <c r="A322" s="105"/>
      <c r="B322" s="437" t="s">
        <v>1781</v>
      </c>
      <c r="C322" s="438"/>
      <c r="D322" s="438"/>
      <c r="E322" s="438"/>
      <c r="F322" s="438"/>
      <c r="G322" s="438"/>
      <c r="H322" s="438"/>
      <c r="I322" s="438"/>
      <c r="J322" s="438"/>
      <c r="K322" s="438"/>
      <c r="L322" s="438"/>
      <c r="M322" s="439"/>
      <c r="N322" s="106" t="s">
        <v>96</v>
      </c>
    </row>
    <row r="323" spans="1:14" x14ac:dyDescent="0.2">
      <c r="A323" s="105"/>
      <c r="B323" s="107" t="s">
        <v>428</v>
      </c>
      <c r="C323" s="98" t="s">
        <v>575</v>
      </c>
      <c r="D323" s="98"/>
      <c r="E323" s="99"/>
      <c r="F323" s="99"/>
      <c r="G323" s="99"/>
      <c r="H323" s="99"/>
      <c r="I323" s="99"/>
      <c r="J323" s="99"/>
      <c r="K323" s="99"/>
      <c r="L323" s="99"/>
      <c r="M323" s="99"/>
      <c r="N323" s="90"/>
    </row>
    <row r="324" spans="1:14" x14ac:dyDescent="0.2">
      <c r="A324" s="105"/>
      <c r="B324" s="107" t="s">
        <v>429</v>
      </c>
      <c r="C324" s="98" t="s">
        <v>506</v>
      </c>
      <c r="D324" s="98"/>
      <c r="E324" s="99"/>
      <c r="F324" s="99"/>
      <c r="G324" s="99"/>
      <c r="H324" s="99"/>
      <c r="I324" s="99"/>
      <c r="J324" s="99"/>
      <c r="K324" s="99"/>
      <c r="L324" s="99"/>
      <c r="M324" s="99"/>
      <c r="N324" s="90"/>
    </row>
    <row r="325" spans="1:14" x14ac:dyDescent="0.2">
      <c r="A325" s="105"/>
      <c r="B325" s="107" t="s">
        <v>427</v>
      </c>
      <c r="C325" s="444" t="s">
        <v>1330</v>
      </c>
      <c r="D325" s="444"/>
      <c r="E325" s="444"/>
      <c r="F325" s="444"/>
      <c r="G325" s="444"/>
      <c r="H325" s="444"/>
      <c r="I325" s="444"/>
      <c r="J325" s="444"/>
      <c r="K325" s="444"/>
      <c r="L325" s="444"/>
      <c r="M325" s="444"/>
      <c r="N325" s="445"/>
    </row>
    <row r="326" spans="1:14" x14ac:dyDescent="0.2">
      <c r="A326" s="105"/>
      <c r="B326" s="98"/>
      <c r="C326" s="444"/>
      <c r="D326" s="444"/>
      <c r="E326" s="444"/>
      <c r="F326" s="444"/>
      <c r="G326" s="444"/>
      <c r="H326" s="444"/>
      <c r="I326" s="444"/>
      <c r="J326" s="444"/>
      <c r="K326" s="444"/>
      <c r="L326" s="444"/>
      <c r="M326" s="444"/>
      <c r="N326" s="445"/>
    </row>
    <row r="327" spans="1:14" x14ac:dyDescent="0.2">
      <c r="A327" s="105"/>
      <c r="B327" s="98"/>
      <c r="C327" s="446"/>
      <c r="D327" s="446"/>
      <c r="E327" s="446"/>
      <c r="F327" s="446"/>
      <c r="G327" s="446"/>
      <c r="H327" s="446"/>
      <c r="I327" s="446"/>
      <c r="J327" s="446"/>
      <c r="K327" s="446"/>
      <c r="L327" s="446"/>
      <c r="M327" s="446"/>
      <c r="N327" s="447"/>
    </row>
    <row r="328" spans="1:14" x14ac:dyDescent="0.2">
      <c r="A328" s="105"/>
      <c r="B328" s="98"/>
      <c r="C328" s="446"/>
      <c r="D328" s="446"/>
      <c r="E328" s="446"/>
      <c r="F328" s="446"/>
      <c r="G328" s="446"/>
      <c r="H328" s="446"/>
      <c r="I328" s="446"/>
      <c r="J328" s="446"/>
      <c r="K328" s="446"/>
      <c r="L328" s="446"/>
      <c r="M328" s="446"/>
      <c r="N328" s="447"/>
    </row>
    <row r="329" spans="1:14" x14ac:dyDescent="0.2">
      <c r="A329" s="105"/>
      <c r="B329" s="98"/>
      <c r="C329" s="446"/>
      <c r="D329" s="446"/>
      <c r="E329" s="446"/>
      <c r="F329" s="446"/>
      <c r="G329" s="446"/>
      <c r="H329" s="446"/>
      <c r="I329" s="446"/>
      <c r="J329" s="446"/>
      <c r="K329" s="446"/>
      <c r="L329" s="446"/>
      <c r="M329" s="446"/>
      <c r="N329" s="447"/>
    </row>
    <row r="330" spans="1:14" x14ac:dyDescent="0.2">
      <c r="A330" s="105"/>
      <c r="B330" s="107" t="s">
        <v>426</v>
      </c>
      <c r="C330" s="98" t="s">
        <v>598</v>
      </c>
      <c r="D330" s="98"/>
      <c r="E330" s="99"/>
      <c r="F330" s="99"/>
      <c r="G330" s="99"/>
      <c r="H330" s="99"/>
      <c r="I330" s="99"/>
      <c r="J330" s="99"/>
      <c r="K330" s="99"/>
      <c r="L330" s="99"/>
      <c r="M330" s="99"/>
      <c r="N330" s="90"/>
    </row>
    <row r="331" spans="1:14" ht="13.5" thickBot="1" x14ac:dyDescent="0.25">
      <c r="A331" s="105"/>
      <c r="B331" s="107" t="s">
        <v>430</v>
      </c>
      <c r="C331" s="98" t="s">
        <v>1478</v>
      </c>
      <c r="D331" s="98"/>
      <c r="E331" s="99"/>
      <c r="F331" s="99"/>
      <c r="G331" s="99"/>
      <c r="H331" s="99"/>
      <c r="I331" s="99"/>
      <c r="J331" s="99"/>
      <c r="K331" s="99"/>
      <c r="L331" s="99"/>
      <c r="M331" s="99"/>
      <c r="N331" s="90"/>
    </row>
    <row r="332" spans="1:14" x14ac:dyDescent="0.2">
      <c r="A332" s="101"/>
      <c r="B332" s="102" t="s">
        <v>263</v>
      </c>
      <c r="C332" s="102"/>
      <c r="D332" s="102"/>
      <c r="E332" s="103"/>
      <c r="F332" s="103"/>
      <c r="G332" s="103"/>
      <c r="H332" s="103"/>
      <c r="I332" s="103"/>
      <c r="J332" s="114" t="s">
        <v>1858</v>
      </c>
      <c r="K332" s="113" t="s">
        <v>1860</v>
      </c>
      <c r="L332" s="113" t="s">
        <v>1584</v>
      </c>
      <c r="M332" s="113"/>
      <c r="N332" s="113"/>
    </row>
    <row r="333" spans="1:14" ht="13.5" thickBot="1" x14ac:dyDescent="0.25">
      <c r="A333" s="108"/>
      <c r="B333" s="109"/>
      <c r="C333" s="109"/>
      <c r="D333" s="109"/>
      <c r="E333" s="110"/>
      <c r="F333" s="110"/>
      <c r="G333" s="110"/>
      <c r="H333" s="110"/>
      <c r="I333" s="110"/>
      <c r="J333" s="112" t="s">
        <v>1859</v>
      </c>
      <c r="K333" s="94" t="s">
        <v>1570</v>
      </c>
      <c r="L333" s="94" t="s">
        <v>1780</v>
      </c>
      <c r="M333" s="94" t="s">
        <v>367</v>
      </c>
      <c r="N333" s="94"/>
    </row>
    <row r="334" spans="1:14" x14ac:dyDescent="0.2">
      <c r="A334" s="101"/>
      <c r="B334" s="448" t="s">
        <v>67</v>
      </c>
      <c r="C334" s="448"/>
      <c r="D334" s="448"/>
      <c r="E334" s="103"/>
      <c r="F334" s="103" t="s">
        <v>1180</v>
      </c>
      <c r="G334" s="103" t="s">
        <v>68</v>
      </c>
      <c r="H334" s="103" t="s">
        <v>702</v>
      </c>
      <c r="I334" s="103"/>
      <c r="J334" s="113">
        <f>121/ATHENS!O1*ATHENS!O2</f>
        <v>246.9387755102041</v>
      </c>
      <c r="K334" s="113">
        <f>189/ATHENS!O1*ATHENS!O2</f>
        <v>385.71428571428572</v>
      </c>
      <c r="L334" s="113">
        <f>280/ATHENS!O1*ATHENS!O2</f>
        <v>571.42857142857144</v>
      </c>
      <c r="M334" s="113">
        <f>389/ATHENS!O1*ATHENS!O2</f>
        <v>793.87755102040819</v>
      </c>
      <c r="N334" s="113"/>
    </row>
    <row r="335" spans="1:14" x14ac:dyDescent="0.2">
      <c r="A335" s="105"/>
      <c r="B335" s="443" t="s">
        <v>67</v>
      </c>
      <c r="C335" s="443"/>
      <c r="D335" s="443"/>
      <c r="E335" s="99"/>
      <c r="F335" s="99" t="s">
        <v>1181</v>
      </c>
      <c r="G335" s="99" t="s">
        <v>68</v>
      </c>
      <c r="H335" s="99" t="s">
        <v>702</v>
      </c>
      <c r="I335" s="99"/>
      <c r="J335" s="89">
        <f>64.5/ATHENS!O1*ATHENS!O2</f>
        <v>131.63265306122449</v>
      </c>
      <c r="K335" s="89">
        <f>98.5/ATHENS!O1*ATHENS!O2</f>
        <v>201.0204081632653</v>
      </c>
      <c r="L335" s="89">
        <f>144/ATHENS!O1*ATHENS!O2</f>
        <v>293.87755102040819</v>
      </c>
      <c r="M335" s="89">
        <f>198.5/ATHENS!O1*ATHENS!O2</f>
        <v>405.10204081632656</v>
      </c>
      <c r="N335" s="89"/>
    </row>
    <row r="336" spans="1:14" x14ac:dyDescent="0.2">
      <c r="A336" s="105"/>
      <c r="B336" s="443" t="s">
        <v>67</v>
      </c>
      <c r="C336" s="443"/>
      <c r="D336" s="443"/>
      <c r="E336" s="99"/>
      <c r="F336" s="99" t="s">
        <v>1182</v>
      </c>
      <c r="G336" s="99" t="s">
        <v>68</v>
      </c>
      <c r="H336" s="99" t="s">
        <v>702</v>
      </c>
      <c r="I336" s="99"/>
      <c r="J336" s="89">
        <f>60/ATHENS!O1*ATHENS!O2</f>
        <v>122.44897959183673</v>
      </c>
      <c r="K336" s="89">
        <f>86.5/ATHENS!O1*ATHENS!O2</f>
        <v>176.53061224489795</v>
      </c>
      <c r="L336" s="89">
        <f>116.6/ATHENS!O1*ATHENS!O2</f>
        <v>237.95918367346937</v>
      </c>
      <c r="M336" s="89">
        <f>153.5/ATHENS!O1*ATHENS!O2</f>
        <v>313.26530612244898</v>
      </c>
      <c r="N336" s="89"/>
    </row>
    <row r="337" spans="1:14" ht="13.5" thickBot="1" x14ac:dyDescent="0.25">
      <c r="A337" s="108"/>
      <c r="B337" s="436" t="s">
        <v>902</v>
      </c>
      <c r="C337" s="436"/>
      <c r="D337" s="436"/>
      <c r="E337" s="110"/>
      <c r="F337" s="110"/>
      <c r="G337" s="110"/>
      <c r="H337" s="110" t="s">
        <v>702</v>
      </c>
      <c r="I337" s="110"/>
      <c r="J337" s="94">
        <f>39/ATHENS!O1*ATHENS!O2</f>
        <v>79.591836734693885</v>
      </c>
      <c r="K337" s="94">
        <f>39/ATHENS!O1*ATHENS!O2</f>
        <v>79.591836734693885</v>
      </c>
      <c r="L337" s="94">
        <f>39/ATHENS!O1*ATHENS!O2</f>
        <v>79.591836734693885</v>
      </c>
      <c r="M337" s="94">
        <f>39/ATHENS!O1*ATHENS!O2</f>
        <v>79.591836734693885</v>
      </c>
      <c r="N337" s="94"/>
    </row>
    <row r="338" spans="1:14" ht="13.5" thickBot="1" x14ac:dyDescent="0.25">
      <c r="A338" s="97"/>
      <c r="B338" s="98"/>
      <c r="C338" s="98"/>
      <c r="D338" s="98"/>
      <c r="E338" s="99"/>
      <c r="F338" s="99"/>
      <c r="G338" s="99"/>
      <c r="H338" s="99"/>
      <c r="I338" s="99"/>
      <c r="J338" s="99"/>
      <c r="K338" s="99"/>
      <c r="L338" s="99"/>
      <c r="M338" s="99"/>
      <c r="N338" s="99"/>
    </row>
    <row r="339" spans="1:14" x14ac:dyDescent="0.2">
      <c r="A339" s="101"/>
      <c r="B339" s="102"/>
      <c r="C339" s="102"/>
      <c r="D339" s="102"/>
      <c r="E339" s="103"/>
      <c r="F339" s="103"/>
      <c r="G339" s="103"/>
      <c r="H339" s="103"/>
      <c r="I339" s="103"/>
      <c r="J339" s="103"/>
      <c r="K339" s="103"/>
      <c r="L339" s="103"/>
      <c r="M339" s="103"/>
      <c r="N339" s="104"/>
    </row>
    <row r="340" spans="1:14" ht="15" x14ac:dyDescent="0.2">
      <c r="A340" s="105"/>
      <c r="B340" s="437" t="s">
        <v>1331</v>
      </c>
      <c r="C340" s="438"/>
      <c r="D340" s="438"/>
      <c r="E340" s="438"/>
      <c r="F340" s="438"/>
      <c r="G340" s="438"/>
      <c r="H340" s="438"/>
      <c r="I340" s="438"/>
      <c r="J340" s="438"/>
      <c r="K340" s="438"/>
      <c r="L340" s="438"/>
      <c r="M340" s="439"/>
      <c r="N340" s="106" t="s">
        <v>96</v>
      </c>
    </row>
    <row r="341" spans="1:14" x14ac:dyDescent="0.2">
      <c r="A341" s="105"/>
      <c r="B341" s="107" t="s">
        <v>428</v>
      </c>
      <c r="C341" s="98" t="s">
        <v>1332</v>
      </c>
      <c r="D341" s="98"/>
      <c r="E341" s="99"/>
      <c r="F341" s="99"/>
      <c r="G341" s="99"/>
      <c r="H341" s="99"/>
      <c r="I341" s="99"/>
      <c r="J341" s="99"/>
      <c r="K341" s="99"/>
      <c r="L341" s="99"/>
      <c r="M341" s="99"/>
      <c r="N341" s="90"/>
    </row>
    <row r="342" spans="1:14" x14ac:dyDescent="0.2">
      <c r="A342" s="105"/>
      <c r="B342" s="107" t="s">
        <v>429</v>
      </c>
      <c r="C342" s="98" t="s">
        <v>1057</v>
      </c>
      <c r="D342" s="98"/>
      <c r="E342" s="99"/>
      <c r="F342" s="99"/>
      <c r="G342" s="99"/>
      <c r="H342" s="99"/>
      <c r="I342" s="99"/>
      <c r="J342" s="99"/>
      <c r="K342" s="99"/>
      <c r="L342" s="99"/>
      <c r="M342" s="99"/>
      <c r="N342" s="90"/>
    </row>
    <row r="343" spans="1:14" x14ac:dyDescent="0.2">
      <c r="A343" s="105"/>
      <c r="B343" s="107" t="s">
        <v>427</v>
      </c>
      <c r="C343" s="444" t="s">
        <v>1548</v>
      </c>
      <c r="D343" s="444"/>
      <c r="E343" s="444"/>
      <c r="F343" s="444"/>
      <c r="G343" s="444"/>
      <c r="H343" s="444"/>
      <c r="I343" s="444"/>
      <c r="J343" s="444"/>
      <c r="K343" s="444"/>
      <c r="L343" s="444"/>
      <c r="M343" s="444"/>
      <c r="N343" s="445"/>
    </row>
    <row r="344" spans="1:14" x14ac:dyDescent="0.2">
      <c r="A344" s="105"/>
      <c r="B344" s="107"/>
      <c r="C344" s="444"/>
      <c r="D344" s="444"/>
      <c r="E344" s="444"/>
      <c r="F344" s="444"/>
      <c r="G344" s="444"/>
      <c r="H344" s="444"/>
      <c r="I344" s="444"/>
      <c r="J344" s="444"/>
      <c r="K344" s="444"/>
      <c r="L344" s="444"/>
      <c r="M344" s="444"/>
      <c r="N344" s="445"/>
    </row>
    <row r="345" spans="1:14" x14ac:dyDescent="0.2">
      <c r="A345" s="105"/>
      <c r="B345" s="107"/>
      <c r="C345" s="444"/>
      <c r="D345" s="444"/>
      <c r="E345" s="444"/>
      <c r="F345" s="444"/>
      <c r="G345" s="444"/>
      <c r="H345" s="444"/>
      <c r="I345" s="444"/>
      <c r="J345" s="444"/>
      <c r="K345" s="444"/>
      <c r="L345" s="444"/>
      <c r="M345" s="444"/>
      <c r="N345" s="445"/>
    </row>
    <row r="346" spans="1:14" x14ac:dyDescent="0.2">
      <c r="A346" s="105"/>
      <c r="B346" s="107"/>
      <c r="C346" s="446"/>
      <c r="D346" s="446"/>
      <c r="E346" s="446"/>
      <c r="F346" s="446"/>
      <c r="G346" s="446"/>
      <c r="H346" s="446"/>
      <c r="I346" s="446"/>
      <c r="J346" s="446"/>
      <c r="K346" s="446"/>
      <c r="L346" s="446"/>
      <c r="M346" s="446"/>
      <c r="N346" s="447"/>
    </row>
    <row r="347" spans="1:14" x14ac:dyDescent="0.2">
      <c r="A347" s="105"/>
      <c r="B347" s="107"/>
      <c r="C347" s="446"/>
      <c r="D347" s="446"/>
      <c r="E347" s="446"/>
      <c r="F347" s="446"/>
      <c r="G347" s="446"/>
      <c r="H347" s="446"/>
      <c r="I347" s="446"/>
      <c r="J347" s="446"/>
      <c r="K347" s="446"/>
      <c r="L347" s="446"/>
      <c r="M347" s="446"/>
      <c r="N347" s="447"/>
    </row>
    <row r="348" spans="1:14" x14ac:dyDescent="0.2">
      <c r="A348" s="105"/>
      <c r="B348" s="107"/>
      <c r="C348" s="446"/>
      <c r="D348" s="446"/>
      <c r="E348" s="446"/>
      <c r="F348" s="446"/>
      <c r="G348" s="446"/>
      <c r="H348" s="446"/>
      <c r="I348" s="446"/>
      <c r="J348" s="446"/>
      <c r="K348" s="446"/>
      <c r="L348" s="446"/>
      <c r="M348" s="446"/>
      <c r="N348" s="447"/>
    </row>
    <row r="349" spans="1:14" x14ac:dyDescent="0.2">
      <c r="A349" s="105"/>
      <c r="B349" s="107" t="s">
        <v>426</v>
      </c>
      <c r="C349" s="98"/>
      <c r="D349" s="98"/>
      <c r="E349" s="99"/>
      <c r="F349" s="99"/>
      <c r="G349" s="99"/>
      <c r="H349" s="99"/>
      <c r="I349" s="99"/>
      <c r="J349" s="99"/>
      <c r="K349" s="99"/>
      <c r="L349" s="99"/>
      <c r="M349" s="99"/>
      <c r="N349" s="90"/>
    </row>
    <row r="350" spans="1:14" ht="13.5" thickBot="1" x14ac:dyDescent="0.25">
      <c r="A350" s="105"/>
      <c r="B350" s="107" t="s">
        <v>430</v>
      </c>
      <c r="C350" s="98"/>
      <c r="D350" s="98"/>
      <c r="E350" s="99"/>
      <c r="F350" s="99"/>
      <c r="G350" s="99"/>
      <c r="H350" s="99"/>
      <c r="I350" s="99"/>
      <c r="J350" s="99"/>
      <c r="K350" s="99"/>
      <c r="L350" s="99"/>
      <c r="M350" s="99"/>
      <c r="N350" s="90"/>
    </row>
    <row r="351" spans="1:14" x14ac:dyDescent="0.2">
      <c r="A351" s="101"/>
      <c r="B351" s="102" t="s">
        <v>263</v>
      </c>
      <c r="C351" s="102"/>
      <c r="D351" s="102"/>
      <c r="E351" s="103"/>
      <c r="F351" s="103"/>
      <c r="G351" s="103"/>
      <c r="H351" s="103"/>
      <c r="I351" s="103"/>
      <c r="J351" s="114" t="s">
        <v>1807</v>
      </c>
      <c r="K351" s="113" t="s">
        <v>576</v>
      </c>
      <c r="L351" s="113" t="s">
        <v>577</v>
      </c>
      <c r="M351" s="113"/>
      <c r="N351" s="113"/>
    </row>
    <row r="352" spans="1:14" ht="13.5" thickBot="1" x14ac:dyDescent="0.25">
      <c r="A352" s="108"/>
      <c r="B352" s="109"/>
      <c r="C352" s="109"/>
      <c r="D352" s="109"/>
      <c r="E352" s="110"/>
      <c r="F352" s="110"/>
      <c r="G352" s="110"/>
      <c r="H352" s="110"/>
      <c r="I352" s="110"/>
      <c r="J352" s="112" t="s">
        <v>1769</v>
      </c>
      <c r="K352" s="94" t="s">
        <v>1808</v>
      </c>
      <c r="L352" s="94" t="s">
        <v>1809</v>
      </c>
      <c r="M352" s="94" t="s">
        <v>579</v>
      </c>
      <c r="N352" s="94"/>
    </row>
    <row r="353" spans="1:14" x14ac:dyDescent="0.2">
      <c r="A353" s="101"/>
      <c r="B353" s="448" t="s">
        <v>67</v>
      </c>
      <c r="C353" s="448"/>
      <c r="D353" s="448"/>
      <c r="E353" s="103"/>
      <c r="F353" s="103" t="s">
        <v>1180</v>
      </c>
      <c r="G353" s="103" t="s">
        <v>68</v>
      </c>
      <c r="H353" s="103" t="s">
        <v>702</v>
      </c>
      <c r="I353" s="103"/>
      <c r="J353" s="113">
        <f>92/ATHENS!O1*ATHENS!O2</f>
        <v>187.75510204081633</v>
      </c>
      <c r="K353" s="113">
        <f>128/ATHENS!O1*ATHENS!O2</f>
        <v>261.22448979591837</v>
      </c>
      <c r="L353" s="113">
        <f>184/ATHENS!O1*ATHENS!O2</f>
        <v>375.51020408163265</v>
      </c>
      <c r="M353" s="113">
        <f>240/ATHENS!O1*ATHENS!O2</f>
        <v>489.79591836734693</v>
      </c>
      <c r="N353" s="113"/>
    </row>
    <row r="354" spans="1:14" x14ac:dyDescent="0.2">
      <c r="A354" s="105"/>
      <c r="B354" s="443" t="s">
        <v>67</v>
      </c>
      <c r="C354" s="443"/>
      <c r="D354" s="443"/>
      <c r="E354" s="99"/>
      <c r="F354" s="99" t="s">
        <v>1181</v>
      </c>
      <c r="G354" s="99" t="s">
        <v>68</v>
      </c>
      <c r="H354" s="99" t="s">
        <v>702</v>
      </c>
      <c r="I354" s="99"/>
      <c r="J354" s="89">
        <f>46/ATHENS!O1*ATHENS!O2</f>
        <v>93.877551020408163</v>
      </c>
      <c r="K354" s="89">
        <f>64/ATHENS!O1*ATHENS!O2</f>
        <v>130.61224489795919</v>
      </c>
      <c r="L354" s="89">
        <f>92/ATHENS!O1*ATHENS!O2</f>
        <v>187.75510204081633</v>
      </c>
      <c r="M354" s="89">
        <f>120/ATHENS!O1*ATHENS!O2</f>
        <v>244.89795918367346</v>
      </c>
      <c r="N354" s="89"/>
    </row>
    <row r="355" spans="1:14" x14ac:dyDescent="0.2">
      <c r="A355" s="105"/>
      <c r="B355" s="443" t="s">
        <v>67</v>
      </c>
      <c r="C355" s="443"/>
      <c r="D355" s="443"/>
      <c r="E355" s="99"/>
      <c r="F355" s="99" t="s">
        <v>1182</v>
      </c>
      <c r="G355" s="99" t="s">
        <v>68</v>
      </c>
      <c r="H355" s="99" t="s">
        <v>702</v>
      </c>
      <c r="I355" s="99"/>
      <c r="J355" s="89">
        <f>37.5/ATHENS!O1*ATHENS!O2</f>
        <v>76.530612244897966</v>
      </c>
      <c r="K355" s="89">
        <f>52/ATHENS!O1*ATHENS!O2</f>
        <v>106.12244897959184</v>
      </c>
      <c r="L355" s="89">
        <f>72/ATHENS!O1*ATHENS!O2</f>
        <v>146.9387755102041</v>
      </c>
      <c r="M355" s="89">
        <f>96.6/ATHENS!O1*ATHENS!O2</f>
        <v>197.14285714285714</v>
      </c>
      <c r="N355" s="89"/>
    </row>
    <row r="356" spans="1:14" ht="13.5" thickBot="1" x14ac:dyDescent="0.25">
      <c r="A356" s="108"/>
      <c r="B356" s="436" t="s">
        <v>902</v>
      </c>
      <c r="C356" s="436"/>
      <c r="D356" s="436"/>
      <c r="E356" s="110"/>
      <c r="F356" s="110"/>
      <c r="G356" s="110"/>
      <c r="H356" s="110" t="s">
        <v>702</v>
      </c>
      <c r="I356" s="110"/>
      <c r="J356" s="94">
        <f>24/ATHENS!O1*ATHENS!O2</f>
        <v>48.979591836734691</v>
      </c>
      <c r="K356" s="94">
        <f>24/ATHENS!O1*ATHENS!O2</f>
        <v>48.979591836734691</v>
      </c>
      <c r="L356" s="94">
        <f>24/ATHENS!O1*ATHENS!O2</f>
        <v>48.979591836734691</v>
      </c>
      <c r="M356" s="94">
        <f>24/ATHENS!O1*ATHENS!O2</f>
        <v>48.979591836734691</v>
      </c>
      <c r="N356" s="94"/>
    </row>
    <row r="357" spans="1:14" ht="13.5" thickBot="1" x14ac:dyDescent="0.25">
      <c r="A357" s="97"/>
      <c r="B357" s="98"/>
      <c r="C357" s="98"/>
      <c r="D357" s="98"/>
      <c r="E357" s="99"/>
      <c r="F357" s="99"/>
      <c r="G357" s="99"/>
      <c r="H357" s="99"/>
      <c r="I357" s="99"/>
      <c r="J357" s="99"/>
      <c r="K357" s="99"/>
      <c r="L357" s="99"/>
      <c r="M357" s="99"/>
      <c r="N357" s="99"/>
    </row>
    <row r="358" spans="1:14" x14ac:dyDescent="0.2">
      <c r="A358" s="101"/>
      <c r="B358" s="102"/>
      <c r="C358" s="102"/>
      <c r="D358" s="102"/>
      <c r="E358" s="103"/>
      <c r="F358" s="103"/>
      <c r="G358" s="103"/>
      <c r="H358" s="103"/>
      <c r="I358" s="103"/>
      <c r="J358" s="103"/>
      <c r="K358" s="103"/>
      <c r="L358" s="103"/>
      <c r="M358" s="103"/>
      <c r="N358" s="104"/>
    </row>
    <row r="359" spans="1:14" ht="15" x14ac:dyDescent="0.2">
      <c r="A359" s="105"/>
      <c r="B359" s="437" t="s">
        <v>624</v>
      </c>
      <c r="C359" s="438"/>
      <c r="D359" s="438"/>
      <c r="E359" s="438"/>
      <c r="F359" s="438"/>
      <c r="G359" s="438"/>
      <c r="H359" s="438"/>
      <c r="I359" s="438"/>
      <c r="J359" s="438"/>
      <c r="K359" s="438"/>
      <c r="L359" s="438"/>
      <c r="M359" s="439"/>
      <c r="N359" s="106" t="s">
        <v>96</v>
      </c>
    </row>
    <row r="360" spans="1:14" x14ac:dyDescent="0.2">
      <c r="A360" s="105"/>
      <c r="B360" s="107" t="s">
        <v>428</v>
      </c>
      <c r="C360" s="98" t="s">
        <v>1332</v>
      </c>
      <c r="D360" s="98"/>
      <c r="E360" s="99"/>
      <c r="F360" s="99"/>
      <c r="G360" s="99"/>
      <c r="H360" s="99"/>
      <c r="I360" s="99"/>
      <c r="J360" s="99"/>
      <c r="K360" s="99"/>
      <c r="L360" s="99"/>
      <c r="M360" s="99"/>
      <c r="N360" s="90"/>
    </row>
    <row r="361" spans="1:14" x14ac:dyDescent="0.2">
      <c r="A361" s="105"/>
      <c r="B361" s="107" t="s">
        <v>429</v>
      </c>
      <c r="C361" s="98" t="s">
        <v>19</v>
      </c>
      <c r="D361" s="98"/>
      <c r="E361" s="99"/>
      <c r="F361" s="99"/>
      <c r="G361" s="99"/>
      <c r="H361" s="99"/>
      <c r="I361" s="99"/>
      <c r="J361" s="99"/>
      <c r="K361" s="99"/>
      <c r="L361" s="99"/>
      <c r="M361" s="99"/>
      <c r="N361" s="90"/>
    </row>
    <row r="362" spans="1:14" x14ac:dyDescent="0.2">
      <c r="A362" s="105"/>
      <c r="B362" s="107" t="s">
        <v>427</v>
      </c>
      <c r="C362" s="444" t="s">
        <v>1323</v>
      </c>
      <c r="D362" s="444"/>
      <c r="E362" s="444"/>
      <c r="F362" s="444"/>
      <c r="G362" s="444"/>
      <c r="H362" s="444"/>
      <c r="I362" s="444"/>
      <c r="J362" s="444"/>
      <c r="K362" s="444"/>
      <c r="L362" s="444"/>
      <c r="M362" s="444"/>
      <c r="N362" s="445"/>
    </row>
    <row r="363" spans="1:14" ht="13.5" thickBot="1" x14ac:dyDescent="0.25">
      <c r="A363" s="105"/>
      <c r="B363" s="98"/>
      <c r="C363" s="444"/>
      <c r="D363" s="444"/>
      <c r="E363" s="444"/>
      <c r="F363" s="444"/>
      <c r="G363" s="444"/>
      <c r="H363" s="444"/>
      <c r="I363" s="444"/>
      <c r="J363" s="444"/>
      <c r="K363" s="444"/>
      <c r="L363" s="444"/>
      <c r="M363" s="444"/>
      <c r="N363" s="445"/>
    </row>
    <row r="364" spans="1:14" x14ac:dyDescent="0.2">
      <c r="A364" s="101"/>
      <c r="B364" s="102" t="s">
        <v>263</v>
      </c>
      <c r="C364" s="102"/>
      <c r="D364" s="102"/>
      <c r="E364" s="103"/>
      <c r="F364" s="103"/>
      <c r="G364" s="103"/>
      <c r="H364" s="103"/>
      <c r="I364" s="103"/>
      <c r="J364" s="114" t="s">
        <v>1807</v>
      </c>
      <c r="K364" s="113" t="s">
        <v>576</v>
      </c>
      <c r="L364" s="113" t="s">
        <v>577</v>
      </c>
      <c r="M364" s="113"/>
      <c r="N364" s="113"/>
    </row>
    <row r="365" spans="1:14" ht="13.5" thickBot="1" x14ac:dyDescent="0.25">
      <c r="A365" s="108"/>
      <c r="B365" s="109"/>
      <c r="C365" s="109"/>
      <c r="D365" s="109"/>
      <c r="E365" s="110"/>
      <c r="F365" s="110"/>
      <c r="G365" s="110"/>
      <c r="H365" s="110"/>
      <c r="I365" s="110"/>
      <c r="J365" s="112" t="s">
        <v>1769</v>
      </c>
      <c r="K365" s="94" t="s">
        <v>1808</v>
      </c>
      <c r="L365" s="94" t="s">
        <v>1809</v>
      </c>
      <c r="M365" s="94" t="s">
        <v>579</v>
      </c>
      <c r="N365" s="94"/>
    </row>
    <row r="366" spans="1:14" x14ac:dyDescent="0.2">
      <c r="A366" s="101"/>
      <c r="B366" s="448" t="s">
        <v>67</v>
      </c>
      <c r="C366" s="448"/>
      <c r="D366" s="448"/>
      <c r="E366" s="103"/>
      <c r="F366" s="103" t="s">
        <v>1180</v>
      </c>
      <c r="G366" s="103" t="s">
        <v>68</v>
      </c>
      <c r="H366" s="103" t="s">
        <v>702</v>
      </c>
      <c r="I366" s="103"/>
      <c r="J366" s="113">
        <f>152/ATHENS!O1*ATHENS!O2</f>
        <v>310.20408163265307</v>
      </c>
      <c r="K366" s="113">
        <f>200/ATHENS!O1*ATHENS!O2</f>
        <v>408.16326530612247</v>
      </c>
      <c r="L366" s="113">
        <f>264/ATHENS!O1*ATHENS!O2</f>
        <v>538.77551020408168</v>
      </c>
      <c r="M366" s="113">
        <f>304/ATHENS!O1*ATHENS!O2</f>
        <v>620.40816326530614</v>
      </c>
      <c r="N366" s="113"/>
    </row>
    <row r="367" spans="1:14" x14ac:dyDescent="0.2">
      <c r="A367" s="105"/>
      <c r="B367" s="443" t="s">
        <v>67</v>
      </c>
      <c r="C367" s="443"/>
      <c r="D367" s="443"/>
      <c r="E367" s="99"/>
      <c r="F367" s="99" t="s">
        <v>1181</v>
      </c>
      <c r="G367" s="99" t="s">
        <v>68</v>
      </c>
      <c r="H367" s="99" t="s">
        <v>702</v>
      </c>
      <c r="I367" s="99"/>
      <c r="J367" s="89">
        <f>76/ATHENS!O1*ATHENS!O2</f>
        <v>155.10204081632654</v>
      </c>
      <c r="K367" s="89">
        <f>100/ATHENS!O1*ATHENS!O2</f>
        <v>204.08163265306123</v>
      </c>
      <c r="L367" s="89">
        <f>132/ATHENS!O1*ATHENS!O2</f>
        <v>269.38775510204084</v>
      </c>
      <c r="M367" s="89">
        <f>152/ATHENS!O1*ATHENS!O2</f>
        <v>310.20408163265307</v>
      </c>
      <c r="N367" s="89"/>
    </row>
    <row r="368" spans="1:14" ht="13.5" thickBot="1" x14ac:dyDescent="0.25">
      <c r="A368" s="108"/>
      <c r="B368" s="436" t="s">
        <v>1861</v>
      </c>
      <c r="C368" s="436"/>
      <c r="D368" s="436"/>
      <c r="E368" s="110"/>
      <c r="F368" s="110" t="s">
        <v>705</v>
      </c>
      <c r="G368" s="110" t="s">
        <v>68</v>
      </c>
      <c r="H368" s="110" t="s">
        <v>702</v>
      </c>
      <c r="I368" s="110"/>
      <c r="J368" s="94">
        <f>74.6/ATHENS!O1*ATHENS!O2</f>
        <v>152.24489795918367</v>
      </c>
      <c r="K368" s="94">
        <f>101.5/ATHENS!O1*ATHENS!O2</f>
        <v>207.14285714285714</v>
      </c>
      <c r="L368" s="94">
        <f>122.6/ATHENS!O1*ATHENS!O2</f>
        <v>250.20408163265304</v>
      </c>
      <c r="M368" s="94">
        <f>152/ATHENS!O1*ATHENS!O2</f>
        <v>310.20408163265307</v>
      </c>
      <c r="N368" s="94"/>
    </row>
    <row r="369" spans="1:14" ht="13.5" thickBot="1" x14ac:dyDescent="0.25">
      <c r="A369" s="97"/>
      <c r="B369" s="98"/>
      <c r="C369" s="98"/>
      <c r="D369" s="98"/>
      <c r="E369" s="99"/>
      <c r="F369" s="99"/>
      <c r="G369" s="99"/>
      <c r="H369" s="99"/>
      <c r="I369" s="99"/>
      <c r="J369" s="99"/>
      <c r="K369" s="99"/>
      <c r="L369" s="99"/>
      <c r="M369" s="99"/>
      <c r="N369" s="99"/>
    </row>
    <row r="370" spans="1:14" x14ac:dyDescent="0.2">
      <c r="A370" s="101"/>
      <c r="B370" s="102"/>
      <c r="C370" s="102"/>
      <c r="D370" s="102"/>
      <c r="E370" s="103"/>
      <c r="F370" s="103"/>
      <c r="G370" s="103"/>
      <c r="H370" s="103"/>
      <c r="I370" s="103"/>
      <c r="J370" s="103"/>
      <c r="K370" s="103"/>
      <c r="L370" s="103"/>
      <c r="M370" s="103"/>
      <c r="N370" s="104"/>
    </row>
    <row r="371" spans="1:14" ht="15" x14ac:dyDescent="0.2">
      <c r="A371" s="105"/>
      <c r="B371" s="437" t="s">
        <v>1479</v>
      </c>
      <c r="C371" s="438"/>
      <c r="D371" s="438"/>
      <c r="E371" s="438"/>
      <c r="F371" s="438"/>
      <c r="G371" s="438"/>
      <c r="H371" s="438"/>
      <c r="I371" s="438"/>
      <c r="J371" s="438"/>
      <c r="K371" s="438"/>
      <c r="L371" s="438"/>
      <c r="M371" s="439"/>
      <c r="N371" s="106" t="s">
        <v>96</v>
      </c>
    </row>
    <row r="372" spans="1:14" x14ac:dyDescent="0.2">
      <c r="A372" s="105"/>
      <c r="B372" s="107" t="s">
        <v>428</v>
      </c>
      <c r="C372" s="98" t="s">
        <v>492</v>
      </c>
      <c r="D372" s="98"/>
      <c r="E372" s="99"/>
      <c r="F372" s="99"/>
      <c r="G372" s="99"/>
      <c r="H372" s="99"/>
      <c r="I372" s="99"/>
      <c r="J372" s="99"/>
      <c r="K372" s="99"/>
      <c r="L372" s="99"/>
      <c r="M372" s="99"/>
      <c r="N372" s="90"/>
    </row>
    <row r="373" spans="1:14" x14ac:dyDescent="0.2">
      <c r="A373" s="105"/>
      <c r="B373" s="107" t="s">
        <v>429</v>
      </c>
      <c r="C373" s="98" t="s">
        <v>286</v>
      </c>
      <c r="D373" s="98"/>
      <c r="E373" s="99"/>
      <c r="F373" s="99"/>
      <c r="G373" s="99"/>
      <c r="H373" s="99"/>
      <c r="I373" s="99"/>
      <c r="J373" s="99"/>
      <c r="K373" s="99"/>
      <c r="L373" s="99"/>
      <c r="M373" s="99"/>
      <c r="N373" s="90"/>
    </row>
    <row r="374" spans="1:14" x14ac:dyDescent="0.2">
      <c r="A374" s="105"/>
      <c r="B374" s="107" t="s">
        <v>427</v>
      </c>
      <c r="C374" s="444" t="s">
        <v>1324</v>
      </c>
      <c r="D374" s="444"/>
      <c r="E374" s="444"/>
      <c r="F374" s="444"/>
      <c r="G374" s="444"/>
      <c r="H374" s="444"/>
      <c r="I374" s="444"/>
      <c r="J374" s="444"/>
      <c r="K374" s="444"/>
      <c r="L374" s="444"/>
      <c r="M374" s="444"/>
      <c r="N374" s="445"/>
    </row>
    <row r="375" spans="1:14" x14ac:dyDescent="0.2">
      <c r="A375" s="105"/>
      <c r="B375" s="98"/>
      <c r="C375" s="444"/>
      <c r="D375" s="444"/>
      <c r="E375" s="444"/>
      <c r="F375" s="444"/>
      <c r="G375" s="444"/>
      <c r="H375" s="444"/>
      <c r="I375" s="444"/>
      <c r="J375" s="444"/>
      <c r="K375" s="444"/>
      <c r="L375" s="444"/>
      <c r="M375" s="444"/>
      <c r="N375" s="445"/>
    </row>
    <row r="376" spans="1:14" x14ac:dyDescent="0.2">
      <c r="A376" s="105"/>
      <c r="B376" s="98"/>
      <c r="C376" s="446"/>
      <c r="D376" s="446"/>
      <c r="E376" s="446"/>
      <c r="F376" s="446"/>
      <c r="G376" s="446"/>
      <c r="H376" s="446"/>
      <c r="I376" s="446"/>
      <c r="J376" s="446"/>
      <c r="K376" s="446"/>
      <c r="L376" s="446"/>
      <c r="M376" s="446"/>
      <c r="N376" s="447"/>
    </row>
    <row r="377" spans="1:14" ht="13.5" thickBot="1" x14ac:dyDescent="0.25">
      <c r="A377" s="105"/>
      <c r="B377" s="107" t="s">
        <v>426</v>
      </c>
      <c r="C377" s="98" t="s">
        <v>1347</v>
      </c>
      <c r="D377" s="98"/>
      <c r="E377" s="99"/>
      <c r="F377" s="99"/>
      <c r="G377" s="99"/>
      <c r="H377" s="99"/>
      <c r="I377" s="99"/>
      <c r="J377" s="99"/>
      <c r="K377" s="99"/>
      <c r="L377" s="99"/>
      <c r="M377" s="99"/>
      <c r="N377" s="90"/>
    </row>
    <row r="378" spans="1:14" x14ac:dyDescent="0.2">
      <c r="A378" s="101"/>
      <c r="B378" s="102" t="s">
        <v>263</v>
      </c>
      <c r="C378" s="102"/>
      <c r="D378" s="102"/>
      <c r="E378" s="103"/>
      <c r="F378" s="103"/>
      <c r="G378" s="103"/>
      <c r="H378" s="103"/>
      <c r="I378" s="103"/>
      <c r="J378" s="114" t="s">
        <v>2044</v>
      </c>
      <c r="K378" s="113" t="s">
        <v>2045</v>
      </c>
      <c r="L378" s="113" t="s">
        <v>2046</v>
      </c>
      <c r="M378" s="113"/>
      <c r="N378" s="113"/>
    </row>
    <row r="379" spans="1:14" ht="13.5" thickBot="1" x14ac:dyDescent="0.25">
      <c r="A379" s="108"/>
      <c r="B379" s="109"/>
      <c r="C379" s="109"/>
      <c r="D379" s="109"/>
      <c r="E379" s="110"/>
      <c r="F379" s="110"/>
      <c r="G379" s="110"/>
      <c r="H379" s="110"/>
      <c r="I379" s="110"/>
      <c r="J379" s="112" t="s">
        <v>1597</v>
      </c>
      <c r="K379" s="94" t="s">
        <v>1812</v>
      </c>
      <c r="L379" s="94" t="s">
        <v>482</v>
      </c>
      <c r="M379" s="94" t="s">
        <v>2047</v>
      </c>
      <c r="N379" s="94"/>
    </row>
    <row r="380" spans="1:14" x14ac:dyDescent="0.2">
      <c r="A380" s="101"/>
      <c r="B380" s="448" t="s">
        <v>67</v>
      </c>
      <c r="C380" s="448"/>
      <c r="D380" s="448"/>
      <c r="E380" s="103"/>
      <c r="F380" s="103" t="s">
        <v>1180</v>
      </c>
      <c r="G380" s="103" t="s">
        <v>68</v>
      </c>
      <c r="H380" s="103" t="s">
        <v>702</v>
      </c>
      <c r="I380" s="103"/>
      <c r="J380" s="89">
        <f>112.8/ATHENS!O1*ATHENS!O2</f>
        <v>230.20408163265307</v>
      </c>
      <c r="K380" s="89">
        <f>179.5/ATHENS!O1*ATHENS!O2</f>
        <v>366.32653061224488</v>
      </c>
      <c r="L380" s="89">
        <f>246.8/ATHENS!O1*ATHENS!O2</f>
        <v>503.67346938775512</v>
      </c>
      <c r="M380" s="89">
        <f>314.9/ATHENS!O1*ATHENS!O2</f>
        <v>642.65306122448976</v>
      </c>
      <c r="N380" s="113"/>
    </row>
    <row r="381" spans="1:14" x14ac:dyDescent="0.2">
      <c r="A381" s="105"/>
      <c r="B381" s="443" t="s">
        <v>67</v>
      </c>
      <c r="C381" s="443"/>
      <c r="D381" s="443"/>
      <c r="E381" s="99"/>
      <c r="F381" s="99" t="s">
        <v>1181</v>
      </c>
      <c r="G381" s="99" t="s">
        <v>68</v>
      </c>
      <c r="H381" s="99" t="s">
        <v>702</v>
      </c>
      <c r="I381" s="99"/>
      <c r="J381" s="89">
        <f>56.5/ATHENS!O1*ATHENS!O2</f>
        <v>115.30612244897959</v>
      </c>
      <c r="K381" s="89">
        <f>89.5/ATHENS!O1*ATHENS!O2</f>
        <v>182.65306122448979</v>
      </c>
      <c r="L381" s="89">
        <f>123.5/ATHENS!O1*ATHENS!O2</f>
        <v>252.0408163265306</v>
      </c>
      <c r="M381" s="89">
        <f>157.5/ATHENS!O1*ATHENS!O2</f>
        <v>321.42857142857144</v>
      </c>
      <c r="N381" s="89"/>
    </row>
    <row r="382" spans="1:14" ht="13.5" thickBot="1" x14ac:dyDescent="0.25">
      <c r="A382" s="108"/>
      <c r="B382" s="436" t="s">
        <v>67</v>
      </c>
      <c r="C382" s="436"/>
      <c r="D382" s="436"/>
      <c r="E382" s="110"/>
      <c r="F382" s="110" t="s">
        <v>1182</v>
      </c>
      <c r="G382" s="110" t="s">
        <v>68</v>
      </c>
      <c r="H382" s="110" t="s">
        <v>702</v>
      </c>
      <c r="I382" s="110"/>
      <c r="J382" s="94">
        <f>48.5/ATHENS!O1*ATHENS!O2</f>
        <v>98.979591836734699</v>
      </c>
      <c r="K382" s="94">
        <f>73.7/ATHENS!O1*ATHENS!O2</f>
        <v>150.40816326530614</v>
      </c>
      <c r="L382" s="94">
        <f>103.5/ATHENS!O1*ATHENS!O2</f>
        <v>211.22448979591837</v>
      </c>
      <c r="M382" s="94">
        <f>133/ATHENS!O1*ATHENS!O2</f>
        <v>271.42857142857144</v>
      </c>
      <c r="N382" s="94"/>
    </row>
    <row r="383" spans="1:14" ht="13.5" thickBot="1" x14ac:dyDescent="0.25">
      <c r="A383" s="97"/>
      <c r="B383" s="98"/>
      <c r="C383" s="98"/>
      <c r="D383" s="98"/>
      <c r="E383" s="99"/>
      <c r="F383" s="99"/>
      <c r="G383" s="99"/>
      <c r="H383" s="99"/>
      <c r="I383" s="99"/>
      <c r="J383" s="99"/>
      <c r="K383" s="99"/>
      <c r="L383" s="99"/>
      <c r="M383" s="99"/>
      <c r="N383" s="99"/>
    </row>
    <row r="384" spans="1:14" x14ac:dyDescent="0.2">
      <c r="A384" s="20"/>
      <c r="B384" s="21"/>
      <c r="C384" s="21"/>
      <c r="D384" s="21"/>
      <c r="E384" s="22"/>
      <c r="F384" s="22"/>
      <c r="G384" s="22"/>
      <c r="H384" s="22"/>
      <c r="I384" s="22"/>
      <c r="J384" s="22"/>
      <c r="K384" s="22"/>
      <c r="L384" s="22"/>
      <c r="M384" s="22"/>
      <c r="N384" s="23"/>
    </row>
    <row r="385" spans="1:14" ht="15" x14ac:dyDescent="0.2">
      <c r="A385" s="24"/>
      <c r="B385" s="413" t="s">
        <v>1692</v>
      </c>
      <c r="C385" s="414"/>
      <c r="D385" s="414"/>
      <c r="E385" s="414"/>
      <c r="F385" s="414"/>
      <c r="G385" s="414"/>
      <c r="H385" s="414"/>
      <c r="I385" s="414"/>
      <c r="J385" s="414"/>
      <c r="K385" s="414"/>
      <c r="L385" s="414"/>
      <c r="M385" s="415"/>
      <c r="N385" s="25" t="s">
        <v>96</v>
      </c>
    </row>
    <row r="386" spans="1:14" x14ac:dyDescent="0.2">
      <c r="A386" s="24"/>
      <c r="B386" s="26" t="s">
        <v>428</v>
      </c>
      <c r="C386" s="15"/>
      <c r="D386" s="15"/>
      <c r="E386" s="16"/>
      <c r="F386" s="16"/>
      <c r="G386" s="16"/>
      <c r="H386" s="16"/>
      <c r="I386" s="16"/>
      <c r="J386" s="16"/>
      <c r="K386" s="16"/>
      <c r="L386" s="16"/>
      <c r="M386" s="16"/>
      <c r="N386" s="27"/>
    </row>
    <row r="387" spans="1:14" x14ac:dyDescent="0.2">
      <c r="A387" s="24"/>
      <c r="B387" s="26" t="s">
        <v>429</v>
      </c>
      <c r="C387" s="15" t="s">
        <v>1694</v>
      </c>
      <c r="D387" s="15"/>
      <c r="E387" s="16"/>
      <c r="F387" s="16"/>
      <c r="G387" s="16"/>
      <c r="H387" s="16"/>
      <c r="I387" s="16"/>
      <c r="J387" s="16"/>
      <c r="K387" s="16"/>
      <c r="L387" s="16"/>
      <c r="M387" s="16"/>
      <c r="N387" s="27"/>
    </row>
    <row r="388" spans="1:14" x14ac:dyDescent="0.2">
      <c r="A388" s="24"/>
      <c r="B388" s="26" t="s">
        <v>427</v>
      </c>
      <c r="C388" s="416" t="s">
        <v>1695</v>
      </c>
      <c r="D388" s="416"/>
      <c r="E388" s="416"/>
      <c r="F388" s="416"/>
      <c r="G388" s="416"/>
      <c r="H388" s="416"/>
      <c r="I388" s="416"/>
      <c r="J388" s="416"/>
      <c r="K388" s="416"/>
      <c r="L388" s="416"/>
      <c r="M388" s="416"/>
      <c r="N388" s="417"/>
    </row>
    <row r="389" spans="1:14" x14ac:dyDescent="0.2">
      <c r="A389" s="24"/>
      <c r="B389" s="15"/>
      <c r="C389" s="416"/>
      <c r="D389" s="416"/>
      <c r="E389" s="416"/>
      <c r="F389" s="416"/>
      <c r="G389" s="416"/>
      <c r="H389" s="416"/>
      <c r="I389" s="416"/>
      <c r="J389" s="416"/>
      <c r="K389" s="416"/>
      <c r="L389" s="416"/>
      <c r="M389" s="416"/>
      <c r="N389" s="417"/>
    </row>
    <row r="390" spans="1:14" x14ac:dyDescent="0.2">
      <c r="A390" s="24"/>
      <c r="B390" s="26" t="s">
        <v>426</v>
      </c>
      <c r="C390" s="15" t="s">
        <v>1693</v>
      </c>
      <c r="D390" s="15"/>
      <c r="E390" s="16"/>
      <c r="F390" s="16"/>
      <c r="G390" s="16"/>
      <c r="H390" s="16"/>
      <c r="I390" s="16"/>
      <c r="J390" s="16"/>
      <c r="K390" s="16"/>
      <c r="L390" s="16"/>
      <c r="M390" s="16"/>
      <c r="N390" s="27"/>
    </row>
    <row r="391" spans="1:14" ht="13.5" thickBot="1" x14ac:dyDescent="0.25">
      <c r="A391" s="28"/>
      <c r="B391" s="26" t="s">
        <v>430</v>
      </c>
      <c r="C391" s="29"/>
      <c r="D391" s="29"/>
      <c r="E391" s="30"/>
      <c r="F391" s="30"/>
      <c r="G391" s="30"/>
      <c r="H391" s="30"/>
      <c r="I391" s="30"/>
      <c r="J391" s="30"/>
      <c r="K391" s="30"/>
      <c r="L391" s="30"/>
      <c r="M391" s="30"/>
      <c r="N391" s="31"/>
    </row>
    <row r="392" spans="1:14" x14ac:dyDescent="0.2">
      <c r="A392" s="24"/>
      <c r="B392" s="21" t="s">
        <v>263</v>
      </c>
      <c r="C392" s="15"/>
      <c r="D392" s="15"/>
      <c r="E392" s="16"/>
      <c r="F392" s="16"/>
      <c r="G392" s="16"/>
      <c r="H392" s="16"/>
      <c r="I392" s="16"/>
      <c r="J392" s="58" t="s">
        <v>512</v>
      </c>
      <c r="K392" s="55"/>
      <c r="L392" s="55"/>
      <c r="M392" s="55"/>
      <c r="N392" s="55"/>
    </row>
    <row r="393" spans="1:14" x14ac:dyDescent="0.2">
      <c r="A393" s="24"/>
      <c r="B393" s="15"/>
      <c r="C393" s="15"/>
      <c r="D393" s="15"/>
      <c r="E393" s="16"/>
      <c r="F393" s="16"/>
      <c r="G393" s="16"/>
      <c r="H393" s="16"/>
      <c r="I393" s="16"/>
      <c r="J393" s="58" t="s">
        <v>1758</v>
      </c>
      <c r="K393" s="55" t="s">
        <v>1759</v>
      </c>
      <c r="L393" s="55" t="s">
        <v>1760</v>
      </c>
      <c r="M393" s="55"/>
      <c r="N393" s="55"/>
    </row>
    <row r="394" spans="1:14" ht="13.5" thickBot="1" x14ac:dyDescent="0.25">
      <c r="A394" s="28"/>
      <c r="B394" s="29"/>
      <c r="C394" s="29"/>
      <c r="D394" s="29"/>
      <c r="E394" s="30"/>
      <c r="F394" s="30"/>
      <c r="G394" s="30"/>
      <c r="H394" s="30"/>
      <c r="I394" s="30"/>
      <c r="J394" s="44" t="s">
        <v>1438</v>
      </c>
      <c r="K394" s="36" t="s">
        <v>197</v>
      </c>
      <c r="L394" s="36" t="s">
        <v>523</v>
      </c>
      <c r="M394" s="36" t="s">
        <v>1761</v>
      </c>
      <c r="N394" s="36"/>
    </row>
    <row r="395" spans="1:14" x14ac:dyDescent="0.2">
      <c r="A395" s="24"/>
      <c r="B395" s="411" t="s">
        <v>67</v>
      </c>
      <c r="C395" s="411"/>
      <c r="D395" s="411"/>
      <c r="E395" s="16"/>
      <c r="F395" s="16" t="s">
        <v>1181</v>
      </c>
      <c r="G395" s="16" t="s">
        <v>68</v>
      </c>
      <c r="H395" s="16" t="s">
        <v>702</v>
      </c>
      <c r="I395" s="16"/>
      <c r="J395" s="66">
        <f>48/ATHENS!O1*ATHENS!O2</f>
        <v>97.959183673469383</v>
      </c>
      <c r="K395" s="66">
        <f>80/ATHENS!O1*ATHENS!O2</f>
        <v>163.26530612244898</v>
      </c>
      <c r="L395" s="40">
        <f>120/ATHENS!O1*ATHENS!O2</f>
        <v>244.89795918367346</v>
      </c>
      <c r="M395" s="40">
        <f>176/ATHENS!O1*ATHENS!O2</f>
        <v>359.18367346938777</v>
      </c>
      <c r="N395" s="40"/>
    </row>
    <row r="396" spans="1:14" x14ac:dyDescent="0.2">
      <c r="A396" s="24"/>
      <c r="B396" s="59"/>
      <c r="C396" s="15"/>
      <c r="D396" s="15"/>
      <c r="E396" s="16"/>
      <c r="F396" s="16" t="s">
        <v>1182</v>
      </c>
      <c r="G396" s="16" t="s">
        <v>68</v>
      </c>
      <c r="H396" s="16" t="s">
        <v>702</v>
      </c>
      <c r="I396" s="16"/>
      <c r="J396" s="66">
        <f>48/ATHENS!O1*ATHENS!O2</f>
        <v>97.959183673469383</v>
      </c>
      <c r="K396" s="66">
        <f>74.6/ATHENS!O1*ATHENS!O2</f>
        <v>152.24489795918367</v>
      </c>
      <c r="L396" s="40">
        <f>107/ATHENS!O1*ATHENS!O2</f>
        <v>218.36734693877551</v>
      </c>
      <c r="M396" s="40">
        <f>155/ATHENS!O1*ATHENS!O2</f>
        <v>316.32653061224488</v>
      </c>
      <c r="N396" s="40"/>
    </row>
    <row r="397" spans="1:14" ht="13.5" thickBot="1" x14ac:dyDescent="0.25">
      <c r="A397" s="28"/>
      <c r="B397" s="418"/>
      <c r="C397" s="418"/>
      <c r="D397" s="418"/>
      <c r="E397" s="30"/>
      <c r="F397" s="80"/>
      <c r="G397" s="80"/>
      <c r="H397" s="30"/>
      <c r="I397" s="30"/>
      <c r="J397" s="67"/>
      <c r="K397" s="67"/>
      <c r="L397" s="42"/>
      <c r="M397" s="42"/>
      <c r="N397" s="42"/>
    </row>
    <row r="398" spans="1:14" ht="13.5" thickBot="1" x14ac:dyDescent="0.25">
      <c r="A398" s="97"/>
      <c r="B398" s="98"/>
      <c r="C398" s="98"/>
      <c r="D398" s="98"/>
      <c r="E398" s="99"/>
      <c r="F398" s="99"/>
      <c r="G398" s="99"/>
      <c r="H398" s="99"/>
      <c r="I398" s="99"/>
      <c r="J398" s="99"/>
      <c r="K398" s="99"/>
      <c r="L398" s="99"/>
      <c r="M398" s="99"/>
      <c r="N398" s="99"/>
    </row>
    <row r="399" spans="1:14" x14ac:dyDescent="0.2">
      <c r="A399" s="101"/>
      <c r="B399" s="102"/>
      <c r="C399" s="102"/>
      <c r="D399" s="102"/>
      <c r="E399" s="103"/>
      <c r="F399" s="103"/>
      <c r="G399" s="103"/>
      <c r="H399" s="103"/>
      <c r="I399" s="103"/>
      <c r="J399" s="103"/>
      <c r="K399" s="103"/>
      <c r="L399" s="103"/>
      <c r="M399" s="103"/>
      <c r="N399" s="104"/>
    </row>
    <row r="400" spans="1:14" ht="15" x14ac:dyDescent="0.2">
      <c r="A400" s="105"/>
      <c r="B400" s="437" t="s">
        <v>1480</v>
      </c>
      <c r="C400" s="438"/>
      <c r="D400" s="438"/>
      <c r="E400" s="438"/>
      <c r="F400" s="438"/>
      <c r="G400" s="438"/>
      <c r="H400" s="438"/>
      <c r="I400" s="438"/>
      <c r="J400" s="438"/>
      <c r="K400" s="438"/>
      <c r="L400" s="438"/>
      <c r="M400" s="439"/>
      <c r="N400" s="106" t="s">
        <v>96</v>
      </c>
    </row>
    <row r="401" spans="1:14" x14ac:dyDescent="0.2">
      <c r="A401" s="105"/>
      <c r="B401" s="107" t="s">
        <v>428</v>
      </c>
      <c r="C401" s="98" t="s">
        <v>1481</v>
      </c>
      <c r="D401" s="98"/>
      <c r="E401" s="99"/>
      <c r="F401" s="99"/>
      <c r="G401" s="99"/>
      <c r="H401" s="99"/>
      <c r="I401" s="99"/>
      <c r="J401" s="99"/>
      <c r="K401" s="99"/>
      <c r="L401" s="99"/>
      <c r="M401" s="99"/>
      <c r="N401" s="90"/>
    </row>
    <row r="402" spans="1:14" x14ac:dyDescent="0.2">
      <c r="A402" s="105"/>
      <c r="B402" s="107" t="s">
        <v>429</v>
      </c>
      <c r="C402" s="98" t="s">
        <v>950</v>
      </c>
      <c r="D402" s="98"/>
      <c r="E402" s="99"/>
      <c r="F402" s="99"/>
      <c r="G402" s="99"/>
      <c r="H402" s="99"/>
      <c r="I402" s="99"/>
      <c r="J402" s="99"/>
      <c r="K402" s="99"/>
      <c r="L402" s="99"/>
      <c r="M402" s="99"/>
      <c r="N402" s="90"/>
    </row>
    <row r="403" spans="1:14" ht="12.75" customHeight="1" x14ac:dyDescent="0.2">
      <c r="A403" s="105"/>
      <c r="B403" s="107" t="s">
        <v>427</v>
      </c>
      <c r="C403" s="444" t="s">
        <v>1325</v>
      </c>
      <c r="D403" s="444"/>
      <c r="E403" s="444"/>
      <c r="F403" s="444"/>
      <c r="G403" s="444"/>
      <c r="H403" s="444"/>
      <c r="I403" s="444"/>
      <c r="J403" s="444"/>
      <c r="K403" s="444"/>
      <c r="L403" s="444"/>
      <c r="M403" s="444"/>
      <c r="N403" s="445"/>
    </row>
    <row r="404" spans="1:14" x14ac:dyDescent="0.2">
      <c r="A404" s="105"/>
      <c r="B404" s="107"/>
      <c r="C404" s="444"/>
      <c r="D404" s="444"/>
      <c r="E404" s="444"/>
      <c r="F404" s="444"/>
      <c r="G404" s="444"/>
      <c r="H404" s="444"/>
      <c r="I404" s="444"/>
      <c r="J404" s="444"/>
      <c r="K404" s="444"/>
      <c r="L404" s="444"/>
      <c r="M404" s="444"/>
      <c r="N404" s="445"/>
    </row>
    <row r="405" spans="1:14" x14ac:dyDescent="0.2">
      <c r="A405" s="105"/>
      <c r="B405" s="107"/>
      <c r="C405" s="444"/>
      <c r="D405" s="444"/>
      <c r="E405" s="444"/>
      <c r="F405" s="444"/>
      <c r="G405" s="444"/>
      <c r="H405" s="444"/>
      <c r="I405" s="444"/>
      <c r="J405" s="444"/>
      <c r="K405" s="444"/>
      <c r="L405" s="444"/>
      <c r="M405" s="444"/>
      <c r="N405" s="445"/>
    </row>
    <row r="406" spans="1:14" ht="13.5" thickBot="1" x14ac:dyDescent="0.25">
      <c r="A406" s="105"/>
      <c r="B406" s="107" t="s">
        <v>426</v>
      </c>
      <c r="C406" s="98" t="s">
        <v>1379</v>
      </c>
      <c r="D406" s="98"/>
      <c r="E406" s="99"/>
      <c r="F406" s="99"/>
      <c r="G406" s="99"/>
      <c r="H406" s="99"/>
      <c r="I406" s="99"/>
      <c r="J406" s="99"/>
      <c r="K406" s="99"/>
      <c r="L406" s="99"/>
      <c r="M406" s="99"/>
      <c r="N406" s="90"/>
    </row>
    <row r="407" spans="1:14" x14ac:dyDescent="0.2">
      <c r="A407" s="101"/>
      <c r="B407" s="102" t="s">
        <v>263</v>
      </c>
      <c r="C407" s="102"/>
      <c r="D407" s="102"/>
      <c r="E407" s="103"/>
      <c r="F407" s="103"/>
      <c r="G407" s="103"/>
      <c r="H407" s="103"/>
      <c r="I407" s="103"/>
      <c r="J407" s="114" t="s">
        <v>1933</v>
      </c>
      <c r="K407" s="113"/>
      <c r="L407" s="113"/>
      <c r="M407" s="113"/>
      <c r="N407" s="113"/>
    </row>
    <row r="408" spans="1:14" ht="13.5" thickBot="1" x14ac:dyDescent="0.25">
      <c r="A408" s="108"/>
      <c r="B408" s="98"/>
      <c r="C408" s="109"/>
      <c r="D408" s="109"/>
      <c r="E408" s="110"/>
      <c r="F408" s="110"/>
      <c r="G408" s="110"/>
      <c r="H408" s="110"/>
      <c r="I408" s="110"/>
      <c r="J408" s="112" t="s">
        <v>1934</v>
      </c>
      <c r="K408" s="94" t="s">
        <v>1553</v>
      </c>
      <c r="L408" s="94" t="s">
        <v>1935</v>
      </c>
      <c r="M408" s="94" t="s">
        <v>1936</v>
      </c>
      <c r="N408" s="94" t="s">
        <v>200</v>
      </c>
    </row>
    <row r="409" spans="1:14" x14ac:dyDescent="0.2">
      <c r="A409" s="101"/>
      <c r="B409" s="448" t="s">
        <v>67</v>
      </c>
      <c r="C409" s="448"/>
      <c r="D409" s="448"/>
      <c r="E409" s="103"/>
      <c r="F409" s="103" t="s">
        <v>1180</v>
      </c>
      <c r="G409" s="103" t="s">
        <v>68</v>
      </c>
      <c r="H409" s="103" t="s">
        <v>702</v>
      </c>
      <c r="I409" s="103"/>
      <c r="J409" s="89">
        <f>120/ATHENS!O1*ATHENS!O2</f>
        <v>244.89795918367346</v>
      </c>
      <c r="K409" s="89">
        <f>129.75/ATHENS!O1*ATHENS!O2</f>
        <v>264.79591836734693</v>
      </c>
      <c r="L409" s="89">
        <f>187.5/ATHENS!O1*ATHENS!O2</f>
        <v>382.65306122448982</v>
      </c>
      <c r="M409" s="89">
        <f>234/ATHENS!O1*ATHENS!O2</f>
        <v>477.55102040816325</v>
      </c>
      <c r="N409" s="89">
        <f>180/ATHENS!O1*ATHENS!O2</f>
        <v>367.34693877551024</v>
      </c>
    </row>
    <row r="410" spans="1:14" x14ac:dyDescent="0.2">
      <c r="A410" s="105"/>
      <c r="B410" s="443" t="s">
        <v>67</v>
      </c>
      <c r="C410" s="443"/>
      <c r="D410" s="443"/>
      <c r="E410" s="99"/>
      <c r="F410" s="99" t="s">
        <v>1181</v>
      </c>
      <c r="G410" s="99" t="s">
        <v>68</v>
      </c>
      <c r="H410" s="99" t="s">
        <v>702</v>
      </c>
      <c r="I410" s="99"/>
      <c r="J410" s="89">
        <f>60/ATHENS!O1*ATHENS!O2</f>
        <v>122.44897959183673</v>
      </c>
      <c r="K410" s="89">
        <f>65/ATHENS!O1*ATHENS!O2</f>
        <v>132.65306122448979</v>
      </c>
      <c r="L410" s="89">
        <f>93.75/ATHENS!O1*ATHENS!O2</f>
        <v>191.32653061224491</v>
      </c>
      <c r="M410" s="89">
        <f>117/ATHENS!O1*ATHENS!O2</f>
        <v>238.77551020408163</v>
      </c>
      <c r="N410" s="89">
        <f>90/ATHENS!O1*ATHENS!O2</f>
        <v>183.67346938775512</v>
      </c>
    </row>
    <row r="411" spans="1:14" ht="13.5" thickBot="1" x14ac:dyDescent="0.25">
      <c r="A411" s="108"/>
      <c r="B411" s="436" t="s">
        <v>67</v>
      </c>
      <c r="C411" s="436"/>
      <c r="D411" s="436"/>
      <c r="E411" s="110"/>
      <c r="F411" s="110" t="s">
        <v>1182</v>
      </c>
      <c r="G411" s="110" t="s">
        <v>68</v>
      </c>
      <c r="H411" s="110" t="s">
        <v>702</v>
      </c>
      <c r="I411" s="110"/>
      <c r="J411" s="94">
        <f>52/ATHENS!O1*ATHENS!O2</f>
        <v>106.12244897959184</v>
      </c>
      <c r="K411" s="94">
        <f>56.5/ATHENS!O1*ATHENS!O2</f>
        <v>115.30612244897959</v>
      </c>
      <c r="L411" s="94">
        <f>81/ATHENS!O1*ATHENS!O2</f>
        <v>165.30612244897961</v>
      </c>
      <c r="M411" s="94">
        <f>101.5/ATHENS!O1*ATHENS!O2</f>
        <v>207.14285714285714</v>
      </c>
      <c r="N411" s="94">
        <f>78/ATHENS!O1*ATHENS!O2</f>
        <v>159.18367346938777</v>
      </c>
    </row>
    <row r="412" spans="1:14" x14ac:dyDescent="0.2">
      <c r="A412" s="97"/>
      <c r="B412" s="98"/>
      <c r="C412" s="98"/>
      <c r="D412" s="98"/>
      <c r="E412" s="99"/>
      <c r="F412" s="99"/>
      <c r="G412" s="99"/>
      <c r="H412" s="99"/>
      <c r="I412" s="99"/>
      <c r="J412" s="99"/>
      <c r="K412" s="99"/>
      <c r="L412" s="99"/>
      <c r="M412" s="99"/>
      <c r="N412" s="99"/>
    </row>
    <row r="413" spans="1:14" x14ac:dyDescent="0.2">
      <c r="A413" s="97"/>
      <c r="B413" s="98"/>
      <c r="C413" s="98"/>
      <c r="D413" s="98"/>
      <c r="E413" s="99"/>
      <c r="F413" s="99"/>
      <c r="G413" s="99"/>
      <c r="H413" s="99"/>
      <c r="I413" s="99"/>
      <c r="J413" s="99"/>
      <c r="K413" s="99"/>
      <c r="L413" s="99"/>
      <c r="M413" s="99"/>
      <c r="N413" s="99"/>
    </row>
    <row r="414" spans="1:14" x14ac:dyDescent="0.2">
      <c r="A414" s="97"/>
      <c r="B414" s="98"/>
      <c r="C414" s="98"/>
      <c r="D414" s="98"/>
      <c r="E414" s="99"/>
      <c r="F414" s="99"/>
      <c r="G414" s="99"/>
      <c r="H414" s="99"/>
      <c r="I414" s="99"/>
      <c r="J414" s="99"/>
      <c r="K414" s="99"/>
      <c r="L414" s="99"/>
      <c r="M414" s="99"/>
      <c r="N414" s="99"/>
    </row>
    <row r="415" spans="1:14" x14ac:dyDescent="0.2">
      <c r="A415" s="97"/>
      <c r="B415" s="98"/>
      <c r="C415" s="98"/>
      <c r="D415" s="98"/>
      <c r="E415" s="99"/>
      <c r="F415" s="99"/>
      <c r="G415" s="99"/>
      <c r="H415" s="99"/>
      <c r="I415" s="99"/>
      <c r="J415" s="99"/>
      <c r="K415" s="99"/>
      <c r="L415" s="99"/>
      <c r="M415" s="99"/>
      <c r="N415" s="99"/>
    </row>
    <row r="416" spans="1:14" ht="13.5" thickBot="1" x14ac:dyDescent="0.25">
      <c r="A416" s="97"/>
      <c r="B416" s="123"/>
      <c r="C416" s="123"/>
      <c r="D416" s="123"/>
      <c r="E416" s="124"/>
      <c r="F416" s="124"/>
      <c r="G416" s="124"/>
      <c r="H416" s="124"/>
      <c r="I416" s="124"/>
      <c r="J416" s="124"/>
      <c r="K416" s="124"/>
      <c r="L416" s="124"/>
      <c r="M416" s="124"/>
      <c r="N416" s="124"/>
    </row>
    <row r="417" spans="1:14" x14ac:dyDescent="0.2">
      <c r="A417" s="101"/>
      <c r="B417" s="102"/>
      <c r="C417" s="102"/>
      <c r="D417" s="102"/>
      <c r="E417" s="103"/>
      <c r="F417" s="103"/>
      <c r="G417" s="103"/>
      <c r="H417" s="103"/>
      <c r="I417" s="103"/>
      <c r="J417" s="103"/>
      <c r="K417" s="103"/>
      <c r="L417" s="103"/>
      <c r="M417" s="103"/>
      <c r="N417" s="104"/>
    </row>
    <row r="418" spans="1:14" ht="15" x14ac:dyDescent="0.2">
      <c r="A418" s="105"/>
      <c r="B418" s="437" t="s">
        <v>1450</v>
      </c>
      <c r="C418" s="438"/>
      <c r="D418" s="438"/>
      <c r="E418" s="438"/>
      <c r="F418" s="438"/>
      <c r="G418" s="438"/>
      <c r="H418" s="438"/>
      <c r="I418" s="438"/>
      <c r="J418" s="438"/>
      <c r="K418" s="438"/>
      <c r="L418" s="438"/>
      <c r="M418" s="439"/>
      <c r="N418" s="106" t="s">
        <v>96</v>
      </c>
    </row>
    <row r="419" spans="1:14" x14ac:dyDescent="0.2">
      <c r="A419" s="105"/>
      <c r="B419" s="107" t="s">
        <v>428</v>
      </c>
      <c r="C419" s="98" t="s">
        <v>124</v>
      </c>
      <c r="D419" s="98"/>
      <c r="E419" s="99"/>
      <c r="F419" s="99"/>
      <c r="G419" s="99"/>
      <c r="H419" s="99"/>
      <c r="I419" s="99"/>
      <c r="J419" s="99"/>
      <c r="K419" s="99"/>
      <c r="L419" s="99"/>
      <c r="M419" s="99"/>
      <c r="N419" s="90"/>
    </row>
    <row r="420" spans="1:14" x14ac:dyDescent="0.2">
      <c r="A420" s="105"/>
      <c r="B420" s="107" t="s">
        <v>429</v>
      </c>
      <c r="C420" s="98" t="s">
        <v>287</v>
      </c>
      <c r="D420" s="98"/>
      <c r="E420" s="99"/>
      <c r="F420" s="99"/>
      <c r="G420" s="99"/>
      <c r="H420" s="99"/>
      <c r="I420" s="99"/>
      <c r="J420" s="99"/>
      <c r="K420" s="99"/>
      <c r="L420" s="99"/>
      <c r="M420" s="99"/>
      <c r="N420" s="90"/>
    </row>
    <row r="421" spans="1:14" x14ac:dyDescent="0.2">
      <c r="A421" s="105"/>
      <c r="B421" s="107" t="s">
        <v>427</v>
      </c>
      <c r="C421" s="444" t="s">
        <v>1326</v>
      </c>
      <c r="D421" s="444"/>
      <c r="E421" s="444"/>
      <c r="F421" s="444"/>
      <c r="G421" s="444"/>
      <c r="H421" s="444"/>
      <c r="I421" s="444"/>
      <c r="J421" s="444"/>
      <c r="K421" s="444"/>
      <c r="L421" s="444"/>
      <c r="M421" s="444"/>
      <c r="N421" s="445"/>
    </row>
    <row r="422" spans="1:14" x14ac:dyDescent="0.2">
      <c r="A422" s="105"/>
      <c r="B422" s="98"/>
      <c r="C422" s="444"/>
      <c r="D422" s="444"/>
      <c r="E422" s="444"/>
      <c r="F422" s="444"/>
      <c r="G422" s="444"/>
      <c r="H422" s="444"/>
      <c r="I422" s="444"/>
      <c r="J422" s="444"/>
      <c r="K422" s="444"/>
      <c r="L422" s="444"/>
      <c r="M422" s="444"/>
      <c r="N422" s="445"/>
    </row>
    <row r="423" spans="1:14" x14ac:dyDescent="0.2">
      <c r="A423" s="105"/>
      <c r="B423" s="98"/>
      <c r="C423" s="446"/>
      <c r="D423" s="446"/>
      <c r="E423" s="446"/>
      <c r="F423" s="446"/>
      <c r="G423" s="446"/>
      <c r="H423" s="446"/>
      <c r="I423" s="446"/>
      <c r="J423" s="446"/>
      <c r="K423" s="446"/>
      <c r="L423" s="446"/>
      <c r="M423" s="446"/>
      <c r="N423" s="447"/>
    </row>
    <row r="424" spans="1:14" ht="13.5" thickBot="1" x14ac:dyDescent="0.25">
      <c r="A424" s="108"/>
      <c r="B424" s="107" t="s">
        <v>430</v>
      </c>
      <c r="C424" s="109" t="s">
        <v>560</v>
      </c>
      <c r="D424" s="109"/>
      <c r="E424" s="110"/>
      <c r="F424" s="110"/>
      <c r="G424" s="110"/>
      <c r="H424" s="110"/>
      <c r="I424" s="110"/>
      <c r="J424" s="110"/>
      <c r="K424" s="110"/>
      <c r="L424" s="110"/>
      <c r="M424" s="110"/>
      <c r="N424" s="93"/>
    </row>
    <row r="425" spans="1:14" x14ac:dyDescent="0.2">
      <c r="A425" s="101"/>
      <c r="B425" s="102" t="s">
        <v>263</v>
      </c>
      <c r="C425" s="102"/>
      <c r="D425" s="102"/>
      <c r="E425" s="103"/>
      <c r="F425" s="103"/>
      <c r="G425" s="103"/>
      <c r="H425" s="103"/>
      <c r="I425" s="103"/>
      <c r="J425" s="114" t="s">
        <v>1762</v>
      </c>
      <c r="K425" s="113" t="s">
        <v>1764</v>
      </c>
      <c r="L425" s="113"/>
      <c r="M425" s="113"/>
      <c r="N425" s="113"/>
    </row>
    <row r="426" spans="1:14" x14ac:dyDescent="0.2">
      <c r="A426" s="105"/>
      <c r="B426" s="98"/>
      <c r="C426" s="98"/>
      <c r="D426" s="98"/>
      <c r="E426" s="99"/>
      <c r="F426" s="99"/>
      <c r="G426" s="99"/>
      <c r="H426" s="99"/>
      <c r="I426" s="99"/>
      <c r="J426" s="111" t="s">
        <v>1763</v>
      </c>
      <c r="K426" s="89" t="s">
        <v>758</v>
      </c>
      <c r="L426" s="89" t="s">
        <v>1399</v>
      </c>
      <c r="M426" s="89"/>
      <c r="N426" s="89"/>
    </row>
    <row r="427" spans="1:14" ht="13.5" thickBot="1" x14ac:dyDescent="0.25">
      <c r="A427" s="108"/>
      <c r="B427" s="109"/>
      <c r="C427" s="109"/>
      <c r="D427" s="109"/>
      <c r="E427" s="110"/>
      <c r="F427" s="110"/>
      <c r="G427" s="110"/>
      <c r="H427" s="110"/>
      <c r="I427" s="110"/>
      <c r="J427" s="112" t="s">
        <v>203</v>
      </c>
      <c r="K427" s="94" t="s">
        <v>1151</v>
      </c>
      <c r="L427" s="94" t="s">
        <v>596</v>
      </c>
      <c r="M427" s="94" t="s">
        <v>1152</v>
      </c>
      <c r="N427" s="94"/>
    </row>
    <row r="428" spans="1:14" x14ac:dyDescent="0.2">
      <c r="A428" s="101"/>
      <c r="B428" s="448" t="s">
        <v>67</v>
      </c>
      <c r="C428" s="448"/>
      <c r="D428" s="448"/>
      <c r="E428" s="103"/>
      <c r="F428" s="103" t="s">
        <v>1180</v>
      </c>
      <c r="G428" s="103" t="s">
        <v>68</v>
      </c>
      <c r="H428" s="103" t="s">
        <v>702</v>
      </c>
      <c r="I428" s="103"/>
      <c r="J428" s="89">
        <f>180/ATHENS!O1*ATHENS!O2</f>
        <v>367.34693877551024</v>
      </c>
      <c r="K428" s="89">
        <f>260/ATHENS!O1*ATHENS!O2</f>
        <v>530.61224489795916</v>
      </c>
      <c r="L428" s="89">
        <f>335/ATHENS!O1*ATHENS!O2</f>
        <v>683.67346938775506</v>
      </c>
      <c r="M428" s="113">
        <f>460/ATHENS!O1*ATHENS!O2</f>
        <v>938.77551020408168</v>
      </c>
      <c r="N428" s="113"/>
    </row>
    <row r="429" spans="1:14" x14ac:dyDescent="0.2">
      <c r="A429" s="105"/>
      <c r="B429" s="443" t="s">
        <v>67</v>
      </c>
      <c r="C429" s="443"/>
      <c r="D429" s="443"/>
      <c r="E429" s="99"/>
      <c r="F429" s="99" t="s">
        <v>1181</v>
      </c>
      <c r="G429" s="99" t="s">
        <v>68</v>
      </c>
      <c r="H429" s="99" t="s">
        <v>702</v>
      </c>
      <c r="I429" s="99"/>
      <c r="J429" s="89">
        <f>90/ATHENS!O1*ATHENS!O2</f>
        <v>183.67346938775512</v>
      </c>
      <c r="K429" s="89">
        <f>130/ATHENS!O1*ATHENS!O2</f>
        <v>265.30612244897958</v>
      </c>
      <c r="L429" s="89">
        <f>167.5/ATHENS!O1*ATHENS!O2</f>
        <v>341.83673469387753</v>
      </c>
      <c r="M429" s="89">
        <f>230/ATHENS!O1*ATHENS!O2</f>
        <v>469.38775510204084</v>
      </c>
      <c r="N429" s="89"/>
    </row>
    <row r="430" spans="1:14" ht="13.5" thickBot="1" x14ac:dyDescent="0.25">
      <c r="A430" s="108"/>
      <c r="B430" s="436" t="s">
        <v>67</v>
      </c>
      <c r="C430" s="436"/>
      <c r="D430" s="436"/>
      <c r="E430" s="110"/>
      <c r="F430" s="110" t="s">
        <v>1182</v>
      </c>
      <c r="G430" s="110" t="s">
        <v>68</v>
      </c>
      <c r="H430" s="110" t="s">
        <v>702</v>
      </c>
      <c r="I430" s="110"/>
      <c r="J430" s="94">
        <f>73.5/ATHENS!O1*ATHENS!O2</f>
        <v>150</v>
      </c>
      <c r="K430" s="94">
        <f>100/ATHENS!O1*ATHENS!O2</f>
        <v>204.08163265306123</v>
      </c>
      <c r="L430" s="94">
        <f>125/ATHENS!O1*ATHENS!O2</f>
        <v>255.10204081632654</v>
      </c>
      <c r="M430" s="94">
        <f>166.6/ATHENS!O1*ATHENS!O2</f>
        <v>340</v>
      </c>
      <c r="N430" s="94"/>
    </row>
    <row r="431" spans="1:14" ht="13.5" thickBot="1" x14ac:dyDescent="0.25">
      <c r="A431" s="97"/>
      <c r="B431" s="98"/>
      <c r="C431" s="98"/>
      <c r="D431" s="98"/>
      <c r="E431" s="99"/>
      <c r="F431" s="99"/>
      <c r="G431" s="99"/>
      <c r="H431" s="99"/>
      <c r="I431" s="99"/>
      <c r="J431" s="99"/>
      <c r="K431" s="99"/>
      <c r="L431" s="99"/>
      <c r="M431" s="99"/>
      <c r="N431" s="99"/>
    </row>
    <row r="432" spans="1:14" x14ac:dyDescent="0.2">
      <c r="A432" s="101"/>
      <c r="B432" s="102"/>
      <c r="C432" s="102"/>
      <c r="D432" s="102"/>
      <c r="E432" s="103"/>
      <c r="F432" s="103"/>
      <c r="G432" s="103"/>
      <c r="H432" s="103"/>
      <c r="I432" s="103"/>
      <c r="J432" s="103"/>
      <c r="K432" s="103"/>
      <c r="L432" s="103"/>
      <c r="M432" s="103"/>
      <c r="N432" s="104"/>
    </row>
    <row r="433" spans="1:14" ht="15" x14ac:dyDescent="0.2">
      <c r="A433" s="105"/>
      <c r="B433" s="437" t="s">
        <v>625</v>
      </c>
      <c r="C433" s="438"/>
      <c r="D433" s="438"/>
      <c r="E433" s="438"/>
      <c r="F433" s="438"/>
      <c r="G433" s="438"/>
      <c r="H433" s="438"/>
      <c r="I433" s="438"/>
      <c r="J433" s="438"/>
      <c r="K433" s="438"/>
      <c r="L433" s="438"/>
      <c r="M433" s="439"/>
      <c r="N433" s="106" t="s">
        <v>664</v>
      </c>
    </row>
    <row r="434" spans="1:14" x14ac:dyDescent="0.2">
      <c r="A434" s="105"/>
      <c r="B434" s="107" t="s">
        <v>428</v>
      </c>
      <c r="C434" s="98" t="s">
        <v>20</v>
      </c>
      <c r="D434" s="98"/>
      <c r="E434" s="99"/>
      <c r="F434" s="99"/>
      <c r="G434" s="99"/>
      <c r="H434" s="99"/>
      <c r="I434" s="99"/>
      <c r="J434" s="99"/>
      <c r="K434" s="99"/>
      <c r="L434" s="99"/>
      <c r="M434" s="99"/>
      <c r="N434" s="90"/>
    </row>
    <row r="435" spans="1:14" x14ac:dyDescent="0.2">
      <c r="A435" s="105"/>
      <c r="B435" s="107" t="s">
        <v>429</v>
      </c>
      <c r="C435" s="98" t="s">
        <v>21</v>
      </c>
      <c r="D435" s="98"/>
      <c r="E435" s="99"/>
      <c r="F435" s="99"/>
      <c r="G435" s="99"/>
      <c r="H435" s="99"/>
      <c r="I435" s="99"/>
      <c r="J435" s="99"/>
      <c r="K435" s="99"/>
      <c r="L435" s="99"/>
      <c r="M435" s="99"/>
      <c r="N435" s="90"/>
    </row>
    <row r="436" spans="1:14" x14ac:dyDescent="0.2">
      <c r="A436" s="105"/>
      <c r="B436" s="107" t="s">
        <v>427</v>
      </c>
      <c r="C436" s="444" t="s">
        <v>1389</v>
      </c>
      <c r="D436" s="444"/>
      <c r="E436" s="444"/>
      <c r="F436" s="444"/>
      <c r="G436" s="444"/>
      <c r="H436" s="444"/>
      <c r="I436" s="444"/>
      <c r="J436" s="444"/>
      <c r="K436" s="444"/>
      <c r="L436" s="444"/>
      <c r="M436" s="444"/>
      <c r="N436" s="445"/>
    </row>
    <row r="437" spans="1:14" ht="13.5" thickBot="1" x14ac:dyDescent="0.25">
      <c r="A437" s="105"/>
      <c r="B437" s="98"/>
      <c r="C437" s="444"/>
      <c r="D437" s="444"/>
      <c r="E437" s="444"/>
      <c r="F437" s="444"/>
      <c r="G437" s="444"/>
      <c r="H437" s="444"/>
      <c r="I437" s="444"/>
      <c r="J437" s="444"/>
      <c r="K437" s="444"/>
      <c r="L437" s="444"/>
      <c r="M437" s="444"/>
      <c r="N437" s="445"/>
    </row>
    <row r="438" spans="1:14" x14ac:dyDescent="0.2">
      <c r="A438" s="101"/>
      <c r="B438" s="102" t="s">
        <v>263</v>
      </c>
      <c r="C438" s="102"/>
      <c r="D438" s="102"/>
      <c r="E438" s="103"/>
      <c r="F438" s="103"/>
      <c r="G438" s="103"/>
      <c r="H438" s="103"/>
      <c r="I438" s="103"/>
      <c r="J438" s="114"/>
      <c r="K438" s="113" t="s">
        <v>1559</v>
      </c>
      <c r="L438" s="113" t="s">
        <v>1878</v>
      </c>
      <c r="M438" s="113"/>
      <c r="N438" s="113"/>
    </row>
    <row r="439" spans="1:14" ht="13.5" thickBot="1" x14ac:dyDescent="0.25">
      <c r="A439" s="108"/>
      <c r="B439" s="98"/>
      <c r="C439" s="109"/>
      <c r="D439" s="109"/>
      <c r="E439" s="110"/>
      <c r="F439" s="110"/>
      <c r="G439" s="110"/>
      <c r="H439" s="110"/>
      <c r="I439" s="110"/>
      <c r="J439" s="112" t="s">
        <v>1876</v>
      </c>
      <c r="K439" s="94" t="s">
        <v>1877</v>
      </c>
      <c r="L439" s="94" t="s">
        <v>1879</v>
      </c>
      <c r="M439" s="94" t="s">
        <v>1880</v>
      </c>
      <c r="N439" s="94"/>
    </row>
    <row r="440" spans="1:14" x14ac:dyDescent="0.2">
      <c r="A440" s="101"/>
      <c r="B440" s="448" t="s">
        <v>67</v>
      </c>
      <c r="C440" s="448"/>
      <c r="D440" s="448"/>
      <c r="E440" s="103"/>
      <c r="F440" s="103" t="s">
        <v>1180</v>
      </c>
      <c r="G440" s="103" t="s">
        <v>68</v>
      </c>
      <c r="H440" s="103" t="s">
        <v>702</v>
      </c>
      <c r="I440" s="103"/>
      <c r="J440" s="89">
        <f>68/ATHENS!O1*ATHENS!O2</f>
        <v>138.77551020408163</v>
      </c>
      <c r="K440" s="89">
        <f>98/ATHENS!O1*ATHENS!O2</f>
        <v>200</v>
      </c>
      <c r="L440" s="89">
        <f>152/ATHENS!O1*ATHENS!O2</f>
        <v>310.20408163265307</v>
      </c>
      <c r="M440" s="89">
        <f>188/ATHENS!O1*ATHENS!O2</f>
        <v>383.67346938775512</v>
      </c>
      <c r="N440" s="113"/>
    </row>
    <row r="441" spans="1:14" x14ac:dyDescent="0.2">
      <c r="A441" s="105"/>
      <c r="B441" s="443" t="s">
        <v>67</v>
      </c>
      <c r="C441" s="443"/>
      <c r="D441" s="443"/>
      <c r="E441" s="99"/>
      <c r="F441" s="99" t="s">
        <v>1181</v>
      </c>
      <c r="G441" s="99" t="s">
        <v>68</v>
      </c>
      <c r="H441" s="99" t="s">
        <v>702</v>
      </c>
      <c r="I441" s="99"/>
      <c r="J441" s="89">
        <f>39/ATHENS!O1*ATHENS!O2</f>
        <v>79.591836734693885</v>
      </c>
      <c r="K441" s="89">
        <f>52/ATHENS!O1*ATHENS!O2</f>
        <v>106.12244897959184</v>
      </c>
      <c r="L441" s="89">
        <f>83/ATHENS!O1*ATHENS!O2</f>
        <v>169.38775510204081</v>
      </c>
      <c r="M441" s="89">
        <f>103/ATHENS!O1*ATHENS!O2</f>
        <v>210.20408163265307</v>
      </c>
      <c r="N441" s="89"/>
    </row>
    <row r="442" spans="1:14" ht="13.5" thickBot="1" x14ac:dyDescent="0.25">
      <c r="A442" s="108"/>
      <c r="B442" s="436"/>
      <c r="C442" s="436"/>
      <c r="D442" s="436"/>
      <c r="E442" s="110"/>
      <c r="F442" s="110"/>
      <c r="G442" s="110"/>
      <c r="H442" s="110"/>
      <c r="I442" s="110"/>
      <c r="J442" s="94"/>
      <c r="K442" s="94"/>
      <c r="L442" s="94"/>
      <c r="M442" s="94"/>
      <c r="N442" s="94"/>
    </row>
    <row r="443" spans="1:14" x14ac:dyDescent="0.2">
      <c r="A443" s="97"/>
      <c r="B443" s="98"/>
      <c r="C443" s="98"/>
      <c r="D443" s="98"/>
      <c r="E443" s="99"/>
      <c r="F443" s="99"/>
      <c r="G443" s="99"/>
      <c r="H443" s="99"/>
      <c r="I443" s="99"/>
      <c r="J443" s="99"/>
      <c r="K443" s="99"/>
      <c r="L443" s="99"/>
      <c r="M443" s="99"/>
      <c r="N443" s="99"/>
    </row>
    <row r="444" spans="1:14" x14ac:dyDescent="0.2">
      <c r="A444" s="97"/>
      <c r="B444" s="98"/>
      <c r="C444" s="98"/>
      <c r="D444" s="98"/>
      <c r="E444" s="99"/>
      <c r="F444" s="99"/>
      <c r="G444" s="99"/>
      <c r="H444" s="99"/>
      <c r="I444" s="99"/>
      <c r="J444" s="99"/>
      <c r="K444" s="99"/>
      <c r="L444" s="99"/>
      <c r="M444" s="99"/>
      <c r="N444" s="99"/>
    </row>
    <row r="445" spans="1:14" x14ac:dyDescent="0.2">
      <c r="A445" s="97"/>
      <c r="B445" s="98"/>
      <c r="C445" s="98"/>
      <c r="D445" s="98"/>
      <c r="E445" s="99"/>
      <c r="F445" s="99"/>
      <c r="G445" s="99"/>
      <c r="H445" s="99"/>
      <c r="I445" s="99"/>
      <c r="J445" s="99"/>
      <c r="K445" s="99"/>
      <c r="L445" s="99"/>
      <c r="M445" s="99"/>
      <c r="N445" s="99"/>
    </row>
    <row r="446" spans="1:14" x14ac:dyDescent="0.2">
      <c r="A446" s="97"/>
      <c r="B446" s="98"/>
      <c r="C446" s="98"/>
      <c r="D446" s="98"/>
      <c r="E446" s="99"/>
      <c r="F446" s="99"/>
      <c r="G446" s="99"/>
      <c r="H446" s="99"/>
      <c r="I446" s="99"/>
      <c r="J446" s="99"/>
      <c r="K446" s="99"/>
      <c r="L446" s="99"/>
      <c r="M446" s="99"/>
      <c r="N446" s="99"/>
    </row>
    <row r="447" spans="1:14" x14ac:dyDescent="0.2">
      <c r="A447" s="97"/>
      <c r="B447" s="98"/>
      <c r="C447" s="98"/>
      <c r="D447" s="98"/>
      <c r="E447" s="99"/>
      <c r="F447" s="99"/>
      <c r="G447" s="99"/>
      <c r="H447" s="99"/>
      <c r="I447" s="99"/>
      <c r="J447" s="99"/>
      <c r="K447" s="99"/>
      <c r="L447" s="99"/>
      <c r="M447" s="99"/>
      <c r="N447" s="99"/>
    </row>
    <row r="448" spans="1:14" x14ac:dyDescent="0.2">
      <c r="A448" s="97"/>
      <c r="B448" s="98"/>
      <c r="C448" s="98"/>
      <c r="D448" s="98"/>
      <c r="E448" s="99"/>
      <c r="F448" s="99"/>
      <c r="G448" s="99"/>
      <c r="H448" s="99"/>
      <c r="I448" s="99"/>
      <c r="J448" s="99"/>
      <c r="K448" s="99"/>
      <c r="L448" s="99"/>
      <c r="M448" s="99"/>
      <c r="N448" s="99"/>
    </row>
    <row r="450" spans="1:14" ht="13.5" thickBot="1" x14ac:dyDescent="0.25"/>
    <row r="451" spans="1:14" x14ac:dyDescent="0.2">
      <c r="A451" s="20"/>
      <c r="B451" s="21"/>
      <c r="C451" s="21"/>
      <c r="D451" s="21"/>
      <c r="E451" s="22"/>
      <c r="F451" s="22"/>
      <c r="G451" s="22"/>
      <c r="H451" s="22"/>
      <c r="I451" s="22"/>
      <c r="J451" s="22"/>
      <c r="K451" s="22"/>
      <c r="L451" s="22"/>
      <c r="M451" s="22"/>
      <c r="N451" s="23"/>
    </row>
    <row r="452" spans="1:14" x14ac:dyDescent="0.2">
      <c r="A452" s="24"/>
      <c r="B452" s="430" t="s">
        <v>1696</v>
      </c>
      <c r="C452" s="431"/>
      <c r="D452" s="431"/>
      <c r="E452" s="431"/>
      <c r="F452" s="431"/>
      <c r="G452" s="431"/>
      <c r="H452" s="431"/>
      <c r="I452" s="431"/>
      <c r="J452" s="431"/>
      <c r="K452" s="431"/>
      <c r="L452" s="431"/>
      <c r="M452" s="432"/>
      <c r="N452" s="25" t="s">
        <v>664</v>
      </c>
    </row>
    <row r="453" spans="1:14" x14ac:dyDescent="0.2">
      <c r="A453" s="24"/>
      <c r="B453" s="26" t="s">
        <v>428</v>
      </c>
      <c r="C453" s="15" t="s">
        <v>1697</v>
      </c>
      <c r="D453" s="15"/>
      <c r="E453" s="16"/>
      <c r="F453" s="16"/>
      <c r="G453" s="16"/>
      <c r="H453" s="16"/>
      <c r="I453" s="16"/>
      <c r="J453" s="16"/>
      <c r="K453" s="16"/>
      <c r="L453" s="16"/>
      <c r="M453" s="16"/>
      <c r="N453" s="27"/>
    </row>
    <row r="454" spans="1:14" x14ac:dyDescent="0.2">
      <c r="A454" s="24"/>
      <c r="B454" s="26" t="s">
        <v>429</v>
      </c>
      <c r="C454" s="15" t="s">
        <v>1673</v>
      </c>
      <c r="D454" s="15"/>
      <c r="E454" s="16"/>
      <c r="F454" s="16"/>
      <c r="G454" s="16"/>
      <c r="H454" s="16"/>
      <c r="I454" s="16"/>
      <c r="J454" s="16"/>
      <c r="K454" s="16"/>
      <c r="L454" s="16"/>
      <c r="M454" s="16"/>
      <c r="N454" s="27"/>
    </row>
    <row r="455" spans="1:14" x14ac:dyDescent="0.2">
      <c r="A455" s="24"/>
      <c r="B455" s="26" t="s">
        <v>427</v>
      </c>
      <c r="C455" s="416" t="s">
        <v>1698</v>
      </c>
      <c r="D455" s="416"/>
      <c r="E455" s="416"/>
      <c r="F455" s="416"/>
      <c r="G455" s="416"/>
      <c r="H455" s="416"/>
      <c r="I455" s="416"/>
      <c r="J455" s="416"/>
      <c r="K455" s="416"/>
      <c r="L455" s="416"/>
      <c r="M455" s="416"/>
      <c r="N455" s="417"/>
    </row>
    <row r="456" spans="1:14" x14ac:dyDescent="0.2">
      <c r="A456" s="24"/>
      <c r="B456" s="15"/>
      <c r="C456" s="416"/>
      <c r="D456" s="416"/>
      <c r="E456" s="416"/>
      <c r="F456" s="416"/>
      <c r="G456" s="416"/>
      <c r="H456" s="416"/>
      <c r="I456" s="416"/>
      <c r="J456" s="416"/>
      <c r="K456" s="416"/>
      <c r="L456" s="416"/>
      <c r="M456" s="416"/>
      <c r="N456" s="417"/>
    </row>
    <row r="457" spans="1:14" x14ac:dyDescent="0.2">
      <c r="A457" s="24"/>
      <c r="B457" s="26" t="s">
        <v>426</v>
      </c>
      <c r="C457" s="15" t="s">
        <v>1697</v>
      </c>
      <c r="D457" s="15"/>
      <c r="E457" s="16"/>
      <c r="F457" s="16"/>
      <c r="G457" s="16"/>
      <c r="H457" s="16"/>
      <c r="I457" s="16"/>
      <c r="J457" s="16"/>
      <c r="K457" s="16"/>
      <c r="L457" s="16"/>
      <c r="M457" s="16"/>
      <c r="N457" s="27"/>
    </row>
    <row r="458" spans="1:14" ht="13.5" thickBot="1" x14ac:dyDescent="0.25">
      <c r="A458" s="28"/>
      <c r="B458" s="26" t="s">
        <v>430</v>
      </c>
      <c r="C458" s="29"/>
      <c r="D458" s="29"/>
      <c r="E458" s="30"/>
      <c r="F458" s="30"/>
      <c r="G458" s="30"/>
      <c r="H458" s="30"/>
      <c r="I458" s="30"/>
      <c r="J458" s="30"/>
      <c r="K458" s="30"/>
      <c r="L458" s="30"/>
      <c r="M458" s="30"/>
      <c r="N458" s="31"/>
    </row>
    <row r="459" spans="1:14" ht="13.5" thickBot="1" x14ac:dyDescent="0.25">
      <c r="A459" s="24"/>
      <c r="B459" s="21" t="s">
        <v>263</v>
      </c>
      <c r="C459" s="15"/>
      <c r="D459" s="15"/>
      <c r="E459" s="16"/>
      <c r="F459" s="16"/>
      <c r="G459" s="16"/>
      <c r="H459" s="16"/>
      <c r="I459" s="16"/>
      <c r="J459" s="58" t="s">
        <v>1825</v>
      </c>
      <c r="K459" s="55" t="s">
        <v>1558</v>
      </c>
      <c r="L459" s="55" t="s">
        <v>1442</v>
      </c>
      <c r="M459" s="16"/>
      <c r="N459" s="27"/>
    </row>
    <row r="460" spans="1:14" ht="13.5" thickBot="1" x14ac:dyDescent="0.25">
      <c r="A460" s="24"/>
      <c r="B460" s="21" t="s">
        <v>263</v>
      </c>
      <c r="C460" s="15"/>
      <c r="D460" s="15"/>
      <c r="E460" s="16"/>
      <c r="F460" s="16"/>
      <c r="G460" s="16"/>
      <c r="H460" s="16"/>
      <c r="I460" s="16"/>
      <c r="J460" s="100" t="s">
        <v>1433</v>
      </c>
      <c r="M460" s="55"/>
      <c r="N460" s="55"/>
    </row>
    <row r="461" spans="1:14" x14ac:dyDescent="0.2">
      <c r="A461" s="20"/>
      <c r="B461" s="412" t="s">
        <v>67</v>
      </c>
      <c r="C461" s="412"/>
      <c r="D461" s="412"/>
      <c r="E461" s="22"/>
      <c r="F461" s="22" t="s">
        <v>1180</v>
      </c>
      <c r="G461" s="22" t="s">
        <v>68</v>
      </c>
      <c r="H461" s="22" t="s">
        <v>702</v>
      </c>
      <c r="I461" s="16"/>
      <c r="J461" s="66">
        <f>60/ATHENS!O1*ATHENS!O2</f>
        <v>122.44897959183673</v>
      </c>
      <c r="K461" s="66">
        <f>120/ATHENS!O1*ATHENS!O2</f>
        <v>244.89795918367346</v>
      </c>
      <c r="L461" s="40">
        <f>160/ATHENS!O1*ATHENS!O2</f>
        <v>326.53061224489795</v>
      </c>
      <c r="M461" s="38"/>
      <c r="N461" s="38"/>
    </row>
    <row r="462" spans="1:14" x14ac:dyDescent="0.2">
      <c r="A462" s="24"/>
      <c r="B462" s="411" t="s">
        <v>67</v>
      </c>
      <c r="C462" s="411"/>
      <c r="D462" s="411"/>
      <c r="E462" s="16"/>
      <c r="F462" s="16" t="s">
        <v>1181</v>
      </c>
      <c r="G462" s="16" t="s">
        <v>68</v>
      </c>
      <c r="H462" s="16" t="s">
        <v>702</v>
      </c>
      <c r="I462" s="16"/>
      <c r="J462" s="66">
        <f>35/ATHENS!O1*ATHENS!O2</f>
        <v>71.428571428571431</v>
      </c>
      <c r="K462" s="66">
        <f>65/ATHENS!O1*ATHENS!O2</f>
        <v>132.65306122448979</v>
      </c>
      <c r="L462" s="40">
        <f>85/ATHENS!O1*ATHENS!O2</f>
        <v>173.46938775510205</v>
      </c>
      <c r="M462" s="40"/>
      <c r="N462" s="40"/>
    </row>
    <row r="463" spans="1:14" x14ac:dyDescent="0.2">
      <c r="A463" s="24"/>
      <c r="B463" s="59"/>
      <c r="C463" s="15"/>
      <c r="D463" s="15"/>
      <c r="E463" s="16"/>
      <c r="F463" s="16" t="s">
        <v>1182</v>
      </c>
      <c r="G463" s="16" t="s">
        <v>68</v>
      </c>
      <c r="H463" s="16" t="s">
        <v>702</v>
      </c>
      <c r="I463" s="16"/>
      <c r="J463" s="66">
        <f>36.7/ATHENS!O1*ATHENS!O2</f>
        <v>74.897959183673478</v>
      </c>
      <c r="K463" s="66">
        <f>56.6/ATHENS!O1*ATHENS!O2</f>
        <v>115.51020408163266</v>
      </c>
      <c r="L463" s="40">
        <f>70/ATHENS!O1*ATHENS!O2</f>
        <v>142.85714285714286</v>
      </c>
      <c r="M463" s="40"/>
      <c r="N463" s="40"/>
    </row>
    <row r="464" spans="1:14" ht="13.5" thickBot="1" x14ac:dyDescent="0.25">
      <c r="A464" s="28"/>
      <c r="B464" s="418"/>
      <c r="C464" s="418"/>
      <c r="D464" s="418"/>
      <c r="E464" s="30"/>
      <c r="F464" s="80"/>
      <c r="G464" s="80"/>
      <c r="H464" s="30"/>
      <c r="I464" s="30"/>
      <c r="J464" s="67"/>
      <c r="K464" s="67"/>
      <c r="L464" s="42"/>
      <c r="M464" s="42"/>
      <c r="N464" s="42"/>
    </row>
    <row r="465" spans="1:14" x14ac:dyDescent="0.2">
      <c r="A465" s="97"/>
      <c r="B465" s="98"/>
      <c r="C465" s="98"/>
      <c r="D465" s="98"/>
      <c r="E465" s="99"/>
      <c r="F465" s="99"/>
      <c r="G465" s="99"/>
      <c r="H465" s="99"/>
      <c r="I465" s="99"/>
      <c r="J465" s="99"/>
      <c r="K465" s="99"/>
      <c r="L465" s="99"/>
      <c r="M465" s="99"/>
      <c r="N465" s="99"/>
    </row>
    <row r="466" spans="1:14" ht="13.5" thickBot="1" x14ac:dyDescent="0.25"/>
    <row r="467" spans="1:14" x14ac:dyDescent="0.2">
      <c r="A467" s="101"/>
      <c r="B467" s="102"/>
      <c r="C467" s="102"/>
      <c r="D467" s="102"/>
      <c r="E467" s="103"/>
      <c r="F467" s="103"/>
      <c r="G467" s="103"/>
      <c r="H467" s="103"/>
      <c r="I467" s="103"/>
      <c r="J467" s="103"/>
      <c r="K467" s="103"/>
      <c r="L467" s="103"/>
      <c r="M467" s="103"/>
      <c r="N467" s="104"/>
    </row>
    <row r="468" spans="1:14" ht="15" x14ac:dyDescent="0.2">
      <c r="A468" s="105"/>
      <c r="B468" s="437" t="s">
        <v>1777</v>
      </c>
      <c r="C468" s="438"/>
      <c r="D468" s="438"/>
      <c r="E468" s="438"/>
      <c r="F468" s="438"/>
      <c r="G468" s="438"/>
      <c r="H468" s="438"/>
      <c r="I468" s="438"/>
      <c r="J468" s="438"/>
      <c r="K468" s="438"/>
      <c r="L468" s="438"/>
      <c r="M468" s="439"/>
      <c r="N468" s="106" t="s">
        <v>664</v>
      </c>
    </row>
    <row r="469" spans="1:14" x14ac:dyDescent="0.2">
      <c r="A469" s="105"/>
      <c r="B469" s="107" t="s">
        <v>428</v>
      </c>
      <c r="C469" s="98" t="s">
        <v>262</v>
      </c>
      <c r="D469" s="98"/>
      <c r="E469" s="99"/>
      <c r="F469" s="99"/>
      <c r="G469" s="99"/>
      <c r="H469" s="99"/>
      <c r="I469" s="99"/>
      <c r="J469" s="99"/>
      <c r="K469" s="99"/>
      <c r="L469" s="99"/>
      <c r="M469" s="99"/>
      <c r="N469" s="90"/>
    </row>
    <row r="470" spans="1:14" x14ac:dyDescent="0.2">
      <c r="A470" s="105"/>
      <c r="B470" s="107" t="s">
        <v>429</v>
      </c>
      <c r="C470" s="98" t="s">
        <v>1156</v>
      </c>
      <c r="D470" s="98"/>
      <c r="E470" s="99"/>
      <c r="F470" s="99"/>
      <c r="G470" s="99"/>
      <c r="H470" s="99"/>
      <c r="I470" s="99"/>
      <c r="J470" s="99"/>
      <c r="K470" s="99"/>
      <c r="L470" s="99"/>
      <c r="M470" s="99"/>
      <c r="N470" s="90"/>
    </row>
    <row r="471" spans="1:14" x14ac:dyDescent="0.2">
      <c r="A471" s="105"/>
      <c r="B471" s="107" t="s">
        <v>427</v>
      </c>
      <c r="C471" s="444" t="s">
        <v>1328</v>
      </c>
      <c r="D471" s="444"/>
      <c r="E471" s="444"/>
      <c r="F471" s="444"/>
      <c r="G471" s="444"/>
      <c r="H471" s="444"/>
      <c r="I471" s="444"/>
      <c r="J471" s="444"/>
      <c r="K471" s="444"/>
      <c r="L471" s="444"/>
      <c r="M471" s="444"/>
      <c r="N471" s="445"/>
    </row>
    <row r="472" spans="1:14" x14ac:dyDescent="0.2">
      <c r="A472" s="105"/>
      <c r="B472" s="98"/>
      <c r="C472" s="444"/>
      <c r="D472" s="444"/>
      <c r="E472" s="444"/>
      <c r="F472" s="444"/>
      <c r="G472" s="444"/>
      <c r="H472" s="444"/>
      <c r="I472" s="444"/>
      <c r="J472" s="444"/>
      <c r="K472" s="444"/>
      <c r="L472" s="444"/>
      <c r="M472" s="444"/>
      <c r="N472" s="445"/>
    </row>
    <row r="473" spans="1:14" ht="13.5" thickBot="1" x14ac:dyDescent="0.25">
      <c r="A473" s="105"/>
      <c r="B473" s="107" t="s">
        <v>426</v>
      </c>
      <c r="C473" s="98" t="s">
        <v>775</v>
      </c>
      <c r="D473" s="98"/>
      <c r="E473" s="99"/>
      <c r="F473" s="99"/>
      <c r="G473" s="99"/>
      <c r="H473" s="99"/>
      <c r="I473" s="99"/>
      <c r="J473" s="99"/>
      <c r="K473" s="99"/>
      <c r="L473" s="99"/>
      <c r="M473" s="99"/>
      <c r="N473" s="90"/>
    </row>
    <row r="474" spans="1:14" x14ac:dyDescent="0.2">
      <c r="A474" s="101"/>
      <c r="B474" s="102" t="s">
        <v>263</v>
      </c>
      <c r="C474" s="102"/>
      <c r="D474" s="102"/>
      <c r="E474" s="103"/>
      <c r="F474" s="103"/>
      <c r="G474" s="103"/>
      <c r="H474" s="103"/>
      <c r="I474" s="103"/>
      <c r="J474" s="114"/>
      <c r="K474" s="113" t="s">
        <v>1779</v>
      </c>
      <c r="L474" s="113" t="s">
        <v>1584</v>
      </c>
      <c r="M474" s="113"/>
      <c r="N474" s="113"/>
    </row>
    <row r="475" spans="1:14" ht="13.5" thickBot="1" x14ac:dyDescent="0.25">
      <c r="A475" s="105"/>
      <c r="B475" s="98"/>
      <c r="C475" s="98"/>
      <c r="D475" s="98"/>
      <c r="E475" s="99"/>
      <c r="F475" s="99"/>
      <c r="G475" s="99"/>
      <c r="H475" s="99"/>
      <c r="I475" s="99"/>
      <c r="J475" s="112" t="s">
        <v>1778</v>
      </c>
      <c r="K475" s="94" t="s">
        <v>682</v>
      </c>
      <c r="L475" s="94" t="s">
        <v>1780</v>
      </c>
      <c r="M475" s="94" t="s">
        <v>367</v>
      </c>
      <c r="N475" s="89"/>
    </row>
    <row r="476" spans="1:14" x14ac:dyDescent="0.2">
      <c r="A476" s="101"/>
      <c r="B476" s="448" t="s">
        <v>67</v>
      </c>
      <c r="C476" s="448"/>
      <c r="D476" s="448"/>
      <c r="E476" s="103"/>
      <c r="F476" s="103" t="s">
        <v>1180</v>
      </c>
      <c r="G476" s="103" t="s">
        <v>68</v>
      </c>
      <c r="H476" s="103" t="s">
        <v>702</v>
      </c>
      <c r="I476" s="103"/>
      <c r="J476" s="89">
        <f>71/ATHENS!O1*ATHENS!O2</f>
        <v>144.89795918367346</v>
      </c>
      <c r="K476" s="89">
        <f>103/ATHENS!O1*ATHENS!O2</f>
        <v>210.20408163265307</v>
      </c>
      <c r="L476" s="89">
        <f>131/ATHENS!O1*ATHENS!O2</f>
        <v>267.34693877551018</v>
      </c>
      <c r="M476" s="89">
        <f>184/ATHENS!O1*ATHENS!O2</f>
        <v>375.51020408163265</v>
      </c>
      <c r="N476" s="113"/>
    </row>
    <row r="477" spans="1:14" x14ac:dyDescent="0.2">
      <c r="A477" s="105"/>
      <c r="B477" s="443" t="s">
        <v>67</v>
      </c>
      <c r="C477" s="443"/>
      <c r="D477" s="443"/>
      <c r="E477" s="99"/>
      <c r="F477" s="99" t="s">
        <v>1181</v>
      </c>
      <c r="G477" s="99" t="s">
        <v>68</v>
      </c>
      <c r="H477" s="99" t="s">
        <v>702</v>
      </c>
      <c r="I477" s="99"/>
      <c r="J477" s="89">
        <f>39.5/ATHENS!O1*ATHENS!O2</f>
        <v>80.612244897959187</v>
      </c>
      <c r="K477" s="89">
        <f>55.5/ATHENS!O1*ATHENS!O2</f>
        <v>113.26530612244898</v>
      </c>
      <c r="L477" s="89">
        <f>69.5/ATHENS!O1*ATHENS!O2</f>
        <v>141.83673469387756</v>
      </c>
      <c r="M477" s="89">
        <f>96/ATHENS!O1*ATHENS!O2</f>
        <v>195.91836734693877</v>
      </c>
      <c r="N477" s="89"/>
    </row>
    <row r="478" spans="1:14" ht="13.5" thickBot="1" x14ac:dyDescent="0.25">
      <c r="A478" s="108"/>
      <c r="B478" s="436" t="s">
        <v>67</v>
      </c>
      <c r="C478" s="436"/>
      <c r="D478" s="436"/>
      <c r="E478" s="110"/>
      <c r="F478" s="110" t="s">
        <v>1182</v>
      </c>
      <c r="G478" s="110" t="s">
        <v>68</v>
      </c>
      <c r="H478" s="110" t="s">
        <v>702</v>
      </c>
      <c r="I478" s="110"/>
      <c r="J478" s="94">
        <f>42.5/ATHENS!O1*ATHENS!O2</f>
        <v>86.734693877551024</v>
      </c>
      <c r="K478" s="94">
        <f>54.5/ATHENS!O1*ATHENS!O2</f>
        <v>111.22448979591837</v>
      </c>
      <c r="L478" s="94">
        <f>63.7/ATHENS!O1*ATHENS!O2</f>
        <v>130</v>
      </c>
      <c r="M478" s="94">
        <f>85/ATHENS!O1*ATHENS!O2</f>
        <v>173.46938775510205</v>
      </c>
      <c r="N478" s="94"/>
    </row>
    <row r="479" spans="1:14" ht="13.5" thickBot="1" x14ac:dyDescent="0.25">
      <c r="A479" s="97"/>
      <c r="B479" s="98"/>
      <c r="C479" s="98"/>
      <c r="D479" s="98"/>
      <c r="E479" s="99"/>
      <c r="F479" s="99"/>
      <c r="G479" s="99"/>
      <c r="H479" s="99"/>
      <c r="I479" s="99"/>
      <c r="J479" s="99"/>
      <c r="K479" s="99"/>
      <c r="L479" s="99"/>
      <c r="M479" s="99"/>
      <c r="N479" s="99"/>
    </row>
    <row r="480" spans="1:14" x14ac:dyDescent="0.2">
      <c r="A480" s="101"/>
      <c r="B480" s="102"/>
      <c r="C480" s="102"/>
      <c r="D480" s="102"/>
      <c r="E480" s="103"/>
      <c r="F480" s="103"/>
      <c r="G480" s="103"/>
      <c r="H480" s="103"/>
      <c r="I480" s="103"/>
      <c r="J480" s="103"/>
      <c r="K480" s="103"/>
      <c r="L480" s="103"/>
      <c r="M480" s="103"/>
      <c r="N480" s="104"/>
    </row>
    <row r="481" spans="1:14" ht="15" x14ac:dyDescent="0.2">
      <c r="A481" s="105"/>
      <c r="B481" s="437" t="s">
        <v>1169</v>
      </c>
      <c r="C481" s="438"/>
      <c r="D481" s="438"/>
      <c r="E481" s="438"/>
      <c r="F481" s="438"/>
      <c r="G481" s="438"/>
      <c r="H481" s="438"/>
      <c r="I481" s="438"/>
      <c r="J481" s="438"/>
      <c r="K481" s="438"/>
      <c r="L481" s="438"/>
      <c r="M481" s="439"/>
      <c r="N481" s="106" t="s">
        <v>664</v>
      </c>
    </row>
    <row r="482" spans="1:14" x14ac:dyDescent="0.2">
      <c r="A482" s="105"/>
      <c r="B482" s="107" t="s">
        <v>428</v>
      </c>
      <c r="C482" s="98" t="s">
        <v>277</v>
      </c>
      <c r="D482" s="98"/>
      <c r="E482" s="99"/>
      <c r="F482" s="99"/>
      <c r="G482" s="99"/>
      <c r="H482" s="99"/>
      <c r="I482" s="99"/>
      <c r="J482" s="99"/>
      <c r="K482" s="99"/>
      <c r="L482" s="99"/>
      <c r="M482" s="99"/>
      <c r="N482" s="90"/>
    </row>
    <row r="483" spans="1:14" x14ac:dyDescent="0.2">
      <c r="A483" s="105"/>
      <c r="B483" s="107" t="s">
        <v>429</v>
      </c>
      <c r="C483" s="98" t="s">
        <v>1155</v>
      </c>
      <c r="D483" s="98"/>
      <c r="E483" s="99"/>
      <c r="F483" s="99"/>
      <c r="G483" s="99"/>
      <c r="H483" s="99"/>
      <c r="I483" s="99"/>
      <c r="J483" s="99"/>
      <c r="K483" s="99"/>
      <c r="L483" s="99"/>
      <c r="M483" s="99"/>
      <c r="N483" s="90"/>
    </row>
    <row r="484" spans="1:14" x14ac:dyDescent="0.2">
      <c r="A484" s="105"/>
      <c r="B484" s="107" t="s">
        <v>427</v>
      </c>
      <c r="C484" s="444" t="s">
        <v>1329</v>
      </c>
      <c r="D484" s="444"/>
      <c r="E484" s="444"/>
      <c r="F484" s="444"/>
      <c r="G484" s="444"/>
      <c r="H484" s="444"/>
      <c r="I484" s="444"/>
      <c r="J484" s="444"/>
      <c r="K484" s="444"/>
      <c r="L484" s="444"/>
      <c r="M484" s="444"/>
      <c r="N484" s="445"/>
    </row>
    <row r="485" spans="1:14" x14ac:dyDescent="0.2">
      <c r="A485" s="105"/>
      <c r="B485" s="98"/>
      <c r="C485" s="444"/>
      <c r="D485" s="444"/>
      <c r="E485" s="444"/>
      <c r="F485" s="444"/>
      <c r="G485" s="444"/>
      <c r="H485" s="444"/>
      <c r="I485" s="444"/>
      <c r="J485" s="444"/>
      <c r="K485" s="444"/>
      <c r="L485" s="444"/>
      <c r="M485" s="444"/>
      <c r="N485" s="445"/>
    </row>
    <row r="486" spans="1:14" ht="13.5" thickBot="1" x14ac:dyDescent="0.25">
      <c r="A486" s="105"/>
      <c r="B486" s="107" t="s">
        <v>426</v>
      </c>
      <c r="C486" s="98" t="s">
        <v>490</v>
      </c>
      <c r="D486" s="98"/>
      <c r="E486" s="99"/>
      <c r="F486" s="99"/>
      <c r="G486" s="99"/>
      <c r="H486" s="99"/>
      <c r="I486" s="99"/>
      <c r="J486" s="99"/>
      <c r="K486" s="99"/>
      <c r="L486" s="99"/>
      <c r="M486" s="99"/>
      <c r="N486" s="90"/>
    </row>
    <row r="487" spans="1:14" x14ac:dyDescent="0.2">
      <c r="A487" s="101"/>
      <c r="B487" s="102" t="s">
        <v>263</v>
      </c>
      <c r="C487" s="102"/>
      <c r="D487" s="102"/>
      <c r="E487" s="103"/>
      <c r="F487" s="103"/>
      <c r="G487" s="103"/>
      <c r="H487" s="103"/>
      <c r="I487" s="103"/>
      <c r="J487" s="114" t="s">
        <v>281</v>
      </c>
      <c r="K487" s="113" t="s">
        <v>279</v>
      </c>
      <c r="L487" s="113" t="s">
        <v>228</v>
      </c>
      <c r="M487" s="113" t="s">
        <v>82</v>
      </c>
      <c r="N487" s="113"/>
    </row>
    <row r="488" spans="1:14" ht="13.5" thickBot="1" x14ac:dyDescent="0.25">
      <c r="A488" s="108"/>
      <c r="B488" s="98"/>
      <c r="C488" s="109"/>
      <c r="D488" s="109"/>
      <c r="E488" s="110"/>
      <c r="F488" s="110"/>
      <c r="G488" s="110"/>
      <c r="H488" s="110"/>
      <c r="I488" s="110"/>
      <c r="J488" s="112" t="s">
        <v>342</v>
      </c>
      <c r="K488" s="94" t="s">
        <v>1390</v>
      </c>
      <c r="L488" s="94" t="s">
        <v>1391</v>
      </c>
      <c r="M488" s="94"/>
      <c r="N488" s="94"/>
    </row>
    <row r="489" spans="1:14" x14ac:dyDescent="0.2">
      <c r="A489" s="101"/>
      <c r="B489" s="448" t="s">
        <v>67</v>
      </c>
      <c r="C489" s="448"/>
      <c r="D489" s="448"/>
      <c r="E489" s="103"/>
      <c r="F489" s="103" t="s">
        <v>1180</v>
      </c>
      <c r="G489" s="103" t="s">
        <v>68</v>
      </c>
      <c r="H489" s="103" t="s">
        <v>702</v>
      </c>
      <c r="I489" s="103"/>
      <c r="J489" s="89">
        <f>49.5/ATHENS!O1*ATHENS!O2</f>
        <v>101.0204081632653</v>
      </c>
      <c r="K489" s="89">
        <f>72.5/ATHENS!O1*ATHENS!O2</f>
        <v>147.9591836734694</v>
      </c>
      <c r="L489" s="89">
        <f>100.5/ATHENS!O1*ATHENS!O2</f>
        <v>205.10204081632654</v>
      </c>
      <c r="M489" s="89">
        <f>129.5/ATHENS!O1*ATHENS!O2</f>
        <v>264.28571428571428</v>
      </c>
      <c r="N489" s="113"/>
    </row>
    <row r="490" spans="1:14" x14ac:dyDescent="0.2">
      <c r="A490" s="105"/>
      <c r="B490" s="443" t="s">
        <v>67</v>
      </c>
      <c r="C490" s="443"/>
      <c r="D490" s="443"/>
      <c r="E490" s="99"/>
      <c r="F490" s="99" t="s">
        <v>1181</v>
      </c>
      <c r="G490" s="99" t="s">
        <v>68</v>
      </c>
      <c r="H490" s="99" t="s">
        <v>702</v>
      </c>
      <c r="I490" s="99"/>
      <c r="J490" s="89">
        <f>31.5/ATHENS!O1*ATHENS!O2</f>
        <v>64.285714285714292</v>
      </c>
      <c r="K490" s="89">
        <f>43.7/ATHENS!O1*ATHENS!O2</f>
        <v>89.183673469387756</v>
      </c>
      <c r="L490" s="89">
        <f>56.6/ATHENS!O1*ATHENS!O2</f>
        <v>115.51020408163266</v>
      </c>
      <c r="M490" s="89">
        <f>75.9/ATHENS!O1*ATHENS!O2</f>
        <v>154.89795918367349</v>
      </c>
      <c r="N490" s="89"/>
    </row>
    <row r="491" spans="1:14" ht="13.5" thickBot="1" x14ac:dyDescent="0.25">
      <c r="A491" s="108"/>
      <c r="B491" s="436" t="s">
        <v>67</v>
      </c>
      <c r="C491" s="436"/>
      <c r="D491" s="436"/>
      <c r="E491" s="110"/>
      <c r="F491" s="110" t="s">
        <v>1182</v>
      </c>
      <c r="G491" s="110" t="s">
        <v>68</v>
      </c>
      <c r="H491" s="110" t="s">
        <v>702</v>
      </c>
      <c r="I491" s="110"/>
      <c r="J491" s="94">
        <f>29.5/ATHENS!O1*ATHENS!O2</f>
        <v>60.204081632653065</v>
      </c>
      <c r="K491" s="94">
        <f>41.9/ATHENS!O1*ATHENS!O2</f>
        <v>85.510204081632651</v>
      </c>
      <c r="L491" s="94">
        <f>55.5/ATHENS!O1*ATHENS!O2</f>
        <v>113.26530612244898</v>
      </c>
      <c r="M491" s="94">
        <f>71.5/ATHENS!O1*ATHENS!O2</f>
        <v>145.91836734693877</v>
      </c>
      <c r="N491" s="94"/>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view="pageLayout" topLeftCell="A478">
      <selection activeCell="M51" sqref="M51"/>
      <rowBreaks count="5" manualBreakCount="5">
        <brk id="50" max="16383" man="1"/>
        <brk id="258" max="16383" man="1"/>
        <brk id="306" max="16383" man="1"/>
        <brk id="357" max="16383" man="1"/>
        <brk id="448" max="16383" man="1"/>
      </rowBreaks>
      <pageMargins left="0.28125" right="0.25" top="0.6692913385826772" bottom="0.70866141732283472" header="0.23622047244094491" footer="0.47244094488188981"/>
      <printOptions horizontalCentered="1"/>
      <pageSetup paperSize="9" firstPageNumber="60"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149">
    <mergeCell ref="B3:M3"/>
    <mergeCell ref="B14:D14"/>
    <mergeCell ref="B67:D67"/>
    <mergeCell ref="B44:D44"/>
    <mergeCell ref="B48:D48"/>
    <mergeCell ref="B303:D303"/>
    <mergeCell ref="C278:N281"/>
    <mergeCell ref="B244:M244"/>
    <mergeCell ref="B272:D272"/>
    <mergeCell ref="C6:N8"/>
    <mergeCell ref="B32:M32"/>
    <mergeCell ref="B28:D28"/>
    <mergeCell ref="B29:D29"/>
    <mergeCell ref="B18:M18"/>
    <mergeCell ref="B131:D131"/>
    <mergeCell ref="B13:D13"/>
    <mergeCell ref="C21:N23"/>
    <mergeCell ref="B84:D84"/>
    <mergeCell ref="B72:M72"/>
    <mergeCell ref="B151:D151"/>
    <mergeCell ref="B114:M114"/>
    <mergeCell ref="C124:N125"/>
    <mergeCell ref="C117:N122"/>
    <mergeCell ref="C141:N145"/>
    <mergeCell ref="B15:D15"/>
    <mergeCell ref="B62:D62"/>
    <mergeCell ref="C55:N57"/>
    <mergeCell ref="B173:M173"/>
    <mergeCell ref="B185:D185"/>
    <mergeCell ref="C294:N298"/>
    <mergeCell ref="B288:D288"/>
    <mergeCell ref="B287:D287"/>
    <mergeCell ref="B286:D286"/>
    <mergeCell ref="B255:D255"/>
    <mergeCell ref="B275:M275"/>
    <mergeCell ref="B256:D256"/>
    <mergeCell ref="B260:M260"/>
    <mergeCell ref="B254:D254"/>
    <mergeCell ref="B240:D240"/>
    <mergeCell ref="B241:D241"/>
    <mergeCell ref="C263:N265"/>
    <mergeCell ref="C247:N249"/>
    <mergeCell ref="B271:D271"/>
    <mergeCell ref="B270:D270"/>
    <mergeCell ref="B133:D133"/>
    <mergeCell ref="B134:D134"/>
    <mergeCell ref="B132:D132"/>
    <mergeCell ref="B149:D149"/>
    <mergeCell ref="C75:N78"/>
    <mergeCell ref="B83:D83"/>
    <mergeCell ref="B85:D85"/>
    <mergeCell ref="B477:D477"/>
    <mergeCell ref="B336:D336"/>
    <mergeCell ref="B441:D441"/>
    <mergeCell ref="C436:N437"/>
    <mergeCell ref="B418:M418"/>
    <mergeCell ref="B82:D82"/>
    <mergeCell ref="B464:D464"/>
    <mergeCell ref="B442:D442"/>
    <mergeCell ref="B440:D440"/>
    <mergeCell ref="B462:D462"/>
    <mergeCell ref="B428:D428"/>
    <mergeCell ref="B291:M291"/>
    <mergeCell ref="B340:M340"/>
    <mergeCell ref="B337:D337"/>
    <mergeCell ref="C343:N348"/>
    <mergeCell ref="B368:D368"/>
    <mergeCell ref="B335:D335"/>
    <mergeCell ref="B138:M138"/>
    <mergeCell ref="B411:D411"/>
    <mergeCell ref="B367:D367"/>
    <mergeCell ref="B395:D395"/>
    <mergeCell ref="B452:M452"/>
    <mergeCell ref="C455:N456"/>
    <mergeCell ref="B400:M400"/>
    <mergeCell ref="B409:D409"/>
    <mergeCell ref="B491:D491"/>
    <mergeCell ref="B489:D489"/>
    <mergeCell ref="B490:D490"/>
    <mergeCell ref="B481:M481"/>
    <mergeCell ref="C484:N485"/>
    <mergeCell ref="B461:D461"/>
    <mergeCell ref="C403:N405"/>
    <mergeCell ref="B429:D429"/>
    <mergeCell ref="B430:D430"/>
    <mergeCell ref="B476:D476"/>
    <mergeCell ref="B468:M468"/>
    <mergeCell ref="C421:N423"/>
    <mergeCell ref="B478:D478"/>
    <mergeCell ref="C471:N472"/>
    <mergeCell ref="B433:M433"/>
    <mergeCell ref="B410:D410"/>
    <mergeCell ref="B152:D152"/>
    <mergeCell ref="C176:N178"/>
    <mergeCell ref="B216:D216"/>
    <mergeCell ref="B353:D353"/>
    <mergeCell ref="B318:D318"/>
    <mergeCell ref="B217:D217"/>
    <mergeCell ref="B228:M228"/>
    <mergeCell ref="B239:D239"/>
    <mergeCell ref="C231:N233"/>
    <mergeCell ref="B319:D319"/>
    <mergeCell ref="B322:M322"/>
    <mergeCell ref="B308:M308"/>
    <mergeCell ref="C311:N312"/>
    <mergeCell ref="B317:D317"/>
    <mergeCell ref="B304:D304"/>
    <mergeCell ref="B305:D305"/>
    <mergeCell ref="B334:D334"/>
    <mergeCell ref="C325:N329"/>
    <mergeCell ref="B153:D153"/>
    <mergeCell ref="B205:M205"/>
    <mergeCell ref="B215:D215"/>
    <mergeCell ref="B154:D154"/>
    <mergeCell ref="B155:D155"/>
    <mergeCell ref="C208:N210"/>
    <mergeCell ref="B397:D397"/>
    <mergeCell ref="C35:N39"/>
    <mergeCell ref="B46:D46"/>
    <mergeCell ref="B49:D49"/>
    <mergeCell ref="B64:D64"/>
    <mergeCell ref="B66:D66"/>
    <mergeCell ref="B68:D68"/>
    <mergeCell ref="B45:D45"/>
    <mergeCell ref="B52:M52"/>
    <mergeCell ref="B47:D47"/>
    <mergeCell ref="B63:D63"/>
    <mergeCell ref="B354:D354"/>
    <mergeCell ref="B355:D355"/>
    <mergeCell ref="B371:M371"/>
    <mergeCell ref="B380:D380"/>
    <mergeCell ref="B382:D382"/>
    <mergeCell ref="B381:D381"/>
    <mergeCell ref="B356:D356"/>
    <mergeCell ref="B366:D366"/>
    <mergeCell ref="B359:M359"/>
    <mergeCell ref="C362:N363"/>
    <mergeCell ref="B385:M385"/>
    <mergeCell ref="C388:N389"/>
    <mergeCell ref="C374:N376"/>
    <mergeCell ref="C192:N195"/>
    <mergeCell ref="B184:D184"/>
    <mergeCell ref="B156:D156"/>
    <mergeCell ref="B183:D183"/>
    <mergeCell ref="B157:D157"/>
    <mergeCell ref="B202:D202"/>
    <mergeCell ref="B189:M189"/>
    <mergeCell ref="B200:D200"/>
    <mergeCell ref="B201:D201"/>
  </mergeCells>
  <phoneticPr fontId="0" type="noConversion"/>
  <hyperlinks>
    <hyperlink ref="B138:M138" r:id="rId3" display="Royal Myconian Resort &amp; Thalasso Center" xr:uid="{00000000-0004-0000-1800-000000000000}"/>
    <hyperlink ref="B114:M114" r:id="rId4" display="Myconos Grand Resort" xr:uid="{00000000-0004-0000-1800-000001000000}"/>
    <hyperlink ref="B173:M173" r:id="rId5" display="Saint John Villas &amp; Spa" xr:uid="{00000000-0004-0000-1800-000002000000}"/>
    <hyperlink ref="B189:M189" r:id="rId6" display="Grand Beach" xr:uid="{00000000-0004-0000-1800-000003000000}"/>
    <hyperlink ref="B291:M291" r:id="rId7" display="New Aeolos" xr:uid="{00000000-0004-0000-1800-000004000000}"/>
    <hyperlink ref="B359:M359" r:id="rId8" display="Petinos Beach" xr:uid="{00000000-0004-0000-1800-000005000000}"/>
    <hyperlink ref="B433:M433" r:id="rId9" display="Alkistis" xr:uid="{00000000-0004-0000-1800-000006000000}"/>
    <hyperlink ref="B3:M3" r:id="rId10" display="Cavo Tagoo" xr:uid="{00000000-0004-0000-1800-000007000000}"/>
    <hyperlink ref="B18:M18" r:id="rId11" display="Kivotos Club" xr:uid="{00000000-0004-0000-1800-000008000000}"/>
    <hyperlink ref="B32:M32" r:id="rId12" display="Myconian Ambassador" xr:uid="{00000000-0004-0000-1800-000009000000}"/>
    <hyperlink ref="B52:M52" r:id="rId13" display="Myconian Imperial Hotel &amp; Thalasso Center" xr:uid="{00000000-0004-0000-1800-00000A000000}"/>
    <hyperlink ref="B205:M205" r:id="rId14" display="Kosmoplaz" xr:uid="{00000000-0004-0000-1800-00000B000000}"/>
    <hyperlink ref="B228:M228" r:id="rId15" display="Leto" xr:uid="{00000000-0004-0000-1800-00000C000000}"/>
    <hyperlink ref="B244:M244" r:id="rId16" display="Manoula’s Beach" xr:uid="{00000000-0004-0000-1800-00000D000000}"/>
    <hyperlink ref="B275:M275" r:id="rId17" display="Mykonos Palace" xr:uid="{00000000-0004-0000-1800-00000E000000}"/>
    <hyperlink ref="B308:M308" r:id="rId18" display="Pelican Bay Art Hotel" xr:uid="{00000000-0004-0000-1800-00000F000000}"/>
    <hyperlink ref="B322:M322" r:id="rId19" display="Petassos Beach" xr:uid="{00000000-0004-0000-1800-000010000000}"/>
    <hyperlink ref="B371:M371" r:id="rId20" display="Princess Of Mykonos" xr:uid="{00000000-0004-0000-1800-000011000000}"/>
    <hyperlink ref="B400:M400" r:id="rId21" display="San Antonio Summerland" xr:uid="{00000000-0004-0000-1800-000012000000}"/>
    <hyperlink ref="B418:M418" r:id="rId22" display="Semeli" xr:uid="{00000000-0004-0000-1800-000013000000}"/>
    <hyperlink ref="B72:M72" r:id="rId23" display="Myconian K Hotels &amp; Thalasso Spa" xr:uid="{00000000-0004-0000-1800-000014000000}"/>
    <hyperlink ref="B468:M468" r:id="rId24" display="Petassos Town" xr:uid="{00000000-0004-0000-1800-000015000000}"/>
    <hyperlink ref="B481:M481" r:id="rId25" display="Vienoula’s Garden" xr:uid="{00000000-0004-0000-1800-000016000000}"/>
    <hyperlink ref="B260:M260" r:id="rId26" display="Mykonos Bay" xr:uid="{00000000-0004-0000-1800-000017000000}"/>
    <hyperlink ref="B340:M340" r:id="rId27" display="Petinos" xr:uid="{00000000-0004-0000-1800-000018000000}"/>
    <hyperlink ref="B385:M385" r:id="rId28" display="Rocabella" xr:uid="{00000000-0004-0000-1800-000019000000}"/>
    <hyperlink ref="B452:M452" r:id="rId29" display="Elena " xr:uid="{00000000-0004-0000-1800-00001A000000}"/>
  </hyperlinks>
  <printOptions horizontalCentered="1"/>
  <pageMargins left="0.28125" right="0.25" top="0.6692913385826772" bottom="0.70866141732283472" header="0.23622047244094491" footer="0.47244094488188981"/>
  <pageSetup paperSize="9" firstPageNumber="60" orientation="portrait" useFirstPageNumber="1" horizontalDpi="300" verticalDpi="300" r:id="rId30"/>
  <headerFooter scaleWithDoc="0" alignWithMargins="0">
    <oddHeader xml:space="preserve">&amp;C TARIFF 2026
 (EURO)
</oddHeader>
    <oddFooter>&amp;LAll rates are in EURO&amp;C
TARIFF 2026
&amp;RPage &amp;P</oddFooter>
  </headerFooter>
  <rowBreaks count="5" manualBreakCount="5">
    <brk id="50" max="16383" man="1"/>
    <brk id="258" max="16383" man="1"/>
    <brk id="306" max="16383" man="1"/>
    <brk id="357" max="16383" man="1"/>
    <brk id="448" max="16383"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N112"/>
  <sheetViews>
    <sheetView showGridLines="0" view="pageLayout" topLeftCell="A91" workbookViewId="0">
      <selection activeCell="L114" sqref="L114"/>
    </sheetView>
  </sheetViews>
  <sheetFormatPr defaultColWidth="8.85546875" defaultRowHeight="12.75" x14ac:dyDescent="0.2"/>
  <cols>
    <col min="1" max="1" width="1.85546875" style="125" customWidth="1"/>
    <col min="2" max="3" width="10.7109375" style="125" customWidth="1"/>
    <col min="4" max="9" width="3.7109375" style="125" customWidth="1"/>
    <col min="10" max="14" width="10.7109375" style="125" customWidth="1"/>
    <col min="15" max="16384" width="8.85546875" style="125"/>
  </cols>
  <sheetData>
    <row r="1" spans="1:14" x14ac:dyDescent="0.2">
      <c r="A1" s="101"/>
      <c r="B1" s="102"/>
      <c r="C1" s="102"/>
      <c r="D1" s="102"/>
      <c r="E1" s="103"/>
      <c r="F1" s="103"/>
      <c r="G1" s="103"/>
      <c r="H1" s="103"/>
      <c r="I1" s="103"/>
      <c r="J1" s="103"/>
      <c r="K1" s="103"/>
      <c r="L1" s="103"/>
      <c r="M1" s="103"/>
      <c r="N1" s="104"/>
    </row>
    <row r="2" spans="1:14" ht="15" x14ac:dyDescent="0.2">
      <c r="A2" s="105"/>
      <c r="B2" s="437" t="s">
        <v>786</v>
      </c>
      <c r="C2" s="438"/>
      <c r="D2" s="438"/>
      <c r="E2" s="438"/>
      <c r="F2" s="438"/>
      <c r="G2" s="438"/>
      <c r="H2" s="438"/>
      <c r="I2" s="438"/>
      <c r="J2" s="438"/>
      <c r="K2" s="438"/>
      <c r="L2" s="438"/>
      <c r="M2" s="439"/>
      <c r="N2" s="106" t="s">
        <v>91</v>
      </c>
    </row>
    <row r="3" spans="1:14" x14ac:dyDescent="0.2">
      <c r="A3" s="105"/>
      <c r="B3" s="107" t="s">
        <v>428</v>
      </c>
      <c r="C3" s="98" t="s">
        <v>787</v>
      </c>
      <c r="D3" s="98"/>
      <c r="E3" s="99"/>
      <c r="F3" s="99"/>
      <c r="G3" s="99"/>
      <c r="H3" s="99"/>
      <c r="I3" s="99"/>
      <c r="J3" s="99"/>
      <c r="K3" s="99"/>
      <c r="L3" s="99"/>
      <c r="M3" s="99"/>
      <c r="N3" s="90"/>
    </row>
    <row r="4" spans="1:14" x14ac:dyDescent="0.2">
      <c r="A4" s="105"/>
      <c r="B4" s="107" t="s">
        <v>429</v>
      </c>
      <c r="C4" s="98" t="s">
        <v>1292</v>
      </c>
      <c r="D4" s="98"/>
      <c r="E4" s="99"/>
      <c r="F4" s="99"/>
      <c r="G4" s="99"/>
      <c r="H4" s="99"/>
      <c r="I4" s="99"/>
      <c r="J4" s="99"/>
      <c r="K4" s="99"/>
      <c r="L4" s="99"/>
      <c r="M4" s="99"/>
      <c r="N4" s="90"/>
    </row>
    <row r="5" spans="1:14" x14ac:dyDescent="0.2">
      <c r="A5" s="105"/>
      <c r="B5" s="107" t="s">
        <v>427</v>
      </c>
      <c r="C5" s="444" t="s">
        <v>1250</v>
      </c>
      <c r="D5" s="444"/>
      <c r="E5" s="444"/>
      <c r="F5" s="444"/>
      <c r="G5" s="444"/>
      <c r="H5" s="444"/>
      <c r="I5" s="444"/>
      <c r="J5" s="444"/>
      <c r="K5" s="444"/>
      <c r="L5" s="444"/>
      <c r="M5" s="444"/>
      <c r="N5" s="445"/>
    </row>
    <row r="6" spans="1:14" x14ac:dyDescent="0.2">
      <c r="A6" s="105"/>
      <c r="B6" s="98"/>
      <c r="C6" s="444"/>
      <c r="D6" s="444"/>
      <c r="E6" s="444"/>
      <c r="F6" s="444"/>
      <c r="G6" s="444"/>
      <c r="H6" s="444"/>
      <c r="I6" s="444"/>
      <c r="J6" s="444"/>
      <c r="K6" s="444"/>
      <c r="L6" s="444"/>
      <c r="M6" s="444"/>
      <c r="N6" s="445"/>
    </row>
    <row r="7" spans="1:14" x14ac:dyDescent="0.2">
      <c r="A7" s="105"/>
      <c r="B7" s="107" t="s">
        <v>426</v>
      </c>
      <c r="C7" s="98"/>
      <c r="D7" s="98"/>
      <c r="E7" s="99"/>
      <c r="F7" s="99"/>
      <c r="G7" s="99"/>
      <c r="H7" s="99"/>
      <c r="I7" s="99"/>
      <c r="J7" s="99"/>
      <c r="K7" s="99"/>
      <c r="L7" s="99"/>
      <c r="M7" s="99"/>
      <c r="N7" s="90"/>
    </row>
    <row r="8" spans="1:14" ht="13.5" thickBot="1" x14ac:dyDescent="0.25">
      <c r="A8" s="108"/>
      <c r="B8" s="107" t="s">
        <v>430</v>
      </c>
      <c r="C8" s="109"/>
      <c r="D8" s="109"/>
      <c r="E8" s="110"/>
      <c r="F8" s="110"/>
      <c r="G8" s="110"/>
      <c r="H8" s="110"/>
      <c r="I8" s="110"/>
      <c r="J8" s="110"/>
      <c r="K8" s="110"/>
      <c r="L8" s="110"/>
      <c r="M8" s="110"/>
      <c r="N8" s="93"/>
    </row>
    <row r="9" spans="1:14" x14ac:dyDescent="0.2">
      <c r="A9" s="101"/>
      <c r="B9" s="102" t="s">
        <v>263</v>
      </c>
      <c r="C9" s="102"/>
      <c r="D9" s="102"/>
      <c r="E9" s="103"/>
      <c r="F9" s="103"/>
      <c r="G9" s="103"/>
      <c r="H9" s="103"/>
      <c r="I9" s="103"/>
      <c r="J9" s="114" t="s">
        <v>1845</v>
      </c>
      <c r="K9" s="113"/>
      <c r="L9" s="113" t="s">
        <v>1805</v>
      </c>
      <c r="M9" s="113"/>
      <c r="N9" s="113"/>
    </row>
    <row r="10" spans="1:14" x14ac:dyDescent="0.2">
      <c r="A10" s="105"/>
      <c r="B10" s="98"/>
      <c r="C10" s="98"/>
      <c r="D10" s="98"/>
      <c r="E10" s="99"/>
      <c r="F10" s="99"/>
      <c r="G10" s="99"/>
      <c r="H10" s="99"/>
      <c r="I10" s="99"/>
      <c r="J10" s="111" t="s">
        <v>1846</v>
      </c>
      <c r="K10" s="89"/>
      <c r="L10" s="89" t="s">
        <v>1849</v>
      </c>
      <c r="M10" s="89"/>
      <c r="N10" s="89" t="s">
        <v>1826</v>
      </c>
    </row>
    <row r="11" spans="1:14" x14ac:dyDescent="0.2">
      <c r="A11" s="105"/>
      <c r="B11" s="98"/>
      <c r="C11" s="98"/>
      <c r="D11" s="98"/>
      <c r="E11" s="99"/>
      <c r="F11" s="99"/>
      <c r="G11" s="99"/>
      <c r="H11" s="99"/>
      <c r="I11" s="99"/>
      <c r="J11" s="111" t="s">
        <v>1798</v>
      </c>
      <c r="K11" s="89" t="s">
        <v>1847</v>
      </c>
      <c r="L11" s="89" t="s">
        <v>1850</v>
      </c>
      <c r="M11" s="89" t="s">
        <v>1852</v>
      </c>
      <c r="N11" s="89" t="s">
        <v>1853</v>
      </c>
    </row>
    <row r="12" spans="1:14" ht="13.5" thickBot="1" x14ac:dyDescent="0.25">
      <c r="A12" s="108"/>
      <c r="B12" s="109"/>
      <c r="C12" s="109"/>
      <c r="D12" s="109"/>
      <c r="E12" s="110"/>
      <c r="F12" s="110"/>
      <c r="G12" s="110"/>
      <c r="H12" s="110"/>
      <c r="I12" s="110"/>
      <c r="J12" s="112" t="s">
        <v>1438</v>
      </c>
      <c r="K12" s="94" t="s">
        <v>1848</v>
      </c>
      <c r="L12" s="94" t="s">
        <v>1851</v>
      </c>
      <c r="M12" s="94" t="s">
        <v>200</v>
      </c>
      <c r="N12" s="94" t="s">
        <v>1854</v>
      </c>
    </row>
    <row r="13" spans="1:14" x14ac:dyDescent="0.2">
      <c r="A13" s="101"/>
      <c r="B13" s="448" t="s">
        <v>67</v>
      </c>
      <c r="C13" s="448"/>
      <c r="D13" s="448"/>
      <c r="E13" s="103"/>
      <c r="F13" s="103" t="s">
        <v>1180</v>
      </c>
      <c r="G13" s="103" t="s">
        <v>68</v>
      </c>
      <c r="H13" s="103" t="s">
        <v>702</v>
      </c>
      <c r="I13" s="103"/>
      <c r="J13" s="89">
        <f>140/ATHENS!O1*ATHENS!O2</f>
        <v>285.71428571428572</v>
      </c>
      <c r="K13" s="89">
        <f>114/ATHENS!O1*ATHENS!O2</f>
        <v>232.65306122448979</v>
      </c>
      <c r="L13" s="89">
        <f>160/ATHENS!O1*ATHENS!O2</f>
        <v>326.53061224489795</v>
      </c>
      <c r="M13" s="89">
        <f>170/ATHENS!O1*ATHENS!O2</f>
        <v>346.9387755102041</v>
      </c>
      <c r="N13" s="89">
        <f>178/ATHENS!O1*ATHENS!O2</f>
        <v>363.26530612244898</v>
      </c>
    </row>
    <row r="14" spans="1:14" x14ac:dyDescent="0.2">
      <c r="A14" s="105"/>
      <c r="B14" s="443" t="s">
        <v>67</v>
      </c>
      <c r="C14" s="443"/>
      <c r="D14" s="443"/>
      <c r="E14" s="99"/>
      <c r="F14" s="99" t="s">
        <v>1181</v>
      </c>
      <c r="G14" s="99" t="s">
        <v>68</v>
      </c>
      <c r="H14" s="99" t="s">
        <v>702</v>
      </c>
      <c r="I14" s="99"/>
      <c r="J14" s="89">
        <f>70/ATHENS!O1*ATHENS!O2</f>
        <v>142.85714285714286</v>
      </c>
      <c r="K14" s="89">
        <f>57/ATHENS!O1*ATHENS!O2</f>
        <v>116.32653061224489</v>
      </c>
      <c r="L14" s="89">
        <f>80/ATHENS!O1*ATHENS!O2</f>
        <v>163.26530612244898</v>
      </c>
      <c r="M14" s="89">
        <f>85/ATHENS!O1*ATHENS!O2</f>
        <v>173.46938775510205</v>
      </c>
      <c r="N14" s="89">
        <f>89/ATHENS!O1*ATHENS!O2</f>
        <v>181.63265306122449</v>
      </c>
    </row>
    <row r="15" spans="1:14" x14ac:dyDescent="0.2">
      <c r="A15" s="105"/>
      <c r="B15" s="443" t="s">
        <v>67</v>
      </c>
      <c r="C15" s="443"/>
      <c r="D15" s="443"/>
      <c r="E15" s="99"/>
      <c r="F15" s="99" t="s">
        <v>1182</v>
      </c>
      <c r="G15" s="99" t="s">
        <v>68</v>
      </c>
      <c r="H15" s="99" t="s">
        <v>702</v>
      </c>
      <c r="I15" s="99"/>
      <c r="J15" s="89">
        <f>59.5/ATHENS!O1*ATHENS!O2</f>
        <v>121.42857142857143</v>
      </c>
      <c r="K15" s="89">
        <f>51.5/ATHENS!O1*ATHENS!O2</f>
        <v>105.10204081632654</v>
      </c>
      <c r="L15" s="89">
        <f>65.5/ATHENS!O1*ATHENS!O2</f>
        <v>133.67346938775509</v>
      </c>
      <c r="M15" s="89">
        <f>68.6/ATHENS!O1*ATHENS!O2</f>
        <v>140</v>
      </c>
      <c r="N15" s="89">
        <f>71.5/ATHENS!O1*ATHENS!O2</f>
        <v>145.91836734693877</v>
      </c>
    </row>
    <row r="16" spans="1:14" ht="13.5" thickBot="1" x14ac:dyDescent="0.25">
      <c r="A16" s="108"/>
      <c r="B16" s="126" t="s">
        <v>902</v>
      </c>
      <c r="C16" s="126"/>
      <c r="D16" s="126"/>
      <c r="E16" s="126"/>
      <c r="F16" s="126"/>
      <c r="G16" s="126"/>
      <c r="H16" s="126"/>
      <c r="I16" s="110"/>
      <c r="J16" s="94">
        <f>26/ATHENS!O1*ATHENS!O2</f>
        <v>53.061224489795919</v>
      </c>
      <c r="K16" s="94">
        <f>26/ATHENS!O1*ATHENS!O2</f>
        <v>53.061224489795919</v>
      </c>
      <c r="L16" s="94">
        <f>26/ATHENS!O1*ATHENS!O2</f>
        <v>53.061224489795919</v>
      </c>
      <c r="M16" s="94">
        <f>26/ATHENS!O1*ATHENS!O2</f>
        <v>53.061224489795919</v>
      </c>
      <c r="N16" s="94">
        <f>26/ATHENS!O1*ATHENS!O2</f>
        <v>53.061224489795919</v>
      </c>
    </row>
    <row r="17" spans="1:14" x14ac:dyDescent="0.2">
      <c r="A17" s="97"/>
      <c r="B17" s="123"/>
      <c r="C17" s="123"/>
      <c r="D17" s="123"/>
      <c r="E17" s="124"/>
      <c r="F17" s="124"/>
      <c r="G17" s="124"/>
      <c r="H17" s="124"/>
      <c r="I17" s="124"/>
      <c r="J17" s="124"/>
      <c r="K17" s="124"/>
      <c r="L17" s="124"/>
      <c r="M17" s="124"/>
      <c r="N17" s="124"/>
    </row>
    <row r="18" spans="1:14" ht="13.5" thickBot="1" x14ac:dyDescent="0.25">
      <c r="A18" s="97"/>
      <c r="B18" s="123"/>
      <c r="C18" s="123"/>
      <c r="D18" s="123"/>
      <c r="E18" s="124"/>
      <c r="F18" s="124"/>
      <c r="G18" s="124"/>
      <c r="H18" s="124"/>
      <c r="I18" s="124"/>
      <c r="J18" s="124"/>
      <c r="K18" s="124"/>
      <c r="L18" s="124"/>
      <c r="M18" s="124"/>
      <c r="N18" s="124"/>
    </row>
    <row r="19" spans="1:14" x14ac:dyDescent="0.2">
      <c r="A19" s="101"/>
      <c r="B19" s="102"/>
      <c r="C19" s="102"/>
      <c r="D19" s="102"/>
      <c r="E19" s="103"/>
      <c r="F19" s="103"/>
      <c r="G19" s="103"/>
      <c r="H19" s="103"/>
      <c r="I19" s="103"/>
      <c r="J19" s="103"/>
      <c r="K19" s="103"/>
      <c r="L19" s="103"/>
      <c r="M19" s="103"/>
      <c r="N19" s="104"/>
    </row>
    <row r="20" spans="1:14" ht="15" x14ac:dyDescent="0.2">
      <c r="A20" s="105"/>
      <c r="B20" s="437" t="s">
        <v>903</v>
      </c>
      <c r="C20" s="438"/>
      <c r="D20" s="438"/>
      <c r="E20" s="438"/>
      <c r="F20" s="438"/>
      <c r="G20" s="438"/>
      <c r="H20" s="438"/>
      <c r="I20" s="438"/>
      <c r="J20" s="438"/>
      <c r="K20" s="438"/>
      <c r="L20" s="438"/>
      <c r="M20" s="439"/>
      <c r="N20" s="106" t="s">
        <v>96</v>
      </c>
    </row>
    <row r="21" spans="1:14" x14ac:dyDescent="0.2">
      <c r="A21" s="105"/>
      <c r="B21" s="107" t="s">
        <v>428</v>
      </c>
      <c r="C21" s="98" t="s">
        <v>1251</v>
      </c>
      <c r="D21" s="98"/>
      <c r="E21" s="99"/>
      <c r="F21" s="99"/>
      <c r="G21" s="99"/>
      <c r="H21" s="99"/>
      <c r="I21" s="99"/>
      <c r="J21" s="99"/>
      <c r="K21" s="99"/>
      <c r="L21" s="99"/>
      <c r="M21" s="99"/>
      <c r="N21" s="90"/>
    </row>
    <row r="22" spans="1:14" x14ac:dyDescent="0.2">
      <c r="A22" s="105"/>
      <c r="B22" s="107" t="s">
        <v>429</v>
      </c>
      <c r="C22" s="98" t="s">
        <v>1293</v>
      </c>
      <c r="D22" s="98"/>
      <c r="E22" s="99"/>
      <c r="F22" s="99"/>
      <c r="G22" s="99"/>
      <c r="H22" s="99"/>
      <c r="I22" s="99"/>
      <c r="J22" s="99"/>
      <c r="K22" s="99"/>
      <c r="L22" s="99"/>
      <c r="M22" s="99"/>
      <c r="N22" s="90"/>
    </row>
    <row r="23" spans="1:14" x14ac:dyDescent="0.2">
      <c r="A23" s="105"/>
      <c r="B23" s="107" t="s">
        <v>427</v>
      </c>
      <c r="C23" s="444" t="s">
        <v>1252</v>
      </c>
      <c r="D23" s="444"/>
      <c r="E23" s="444"/>
      <c r="F23" s="444"/>
      <c r="G23" s="444"/>
      <c r="H23" s="444"/>
      <c r="I23" s="444"/>
      <c r="J23" s="444"/>
      <c r="K23" s="444"/>
      <c r="L23" s="444"/>
      <c r="M23" s="444"/>
      <c r="N23" s="445"/>
    </row>
    <row r="24" spans="1:14" x14ac:dyDescent="0.2">
      <c r="A24" s="105"/>
      <c r="B24" s="107"/>
      <c r="C24" s="444"/>
      <c r="D24" s="444"/>
      <c r="E24" s="444"/>
      <c r="F24" s="444"/>
      <c r="G24" s="444"/>
      <c r="H24" s="444"/>
      <c r="I24" s="444"/>
      <c r="J24" s="444"/>
      <c r="K24" s="444"/>
      <c r="L24" s="444"/>
      <c r="M24" s="444"/>
      <c r="N24" s="445"/>
    </row>
    <row r="25" spans="1:14" x14ac:dyDescent="0.2">
      <c r="A25" s="105"/>
      <c r="B25" s="98"/>
      <c r="C25" s="444"/>
      <c r="D25" s="444"/>
      <c r="E25" s="444"/>
      <c r="F25" s="444"/>
      <c r="G25" s="444"/>
      <c r="H25" s="444"/>
      <c r="I25" s="444"/>
      <c r="J25" s="444"/>
      <c r="K25" s="444"/>
      <c r="L25" s="444"/>
      <c r="M25" s="444"/>
      <c r="N25" s="445"/>
    </row>
    <row r="26" spans="1:14" x14ac:dyDescent="0.2">
      <c r="A26" s="105"/>
      <c r="B26" s="107" t="s">
        <v>426</v>
      </c>
      <c r="C26" s="98"/>
      <c r="D26" s="98"/>
      <c r="E26" s="99"/>
      <c r="F26" s="99"/>
      <c r="G26" s="99"/>
      <c r="H26" s="99"/>
      <c r="I26" s="99"/>
      <c r="J26" s="99"/>
      <c r="K26" s="99"/>
      <c r="L26" s="99"/>
      <c r="M26" s="99"/>
      <c r="N26" s="90"/>
    </row>
    <row r="27" spans="1:14" ht="13.5" thickBot="1" x14ac:dyDescent="0.25">
      <c r="A27" s="108"/>
      <c r="B27" s="107" t="s">
        <v>430</v>
      </c>
      <c r="C27" s="109"/>
      <c r="D27" s="109"/>
      <c r="E27" s="110"/>
      <c r="F27" s="110"/>
      <c r="G27" s="110"/>
      <c r="H27" s="110"/>
      <c r="I27" s="110"/>
      <c r="J27" s="110"/>
      <c r="K27" s="110"/>
      <c r="L27" s="110"/>
      <c r="M27" s="110"/>
      <c r="N27" s="93"/>
    </row>
    <row r="28" spans="1:14" ht="13.5" thickBot="1" x14ac:dyDescent="0.25">
      <c r="A28" s="108"/>
      <c r="B28" s="120" t="s">
        <v>263</v>
      </c>
      <c r="C28" s="109"/>
      <c r="D28" s="109"/>
      <c r="E28" s="110"/>
      <c r="F28" s="110"/>
      <c r="G28" s="110"/>
      <c r="H28" s="110"/>
      <c r="I28" s="110"/>
      <c r="J28" s="138" t="s">
        <v>907</v>
      </c>
      <c r="K28" s="139" t="s">
        <v>611</v>
      </c>
      <c r="L28" s="139"/>
      <c r="M28" s="94"/>
      <c r="N28" s="94"/>
    </row>
    <row r="29" spans="1:14" ht="13.5" thickBot="1" x14ac:dyDescent="0.25">
      <c r="A29" s="105"/>
      <c r="B29" s="102"/>
      <c r="C29" s="98"/>
      <c r="D29" s="98"/>
      <c r="E29" s="99"/>
      <c r="F29" s="99"/>
      <c r="G29" s="99"/>
      <c r="H29" s="99"/>
      <c r="I29" s="99"/>
      <c r="J29" s="112"/>
      <c r="K29" s="94"/>
      <c r="L29" s="94"/>
      <c r="M29" s="89"/>
      <c r="N29" s="89"/>
    </row>
    <row r="30" spans="1:14" x14ac:dyDescent="0.2">
      <c r="A30" s="101"/>
      <c r="B30" s="448" t="s">
        <v>67</v>
      </c>
      <c r="C30" s="448"/>
      <c r="D30" s="448"/>
      <c r="E30" s="103"/>
      <c r="F30" s="103" t="s">
        <v>1180</v>
      </c>
      <c r="G30" s="103" t="s">
        <v>68</v>
      </c>
      <c r="H30" s="103" t="s">
        <v>702</v>
      </c>
      <c r="I30" s="103"/>
      <c r="J30" s="89">
        <f>83/ATHENS!O1*ATHENS!O2</f>
        <v>169.38775510204081</v>
      </c>
      <c r="K30" s="89">
        <f>102/ATHENS!O1*ATHENS!O2</f>
        <v>208.16326530612244</v>
      </c>
      <c r="L30" s="89"/>
      <c r="M30" s="113"/>
      <c r="N30" s="113"/>
    </row>
    <row r="31" spans="1:14" x14ac:dyDescent="0.2">
      <c r="A31" s="105"/>
      <c r="B31" s="443" t="s">
        <v>67</v>
      </c>
      <c r="C31" s="443"/>
      <c r="D31" s="443"/>
      <c r="E31" s="99"/>
      <c r="F31" s="99" t="s">
        <v>1181</v>
      </c>
      <c r="G31" s="99" t="s">
        <v>68</v>
      </c>
      <c r="H31" s="99" t="s">
        <v>702</v>
      </c>
      <c r="I31" s="99"/>
      <c r="J31" s="89">
        <f>45.5/ATHENS!O1*ATHENS!O2</f>
        <v>92.857142857142861</v>
      </c>
      <c r="K31" s="89">
        <f>55.5/ATHENS!O1*ATHENS!O2</f>
        <v>113.26530612244898</v>
      </c>
      <c r="L31" s="89"/>
      <c r="M31" s="89"/>
      <c r="N31" s="89"/>
    </row>
    <row r="32" spans="1:14" x14ac:dyDescent="0.2">
      <c r="A32" s="105"/>
      <c r="B32" s="443" t="s">
        <v>67</v>
      </c>
      <c r="C32" s="443"/>
      <c r="D32" s="443"/>
      <c r="E32" s="99"/>
      <c r="F32" s="99" t="s">
        <v>1182</v>
      </c>
      <c r="G32" s="99" t="s">
        <v>68</v>
      </c>
      <c r="H32" s="99" t="s">
        <v>702</v>
      </c>
      <c r="I32" s="99"/>
      <c r="J32" s="89">
        <f>36.66/ATHENS!O1*ATHENS!O2</f>
        <v>74.816326530612244</v>
      </c>
      <c r="K32" s="89">
        <f>43.5/ATHENS!O1*ATHENS!O2</f>
        <v>88.775510204081641</v>
      </c>
      <c r="L32" s="89"/>
      <c r="M32" s="89"/>
      <c r="N32" s="89"/>
    </row>
    <row r="33" spans="1:14" ht="13.5" thickBot="1" x14ac:dyDescent="0.25">
      <c r="A33" s="108"/>
      <c r="B33" s="126"/>
      <c r="C33" s="126"/>
      <c r="D33" s="126"/>
      <c r="E33" s="126"/>
      <c r="F33" s="126"/>
      <c r="G33" s="126"/>
      <c r="H33" s="128"/>
      <c r="I33" s="110"/>
      <c r="J33" s="94"/>
      <c r="K33" s="94"/>
      <c r="L33" s="94"/>
      <c r="M33" s="94"/>
      <c r="N33" s="94"/>
    </row>
    <row r="34" spans="1:14" ht="13.5" thickBot="1" x14ac:dyDescent="0.25">
      <c r="A34" s="97"/>
      <c r="H34" s="339"/>
      <c r="I34" s="99"/>
      <c r="J34" s="99"/>
      <c r="K34" s="99"/>
      <c r="L34" s="99"/>
      <c r="M34" s="99"/>
      <c r="N34" s="99"/>
    </row>
    <row r="35" spans="1:14" x14ac:dyDescent="0.2">
      <c r="A35" s="101"/>
      <c r="B35" s="102"/>
      <c r="C35" s="102"/>
      <c r="D35" s="102"/>
      <c r="E35" s="103"/>
      <c r="F35" s="103"/>
      <c r="G35" s="103"/>
      <c r="H35" s="103"/>
      <c r="I35" s="103"/>
      <c r="J35" s="103"/>
      <c r="K35" s="103"/>
      <c r="L35" s="103"/>
      <c r="M35" s="103"/>
      <c r="N35" s="104"/>
    </row>
    <row r="36" spans="1:14" ht="15" x14ac:dyDescent="0.2">
      <c r="A36" s="105"/>
      <c r="B36" s="437" t="s">
        <v>926</v>
      </c>
      <c r="C36" s="438"/>
      <c r="D36" s="438"/>
      <c r="E36" s="438"/>
      <c r="F36" s="438"/>
      <c r="G36" s="438"/>
      <c r="H36" s="438"/>
      <c r="I36" s="438"/>
      <c r="J36" s="438"/>
      <c r="K36" s="438"/>
      <c r="L36" s="438"/>
      <c r="M36" s="439"/>
      <c r="N36" s="106" t="s">
        <v>96</v>
      </c>
    </row>
    <row r="37" spans="1:14" x14ac:dyDescent="0.2">
      <c r="A37" s="105"/>
      <c r="B37" s="107" t="s">
        <v>428</v>
      </c>
      <c r="C37" s="98" t="s">
        <v>1253</v>
      </c>
      <c r="D37" s="98"/>
      <c r="E37" s="99"/>
      <c r="F37" s="99"/>
      <c r="G37" s="99"/>
      <c r="H37" s="99"/>
      <c r="I37" s="99"/>
      <c r="J37" s="99"/>
      <c r="K37" s="99"/>
      <c r="L37" s="99"/>
      <c r="M37" s="99"/>
      <c r="N37" s="90"/>
    </row>
    <row r="38" spans="1:14" x14ac:dyDescent="0.2">
      <c r="A38" s="105"/>
      <c r="B38" s="107" t="s">
        <v>429</v>
      </c>
      <c r="C38" s="98" t="s">
        <v>1294</v>
      </c>
      <c r="D38" s="98"/>
      <c r="E38" s="99"/>
      <c r="F38" s="99"/>
      <c r="G38" s="99"/>
      <c r="H38" s="99"/>
      <c r="I38" s="99"/>
      <c r="J38" s="99"/>
      <c r="K38" s="99"/>
      <c r="L38" s="99"/>
      <c r="M38" s="99"/>
      <c r="N38" s="90"/>
    </row>
    <row r="39" spans="1:14" x14ac:dyDescent="0.2">
      <c r="A39" s="105"/>
      <c r="B39" s="107" t="s">
        <v>427</v>
      </c>
      <c r="C39" s="444" t="s">
        <v>1254</v>
      </c>
      <c r="D39" s="444"/>
      <c r="E39" s="444"/>
      <c r="F39" s="444"/>
      <c r="G39" s="444"/>
      <c r="H39" s="444"/>
      <c r="I39" s="444"/>
      <c r="J39" s="444"/>
      <c r="K39" s="444"/>
      <c r="L39" s="444"/>
      <c r="M39" s="444"/>
      <c r="N39" s="445"/>
    </row>
    <row r="40" spans="1:14" x14ac:dyDescent="0.2">
      <c r="A40" s="105"/>
      <c r="B40" s="98"/>
      <c r="C40" s="444"/>
      <c r="D40" s="444"/>
      <c r="E40" s="444"/>
      <c r="F40" s="444"/>
      <c r="G40" s="444"/>
      <c r="H40" s="444"/>
      <c r="I40" s="444"/>
      <c r="J40" s="444"/>
      <c r="K40" s="444"/>
      <c r="L40" s="444"/>
      <c r="M40" s="444"/>
      <c r="N40" s="445"/>
    </row>
    <row r="41" spans="1:14" x14ac:dyDescent="0.2">
      <c r="A41" s="105"/>
      <c r="B41" s="107" t="s">
        <v>426</v>
      </c>
      <c r="C41" s="98"/>
      <c r="D41" s="98"/>
      <c r="E41" s="99"/>
      <c r="F41" s="99"/>
      <c r="G41" s="99"/>
      <c r="H41" s="99"/>
      <c r="I41" s="99"/>
      <c r="J41" s="99"/>
      <c r="K41" s="99"/>
      <c r="L41" s="99"/>
      <c r="M41" s="99"/>
      <c r="N41" s="90"/>
    </row>
    <row r="42" spans="1:14" ht="13.5" thickBot="1" x14ac:dyDescent="0.25">
      <c r="A42" s="108"/>
      <c r="B42" s="107" t="s">
        <v>430</v>
      </c>
      <c r="C42" s="109"/>
      <c r="D42" s="109"/>
      <c r="E42" s="110"/>
      <c r="F42" s="110"/>
      <c r="G42" s="110"/>
      <c r="H42" s="110"/>
      <c r="I42" s="110"/>
      <c r="J42" s="110"/>
      <c r="K42" s="110"/>
      <c r="L42" s="110"/>
      <c r="M42" s="110"/>
      <c r="N42" s="93"/>
    </row>
    <row r="43" spans="1:14" ht="13.5" thickBot="1" x14ac:dyDescent="0.25">
      <c r="A43" s="101"/>
      <c r="B43" s="102" t="s">
        <v>263</v>
      </c>
      <c r="C43" s="102"/>
      <c r="D43" s="102"/>
      <c r="E43" s="103"/>
      <c r="F43" s="103"/>
      <c r="G43" s="103"/>
      <c r="H43" s="103"/>
      <c r="I43" s="103"/>
      <c r="J43" s="114" t="s">
        <v>229</v>
      </c>
      <c r="K43" s="113"/>
      <c r="L43" s="113"/>
      <c r="M43" s="113"/>
      <c r="N43" s="113"/>
    </row>
    <row r="44" spans="1:14" x14ac:dyDescent="0.2">
      <c r="A44" s="101"/>
      <c r="B44" s="448" t="s">
        <v>67</v>
      </c>
      <c r="C44" s="448"/>
      <c r="D44" s="448"/>
      <c r="E44" s="103"/>
      <c r="F44" s="103" t="s">
        <v>1180</v>
      </c>
      <c r="G44" s="103" t="s">
        <v>68</v>
      </c>
      <c r="H44" s="103" t="s">
        <v>702</v>
      </c>
      <c r="I44" s="103"/>
      <c r="J44" s="89">
        <f>80/ATHENS!O1*ATHENS!O2</f>
        <v>163.26530612244898</v>
      </c>
      <c r="K44" s="89"/>
      <c r="L44" s="89"/>
      <c r="M44" s="113"/>
      <c r="N44" s="113"/>
    </row>
    <row r="45" spans="1:14" x14ac:dyDescent="0.2">
      <c r="A45" s="105"/>
      <c r="B45" s="443" t="s">
        <v>67</v>
      </c>
      <c r="C45" s="443"/>
      <c r="D45" s="443"/>
      <c r="E45" s="99"/>
      <c r="F45" s="99" t="s">
        <v>1181</v>
      </c>
      <c r="G45" s="99" t="s">
        <v>68</v>
      </c>
      <c r="H45" s="99" t="s">
        <v>702</v>
      </c>
      <c r="I45" s="99"/>
      <c r="J45" s="89">
        <f>50/ATHENS!O1*ATHENS!O2</f>
        <v>102.04081632653062</v>
      </c>
      <c r="K45" s="89"/>
      <c r="L45" s="89"/>
      <c r="M45" s="89"/>
      <c r="N45" s="89"/>
    </row>
    <row r="46" spans="1:14" ht="13.5" thickBot="1" x14ac:dyDescent="0.25">
      <c r="A46" s="108"/>
      <c r="B46" s="109" t="s">
        <v>67</v>
      </c>
      <c r="C46" s="109"/>
      <c r="D46" s="109"/>
      <c r="E46" s="110"/>
      <c r="F46" s="110" t="s">
        <v>1182</v>
      </c>
      <c r="G46" s="110" t="s">
        <v>68</v>
      </c>
      <c r="H46" s="110" t="s">
        <v>702</v>
      </c>
      <c r="I46" s="110"/>
      <c r="J46" s="94">
        <f>36.6/ATHENS!O1*ATHENS!O2</f>
        <v>74.693877551020407</v>
      </c>
      <c r="K46" s="94"/>
      <c r="L46" s="94"/>
      <c r="M46" s="94"/>
      <c r="N46" s="94"/>
    </row>
    <row r="48" spans="1:14" ht="13.5" thickBot="1" x14ac:dyDescent="0.25"/>
    <row r="49" spans="1:14" x14ac:dyDescent="0.2">
      <c r="A49" s="101"/>
      <c r="B49" s="102"/>
      <c r="C49" s="102"/>
      <c r="D49" s="102"/>
      <c r="E49" s="103"/>
      <c r="F49" s="103"/>
      <c r="G49" s="103"/>
      <c r="H49" s="103"/>
      <c r="I49" s="103"/>
      <c r="J49" s="103"/>
      <c r="K49" s="103"/>
      <c r="L49" s="103"/>
      <c r="M49" s="103"/>
      <c r="N49" s="104"/>
    </row>
    <row r="50" spans="1:14" ht="15" x14ac:dyDescent="0.2">
      <c r="A50" s="105"/>
      <c r="B50" s="437" t="s">
        <v>1255</v>
      </c>
      <c r="C50" s="438"/>
      <c r="D50" s="438"/>
      <c r="E50" s="438"/>
      <c r="F50" s="438"/>
      <c r="G50" s="438"/>
      <c r="H50" s="438"/>
      <c r="I50" s="438"/>
      <c r="J50" s="438"/>
      <c r="K50" s="438"/>
      <c r="L50" s="438"/>
      <c r="M50" s="439"/>
      <c r="N50" s="106" t="s">
        <v>96</v>
      </c>
    </row>
    <row r="51" spans="1:14" x14ac:dyDescent="0.2">
      <c r="A51" s="105"/>
      <c r="B51" s="107" t="s">
        <v>428</v>
      </c>
      <c r="C51" s="98" t="s">
        <v>1256</v>
      </c>
      <c r="D51" s="98"/>
      <c r="E51" s="99"/>
      <c r="F51" s="99"/>
      <c r="G51" s="99"/>
      <c r="H51" s="99"/>
      <c r="I51" s="99"/>
      <c r="J51" s="99"/>
      <c r="K51" s="99"/>
      <c r="L51" s="99"/>
      <c r="M51" s="99"/>
      <c r="N51" s="90"/>
    </row>
    <row r="52" spans="1:14" x14ac:dyDescent="0.2">
      <c r="A52" s="105"/>
      <c r="B52" s="107" t="s">
        <v>429</v>
      </c>
      <c r="C52" s="98" t="s">
        <v>1295</v>
      </c>
      <c r="D52" s="98"/>
      <c r="E52" s="99"/>
      <c r="F52" s="99"/>
      <c r="G52" s="99"/>
      <c r="H52" s="99"/>
      <c r="I52" s="99"/>
      <c r="J52" s="99"/>
      <c r="K52" s="99"/>
      <c r="L52" s="99"/>
      <c r="M52" s="99"/>
      <c r="N52" s="90"/>
    </row>
    <row r="53" spans="1:14" x14ac:dyDescent="0.2">
      <c r="A53" s="105"/>
      <c r="B53" s="107" t="s">
        <v>427</v>
      </c>
      <c r="C53" s="444" t="s">
        <v>1257</v>
      </c>
      <c r="D53" s="444"/>
      <c r="E53" s="444"/>
      <c r="F53" s="444"/>
      <c r="G53" s="444"/>
      <c r="H53" s="444"/>
      <c r="I53" s="444"/>
      <c r="J53" s="444"/>
      <c r="K53" s="444"/>
      <c r="L53" s="444"/>
      <c r="M53" s="444"/>
      <c r="N53" s="445"/>
    </row>
    <row r="54" spans="1:14" x14ac:dyDescent="0.2">
      <c r="A54" s="105"/>
      <c r="B54" s="98"/>
      <c r="C54" s="444"/>
      <c r="D54" s="444"/>
      <c r="E54" s="444"/>
      <c r="F54" s="444"/>
      <c r="G54" s="444"/>
      <c r="H54" s="444"/>
      <c r="I54" s="444"/>
      <c r="J54" s="444"/>
      <c r="K54" s="444"/>
      <c r="L54" s="444"/>
      <c r="M54" s="444"/>
      <c r="N54" s="445"/>
    </row>
    <row r="55" spans="1:14" x14ac:dyDescent="0.2">
      <c r="A55" s="105"/>
      <c r="B55" s="107" t="s">
        <v>426</v>
      </c>
      <c r="C55" s="98"/>
      <c r="D55" s="98"/>
      <c r="E55" s="99"/>
      <c r="F55" s="99"/>
      <c r="G55" s="99"/>
      <c r="H55" s="99"/>
      <c r="I55" s="99"/>
      <c r="J55" s="99"/>
      <c r="K55" s="99"/>
      <c r="L55" s="99"/>
      <c r="M55" s="99"/>
      <c r="N55" s="90"/>
    </row>
    <row r="56" spans="1:14" ht="13.5" thickBot="1" x14ac:dyDescent="0.25">
      <c r="A56" s="108"/>
      <c r="B56" s="107" t="s">
        <v>430</v>
      </c>
      <c r="C56" s="109"/>
      <c r="D56" s="109"/>
      <c r="E56" s="110"/>
      <c r="F56" s="110"/>
      <c r="G56" s="110"/>
      <c r="H56" s="110"/>
      <c r="I56" s="110"/>
      <c r="J56" s="110"/>
      <c r="K56" s="110"/>
      <c r="L56" s="110"/>
      <c r="M56" s="110"/>
      <c r="N56" s="93"/>
    </row>
    <row r="57" spans="1:14" x14ac:dyDescent="0.2">
      <c r="A57" s="105"/>
      <c r="B57" s="102" t="s">
        <v>263</v>
      </c>
      <c r="C57" s="98"/>
      <c r="D57" s="98"/>
      <c r="E57" s="99"/>
      <c r="F57" s="99"/>
      <c r="G57" s="99"/>
      <c r="H57" s="99"/>
      <c r="I57" s="99"/>
      <c r="J57" s="111"/>
      <c r="K57" s="89" t="s">
        <v>1821</v>
      </c>
      <c r="L57" s="89"/>
      <c r="M57" s="89"/>
      <c r="N57" s="89"/>
    </row>
    <row r="58" spans="1:14" ht="13.5" thickBot="1" x14ac:dyDescent="0.25">
      <c r="A58" s="108"/>
      <c r="B58" s="109"/>
      <c r="C58" s="109"/>
      <c r="D58" s="109"/>
      <c r="E58" s="110"/>
      <c r="F58" s="110"/>
      <c r="G58" s="110"/>
      <c r="H58" s="110"/>
      <c r="I58" s="110"/>
      <c r="J58" s="112" t="s">
        <v>907</v>
      </c>
      <c r="K58" s="94" t="s">
        <v>1823</v>
      </c>
      <c r="L58" s="94" t="s">
        <v>1822</v>
      </c>
      <c r="M58" s="94"/>
      <c r="N58" s="94"/>
    </row>
    <row r="59" spans="1:14" x14ac:dyDescent="0.2">
      <c r="A59" s="101"/>
      <c r="B59" s="448" t="s">
        <v>67</v>
      </c>
      <c r="C59" s="448"/>
      <c r="D59" s="448"/>
      <c r="E59" s="103"/>
      <c r="F59" s="103" t="s">
        <v>1180</v>
      </c>
      <c r="G59" s="103" t="s">
        <v>68</v>
      </c>
      <c r="H59" s="103" t="s">
        <v>702</v>
      </c>
      <c r="I59" s="103"/>
      <c r="J59" s="89">
        <f>41/ATHENS!O1*ATHENS!O2</f>
        <v>83.673469387755105</v>
      </c>
      <c r="K59" s="89">
        <f>47.5/ATHENS!O1*ATHENS!O2</f>
        <v>96.938775510204081</v>
      </c>
      <c r="L59" s="89">
        <f>54.5/ATHENS!O1*ATHENS!O2</f>
        <v>111.22448979591837</v>
      </c>
      <c r="M59" s="113"/>
      <c r="N59" s="113"/>
    </row>
    <row r="60" spans="1:14" x14ac:dyDescent="0.2">
      <c r="A60" s="105"/>
      <c r="B60" s="443" t="s">
        <v>67</v>
      </c>
      <c r="C60" s="443"/>
      <c r="D60" s="443"/>
      <c r="E60" s="99"/>
      <c r="F60" s="99" t="s">
        <v>1181</v>
      </c>
      <c r="G60" s="99" t="s">
        <v>68</v>
      </c>
      <c r="H60" s="99" t="s">
        <v>702</v>
      </c>
      <c r="I60" s="99"/>
      <c r="J60" s="89">
        <f>21.6/ATHENS!O1*ATHENS!O2</f>
        <v>44.081632653061227</v>
      </c>
      <c r="K60" s="89">
        <f>26.5/ATHENS!O1*ATHENS!O2</f>
        <v>54.081632653061227</v>
      </c>
      <c r="L60" s="89">
        <f>30/ATHENS!O1*ATHENS!O2</f>
        <v>61.224489795918366</v>
      </c>
      <c r="M60" s="89"/>
      <c r="N60" s="89"/>
    </row>
    <row r="61" spans="1:14" x14ac:dyDescent="0.2">
      <c r="A61" s="105"/>
      <c r="B61" s="443" t="s">
        <v>67</v>
      </c>
      <c r="C61" s="443"/>
      <c r="D61" s="443"/>
      <c r="E61" s="99"/>
      <c r="F61" s="99" t="s">
        <v>1182</v>
      </c>
      <c r="G61" s="99" t="s">
        <v>68</v>
      </c>
      <c r="H61" s="99" t="s">
        <v>702</v>
      </c>
      <c r="I61" s="99"/>
      <c r="J61" s="89">
        <f>17.5/ATHENS!O1*ATHENS!O2</f>
        <v>35.714285714285715</v>
      </c>
      <c r="K61" s="89">
        <f>20.6/ATHENS!O1*ATHENS!O2</f>
        <v>42.040816326530617</v>
      </c>
      <c r="L61" s="89">
        <f>23.5/ATHENS!O1*ATHENS!O2</f>
        <v>47.95918367346939</v>
      </c>
      <c r="M61" s="89"/>
      <c r="N61" s="89"/>
    </row>
    <row r="62" spans="1:14" ht="13.5" thickBot="1" x14ac:dyDescent="0.25">
      <c r="A62" s="108"/>
      <c r="B62" s="436" t="s">
        <v>1824</v>
      </c>
      <c r="C62" s="436"/>
      <c r="D62" s="436"/>
      <c r="E62" s="110"/>
      <c r="F62" s="110"/>
      <c r="G62" s="110"/>
      <c r="H62" s="110" t="s">
        <v>1184</v>
      </c>
      <c r="I62" s="110"/>
      <c r="J62" s="94">
        <f>8.8/ATHENS!O1*ATHENS!O2</f>
        <v>17.95918367346939</v>
      </c>
      <c r="K62" s="94">
        <f>8.8/ATHENS!O1*ATHENS!O2</f>
        <v>17.95918367346939</v>
      </c>
      <c r="L62" s="94">
        <f>9/ATHENS!O1*ATHENS!O2</f>
        <v>18.367346938775512</v>
      </c>
      <c r="M62" s="94"/>
      <c r="N62" s="94"/>
    </row>
    <row r="63" spans="1:14" ht="13.5" thickBot="1" x14ac:dyDescent="0.25">
      <c r="A63" s="97"/>
      <c r="B63" s="123"/>
      <c r="C63" s="123"/>
      <c r="D63" s="123"/>
      <c r="E63" s="124"/>
      <c r="F63" s="124"/>
      <c r="G63" s="124"/>
      <c r="H63" s="124"/>
      <c r="I63" s="124"/>
      <c r="J63" s="124"/>
      <c r="K63" s="124"/>
      <c r="L63" s="124"/>
      <c r="M63" s="124"/>
      <c r="N63" s="124"/>
    </row>
    <row r="64" spans="1:14" x14ac:dyDescent="0.2">
      <c r="A64" s="101"/>
      <c r="B64" s="102"/>
      <c r="C64" s="102"/>
      <c r="D64" s="102"/>
      <c r="E64" s="103"/>
      <c r="F64" s="103"/>
      <c r="G64" s="103"/>
      <c r="H64" s="103"/>
      <c r="I64" s="103"/>
      <c r="J64" s="103"/>
      <c r="K64" s="103"/>
      <c r="L64" s="103"/>
      <c r="M64" s="103"/>
      <c r="N64" s="104"/>
    </row>
    <row r="65" spans="1:14" ht="15" x14ac:dyDescent="0.2">
      <c r="A65" s="105"/>
      <c r="B65" s="437" t="s">
        <v>1258</v>
      </c>
      <c r="C65" s="438"/>
      <c r="D65" s="438"/>
      <c r="E65" s="438"/>
      <c r="F65" s="438"/>
      <c r="G65" s="438"/>
      <c r="H65" s="438"/>
      <c r="I65" s="438"/>
      <c r="J65" s="438"/>
      <c r="K65" s="438"/>
      <c r="L65" s="438"/>
      <c r="M65" s="439"/>
      <c r="N65" s="106" t="s">
        <v>664</v>
      </c>
    </row>
    <row r="66" spans="1:14" x14ac:dyDescent="0.2">
      <c r="A66" s="105"/>
      <c r="B66" s="107" t="s">
        <v>428</v>
      </c>
      <c r="C66" s="98" t="s">
        <v>1259</v>
      </c>
      <c r="D66" s="98"/>
      <c r="E66" s="99"/>
      <c r="F66" s="99"/>
      <c r="G66" s="99"/>
      <c r="H66" s="99"/>
      <c r="I66" s="99"/>
      <c r="J66" s="99"/>
      <c r="K66" s="99"/>
      <c r="L66" s="99"/>
      <c r="M66" s="99"/>
      <c r="N66" s="90"/>
    </row>
    <row r="67" spans="1:14" x14ac:dyDescent="0.2">
      <c r="A67" s="105"/>
      <c r="B67" s="107" t="s">
        <v>429</v>
      </c>
      <c r="C67" s="98" t="s">
        <v>1296</v>
      </c>
      <c r="D67" s="98"/>
      <c r="E67" s="99"/>
      <c r="F67" s="99"/>
      <c r="G67" s="99"/>
      <c r="H67" s="99"/>
      <c r="I67" s="99"/>
      <c r="J67" s="99"/>
      <c r="K67" s="99"/>
      <c r="L67" s="99"/>
      <c r="M67" s="99"/>
      <c r="N67" s="90"/>
    </row>
    <row r="68" spans="1:14" x14ac:dyDescent="0.2">
      <c r="A68" s="105"/>
      <c r="B68" s="107" t="s">
        <v>427</v>
      </c>
      <c r="C68" s="444" t="s">
        <v>1260</v>
      </c>
      <c r="D68" s="444"/>
      <c r="E68" s="444"/>
      <c r="F68" s="444"/>
      <c r="G68" s="444"/>
      <c r="H68" s="444"/>
      <c r="I68" s="444"/>
      <c r="J68" s="444"/>
      <c r="K68" s="444"/>
      <c r="L68" s="444"/>
      <c r="M68" s="444"/>
      <c r="N68" s="445"/>
    </row>
    <row r="69" spans="1:14" x14ac:dyDescent="0.2">
      <c r="A69" s="105"/>
      <c r="B69" s="107"/>
      <c r="C69" s="444"/>
      <c r="D69" s="444"/>
      <c r="E69" s="444"/>
      <c r="F69" s="444"/>
      <c r="G69" s="444"/>
      <c r="H69" s="444"/>
      <c r="I69" s="444"/>
      <c r="J69" s="444"/>
      <c r="K69" s="444"/>
      <c r="L69" s="444"/>
      <c r="M69" s="444"/>
      <c r="N69" s="445"/>
    </row>
    <row r="70" spans="1:14" x14ac:dyDescent="0.2">
      <c r="A70" s="105"/>
      <c r="B70" s="98"/>
      <c r="C70" s="444"/>
      <c r="D70" s="444"/>
      <c r="E70" s="444"/>
      <c r="F70" s="444"/>
      <c r="G70" s="444"/>
      <c r="H70" s="444"/>
      <c r="I70" s="444"/>
      <c r="J70" s="444"/>
      <c r="K70" s="444"/>
      <c r="L70" s="444"/>
      <c r="M70" s="444"/>
      <c r="N70" s="445"/>
    </row>
    <row r="71" spans="1:14" x14ac:dyDescent="0.2">
      <c r="A71" s="105"/>
      <c r="B71" s="107" t="s">
        <v>426</v>
      </c>
      <c r="C71" s="98"/>
      <c r="D71" s="98"/>
      <c r="E71" s="99"/>
      <c r="F71" s="99"/>
      <c r="G71" s="99"/>
      <c r="H71" s="99"/>
      <c r="I71" s="99"/>
      <c r="J71" s="99"/>
      <c r="K71" s="99"/>
      <c r="L71" s="99"/>
      <c r="M71" s="99"/>
      <c r="N71" s="90"/>
    </row>
    <row r="72" spans="1:14" ht="13.5" thickBot="1" x14ac:dyDescent="0.25">
      <c r="A72" s="108"/>
      <c r="B72" s="107" t="s">
        <v>430</v>
      </c>
      <c r="C72" s="109"/>
      <c r="D72" s="109"/>
      <c r="E72" s="110"/>
      <c r="F72" s="110"/>
      <c r="G72" s="110"/>
      <c r="H72" s="110"/>
      <c r="I72" s="110"/>
      <c r="J72" s="110"/>
      <c r="K72" s="110"/>
      <c r="L72" s="110"/>
      <c r="M72" s="110"/>
      <c r="N72" s="93"/>
    </row>
    <row r="73" spans="1:14" x14ac:dyDescent="0.2">
      <c r="A73" s="105"/>
      <c r="B73" s="102" t="s">
        <v>263</v>
      </c>
      <c r="C73" s="98"/>
      <c r="D73" s="98"/>
      <c r="E73" s="99"/>
      <c r="F73" s="99"/>
      <c r="G73" s="99"/>
      <c r="H73" s="99"/>
      <c r="I73" s="99"/>
      <c r="J73" s="111"/>
      <c r="K73" s="89" t="s">
        <v>1821</v>
      </c>
      <c r="L73" s="89"/>
      <c r="M73" s="89"/>
      <c r="N73" s="89"/>
    </row>
    <row r="74" spans="1:14" ht="13.5" thickBot="1" x14ac:dyDescent="0.25">
      <c r="A74" s="108"/>
      <c r="B74" s="109"/>
      <c r="C74" s="109"/>
      <c r="D74" s="109"/>
      <c r="E74" s="110"/>
      <c r="F74" s="110"/>
      <c r="G74" s="110"/>
      <c r="H74" s="110"/>
      <c r="I74" s="110"/>
      <c r="J74" s="112" t="s">
        <v>907</v>
      </c>
      <c r="K74" s="94" t="s">
        <v>1823</v>
      </c>
      <c r="L74" s="94" t="s">
        <v>1822</v>
      </c>
      <c r="M74" s="94"/>
      <c r="N74" s="94"/>
    </row>
    <row r="75" spans="1:14" x14ac:dyDescent="0.2">
      <c r="A75" s="101"/>
      <c r="B75" s="448" t="s">
        <v>67</v>
      </c>
      <c r="C75" s="448"/>
      <c r="D75" s="448"/>
      <c r="E75" s="103"/>
      <c r="F75" s="103" t="s">
        <v>1180</v>
      </c>
      <c r="G75" s="103" t="s">
        <v>68</v>
      </c>
      <c r="H75" s="103" t="s">
        <v>702</v>
      </c>
      <c r="I75" s="103"/>
      <c r="J75" s="89">
        <f>37/ATHENS!O1*ATHENS!O2</f>
        <v>75.510204081632651</v>
      </c>
      <c r="K75" s="89">
        <f>44/ATHENS!O1*ATHENS!O2</f>
        <v>89.795918367346943</v>
      </c>
      <c r="L75" s="89">
        <f>49/ATHENS!O1*ATHENS!O2</f>
        <v>100</v>
      </c>
      <c r="M75" s="113"/>
      <c r="N75" s="113"/>
    </row>
    <row r="76" spans="1:14" x14ac:dyDescent="0.2">
      <c r="A76" s="105"/>
      <c r="B76" s="443" t="s">
        <v>67</v>
      </c>
      <c r="C76" s="443"/>
      <c r="D76" s="443"/>
      <c r="E76" s="99"/>
      <c r="F76" s="99" t="s">
        <v>1181</v>
      </c>
      <c r="G76" s="99" t="s">
        <v>68</v>
      </c>
      <c r="H76" s="99" t="s">
        <v>702</v>
      </c>
      <c r="I76" s="99"/>
      <c r="J76" s="89">
        <f>20/ATHENS!O1*ATHENS!O2</f>
        <v>40.816326530612244</v>
      </c>
      <c r="K76" s="89">
        <f>23.8/ATHENS!O1*ATHENS!O2</f>
        <v>48.571428571428577</v>
      </c>
      <c r="L76" s="89">
        <f>28/ATHENS!O1*ATHENS!O2</f>
        <v>57.142857142857146</v>
      </c>
      <c r="M76" s="89"/>
      <c r="N76" s="89"/>
    </row>
    <row r="77" spans="1:14" x14ac:dyDescent="0.2">
      <c r="A77" s="105"/>
      <c r="B77" s="443" t="s">
        <v>67</v>
      </c>
      <c r="C77" s="443"/>
      <c r="D77" s="443"/>
      <c r="E77" s="99"/>
      <c r="F77" s="99" t="s">
        <v>1182</v>
      </c>
      <c r="G77" s="99" t="s">
        <v>68</v>
      </c>
      <c r="H77" s="99" t="s">
        <v>702</v>
      </c>
      <c r="I77" s="99"/>
      <c r="J77" s="89">
        <f>16/ATHENS!O1*ATHENS!O2</f>
        <v>32.653061224489797</v>
      </c>
      <c r="K77" s="89">
        <f>19.66/ATHENS!O1*ATHENS!O2</f>
        <v>40.122448979591837</v>
      </c>
      <c r="L77" s="89">
        <f>22.6/ATHENS!O1*ATHENS!O2</f>
        <v>46.122448979591837</v>
      </c>
      <c r="M77" s="89"/>
      <c r="N77" s="89"/>
    </row>
    <row r="78" spans="1:14" ht="13.5" thickBot="1" x14ac:dyDescent="0.25">
      <c r="A78" s="108"/>
      <c r="B78" s="436" t="s">
        <v>1824</v>
      </c>
      <c r="C78" s="436"/>
      <c r="D78" s="436"/>
      <c r="E78" s="110"/>
      <c r="F78" s="110"/>
      <c r="G78" s="110"/>
      <c r="H78" s="110" t="s">
        <v>1184</v>
      </c>
      <c r="I78" s="110"/>
      <c r="J78" s="94">
        <f>8.8/ATHENS!O1*ATHENS!O2</f>
        <v>17.95918367346939</v>
      </c>
      <c r="K78" s="94">
        <f>8.8/ATHENS!O1*ATHENS!O2</f>
        <v>17.95918367346939</v>
      </c>
      <c r="L78" s="94">
        <f>9/ATHENS!O1*ATHENS!O2</f>
        <v>18.367346938775512</v>
      </c>
      <c r="M78" s="94"/>
      <c r="N78" s="94"/>
    </row>
    <row r="79" spans="1:14" ht="13.5" thickBot="1" x14ac:dyDescent="0.25">
      <c r="A79" s="97"/>
      <c r="B79" s="98"/>
      <c r="C79" s="98"/>
      <c r="D79" s="98"/>
      <c r="E79" s="99"/>
      <c r="F79" s="99"/>
      <c r="G79" s="99"/>
      <c r="H79" s="99"/>
      <c r="I79" s="99"/>
      <c r="J79" s="99"/>
      <c r="K79" s="99"/>
      <c r="L79" s="99"/>
      <c r="M79" s="99"/>
      <c r="N79" s="99"/>
    </row>
    <row r="80" spans="1:14" x14ac:dyDescent="0.2">
      <c r="A80" s="101"/>
      <c r="B80" s="102"/>
      <c r="C80" s="102"/>
      <c r="D80" s="102"/>
      <c r="E80" s="103"/>
      <c r="F80" s="103"/>
      <c r="G80" s="103"/>
      <c r="H80" s="103"/>
      <c r="I80" s="103"/>
      <c r="J80" s="103"/>
      <c r="K80" s="103"/>
      <c r="L80" s="103"/>
      <c r="M80" s="103"/>
      <c r="N80" s="104"/>
    </row>
    <row r="81" spans="1:14" ht="15" x14ac:dyDescent="0.2">
      <c r="A81" s="105"/>
      <c r="B81" s="437" t="s">
        <v>1261</v>
      </c>
      <c r="C81" s="438"/>
      <c r="D81" s="438"/>
      <c r="E81" s="438"/>
      <c r="F81" s="438"/>
      <c r="G81" s="438"/>
      <c r="H81" s="438"/>
      <c r="I81" s="438"/>
      <c r="J81" s="438"/>
      <c r="K81" s="438"/>
      <c r="L81" s="438"/>
      <c r="M81" s="439"/>
      <c r="N81" s="106" t="s">
        <v>664</v>
      </c>
    </row>
    <row r="82" spans="1:14" x14ac:dyDescent="0.2">
      <c r="A82" s="105"/>
      <c r="B82" s="107" t="s">
        <v>428</v>
      </c>
      <c r="C82" s="98" t="s">
        <v>474</v>
      </c>
      <c r="D82" s="98"/>
      <c r="E82" s="99"/>
      <c r="F82" s="99"/>
      <c r="G82" s="99"/>
      <c r="H82" s="99"/>
      <c r="I82" s="99"/>
      <c r="J82" s="99"/>
      <c r="K82" s="99"/>
      <c r="L82" s="99"/>
      <c r="M82" s="99"/>
      <c r="N82" s="90"/>
    </row>
    <row r="83" spans="1:14" x14ac:dyDescent="0.2">
      <c r="A83" s="105"/>
      <c r="B83" s="107" t="s">
        <v>429</v>
      </c>
      <c r="C83" s="98" t="s">
        <v>1297</v>
      </c>
      <c r="D83" s="98"/>
      <c r="E83" s="99"/>
      <c r="F83" s="99"/>
      <c r="G83" s="99"/>
      <c r="H83" s="99"/>
      <c r="I83" s="99"/>
      <c r="J83" s="99"/>
      <c r="K83" s="99"/>
      <c r="L83" s="99"/>
      <c r="M83" s="99"/>
      <c r="N83" s="90"/>
    </row>
    <row r="84" spans="1:14" x14ac:dyDescent="0.2">
      <c r="A84" s="105"/>
      <c r="B84" s="107" t="s">
        <v>427</v>
      </c>
      <c r="C84" s="444" t="s">
        <v>475</v>
      </c>
      <c r="D84" s="444"/>
      <c r="E84" s="444"/>
      <c r="F84" s="444"/>
      <c r="G84" s="444"/>
      <c r="H84" s="444"/>
      <c r="I84" s="444"/>
      <c r="J84" s="444"/>
      <c r="K84" s="444"/>
      <c r="L84" s="444"/>
      <c r="M84" s="444"/>
      <c r="N84" s="445"/>
    </row>
    <row r="85" spans="1:14" x14ac:dyDescent="0.2">
      <c r="A85" s="105"/>
      <c r="B85" s="98"/>
      <c r="C85" s="444"/>
      <c r="D85" s="444"/>
      <c r="E85" s="444"/>
      <c r="F85" s="444"/>
      <c r="G85" s="444"/>
      <c r="H85" s="444"/>
      <c r="I85" s="444"/>
      <c r="J85" s="444"/>
      <c r="K85" s="444"/>
      <c r="L85" s="444"/>
      <c r="M85" s="444"/>
      <c r="N85" s="445"/>
    </row>
    <row r="86" spans="1:14" x14ac:dyDescent="0.2">
      <c r="A86" s="105"/>
      <c r="B86" s="107" t="s">
        <v>426</v>
      </c>
      <c r="C86" s="98"/>
      <c r="D86" s="98"/>
      <c r="E86" s="99"/>
      <c r="F86" s="99"/>
      <c r="G86" s="99"/>
      <c r="H86" s="99"/>
      <c r="I86" s="99"/>
      <c r="J86" s="99"/>
      <c r="K86" s="99"/>
      <c r="L86" s="99"/>
      <c r="M86" s="99"/>
      <c r="N86" s="90"/>
    </row>
    <row r="87" spans="1:14" ht="13.5" thickBot="1" x14ac:dyDescent="0.25">
      <c r="A87" s="108"/>
      <c r="B87" s="107" t="s">
        <v>430</v>
      </c>
      <c r="C87" s="109"/>
      <c r="D87" s="109"/>
      <c r="E87" s="110"/>
      <c r="F87" s="110"/>
      <c r="G87" s="110"/>
      <c r="H87" s="110"/>
      <c r="I87" s="110"/>
      <c r="J87" s="110"/>
      <c r="K87" s="110"/>
      <c r="L87" s="110"/>
      <c r="M87" s="110"/>
      <c r="N87" s="93"/>
    </row>
    <row r="88" spans="1:14" x14ac:dyDescent="0.2">
      <c r="A88" s="105"/>
      <c r="B88" s="102" t="s">
        <v>263</v>
      </c>
      <c r="C88" s="98"/>
      <c r="D88" s="98"/>
      <c r="E88" s="99"/>
      <c r="F88" s="99"/>
      <c r="G88" s="99"/>
      <c r="H88" s="99"/>
      <c r="I88" s="99"/>
      <c r="J88" s="111" t="s">
        <v>907</v>
      </c>
      <c r="K88" s="89"/>
      <c r="L88" s="89"/>
      <c r="M88" s="89"/>
      <c r="N88" s="89"/>
    </row>
    <row r="89" spans="1:14" x14ac:dyDescent="0.2">
      <c r="A89" s="105"/>
      <c r="B89" s="98"/>
      <c r="C89" s="98"/>
      <c r="D89" s="98"/>
      <c r="E89" s="99"/>
      <c r="F89" s="99"/>
      <c r="G89" s="99"/>
      <c r="H89" s="99"/>
      <c r="I89" s="99"/>
      <c r="J89" s="111" t="s">
        <v>512</v>
      </c>
      <c r="K89" s="89" t="s">
        <v>611</v>
      </c>
      <c r="L89" s="89"/>
      <c r="M89" s="89"/>
      <c r="N89" s="89"/>
    </row>
    <row r="90" spans="1:14" x14ac:dyDescent="0.2">
      <c r="A90" s="340"/>
      <c r="B90" s="441" t="s">
        <v>67</v>
      </c>
      <c r="C90" s="441"/>
      <c r="D90" s="441"/>
      <c r="E90" s="330"/>
      <c r="F90" s="330" t="s">
        <v>1180</v>
      </c>
      <c r="G90" s="330" t="s">
        <v>68</v>
      </c>
      <c r="H90" s="330" t="s">
        <v>702</v>
      </c>
      <c r="I90" s="330"/>
      <c r="J90" s="331">
        <f>45/ATHENS!O1*ATHENS!O2</f>
        <v>91.83673469387756</v>
      </c>
      <c r="K90" s="331">
        <f>50/ATHENS!O1*ATHENS!O2</f>
        <v>102.04081632653062</v>
      </c>
      <c r="L90" s="331"/>
      <c r="M90" s="331"/>
      <c r="N90" s="332"/>
    </row>
    <row r="91" spans="1:14" x14ac:dyDescent="0.2">
      <c r="A91" s="341"/>
      <c r="B91" s="443" t="s">
        <v>67</v>
      </c>
      <c r="C91" s="443"/>
      <c r="D91" s="443"/>
      <c r="E91" s="99"/>
      <c r="F91" s="99" t="s">
        <v>1181</v>
      </c>
      <c r="G91" s="99" t="s">
        <v>68</v>
      </c>
      <c r="H91" s="99" t="s">
        <v>702</v>
      </c>
      <c r="I91" s="99"/>
      <c r="J91" s="89">
        <f>30/ATHENS!O1*ATHENS!O2</f>
        <v>61.224489795918366</v>
      </c>
      <c r="K91" s="89">
        <f>32.5/ATHENS!O1*ATHENS!O2</f>
        <v>66.326530612244895</v>
      </c>
      <c r="L91" s="89"/>
      <c r="M91" s="89"/>
      <c r="N91" s="333"/>
    </row>
    <row r="92" spans="1:14" x14ac:dyDescent="0.2">
      <c r="A92" s="341"/>
      <c r="B92" s="443" t="s">
        <v>67</v>
      </c>
      <c r="C92" s="443"/>
      <c r="D92" s="443"/>
      <c r="E92" s="99"/>
      <c r="F92" s="99" t="s">
        <v>1182</v>
      </c>
      <c r="G92" s="99" t="s">
        <v>68</v>
      </c>
      <c r="H92" s="99" t="s">
        <v>702</v>
      </c>
      <c r="I92" s="99"/>
      <c r="J92" s="89">
        <f>26.7/ATHENS!O1*ATHENS!O2</f>
        <v>54.489795918367349</v>
      </c>
      <c r="K92" s="89">
        <f>28.5/ATHENS!O1*ATHENS!O2</f>
        <v>58.163265306122447</v>
      </c>
      <c r="L92" s="89"/>
      <c r="M92" s="89"/>
      <c r="N92" s="333"/>
    </row>
    <row r="93" spans="1:14" x14ac:dyDescent="0.2">
      <c r="A93" s="342"/>
      <c r="B93" s="454" t="s">
        <v>67</v>
      </c>
      <c r="C93" s="454"/>
      <c r="D93" s="454"/>
      <c r="E93" s="336"/>
      <c r="F93" s="336" t="s">
        <v>257</v>
      </c>
      <c r="G93" s="336" t="s">
        <v>68</v>
      </c>
      <c r="H93" s="336" t="s">
        <v>702</v>
      </c>
      <c r="I93" s="336"/>
      <c r="J93" s="337">
        <f>25/ATHENS!O1*ATHENS!O2</f>
        <v>51.020408163265309</v>
      </c>
      <c r="K93" s="337">
        <f>26.5/ATHENS!O1*ATHENS!O2</f>
        <v>54.081632653061227</v>
      </c>
      <c r="L93" s="337"/>
      <c r="M93" s="337"/>
      <c r="N93" s="338"/>
    </row>
    <row r="94" spans="1:14" x14ac:dyDescent="0.2">
      <c r="A94" s="97"/>
      <c r="B94" s="98"/>
      <c r="C94" s="98"/>
      <c r="D94" s="98"/>
      <c r="E94" s="99"/>
      <c r="F94" s="99"/>
      <c r="G94" s="99"/>
      <c r="H94" s="99"/>
      <c r="I94" s="99"/>
      <c r="J94" s="99"/>
      <c r="K94" s="99"/>
      <c r="L94" s="99"/>
      <c r="M94" s="99"/>
      <c r="N94" s="99"/>
    </row>
    <row r="95" spans="1:14" x14ac:dyDescent="0.2">
      <c r="A95" s="97"/>
      <c r="B95" s="98"/>
      <c r="C95" s="98"/>
      <c r="D95" s="98"/>
      <c r="E95" s="99"/>
      <c r="F95" s="99"/>
      <c r="G95" s="99"/>
      <c r="H95" s="99"/>
      <c r="I95" s="99"/>
      <c r="J95" s="99"/>
      <c r="K95" s="99"/>
      <c r="L95" s="99"/>
      <c r="M95" s="99"/>
      <c r="N95" s="99"/>
    </row>
    <row r="96" spans="1:14" x14ac:dyDescent="0.2">
      <c r="A96" s="97"/>
      <c r="B96" s="98"/>
      <c r="C96" s="98"/>
      <c r="D96" s="98"/>
      <c r="E96" s="99"/>
      <c r="F96" s="99"/>
      <c r="G96" s="99"/>
      <c r="H96" s="99"/>
      <c r="I96" s="99"/>
      <c r="J96" s="99"/>
      <c r="K96" s="99"/>
      <c r="L96" s="99"/>
      <c r="M96" s="99"/>
      <c r="N96" s="99"/>
    </row>
    <row r="97" spans="1:14" x14ac:dyDescent="0.2">
      <c r="A97" s="97"/>
      <c r="B97" s="123"/>
      <c r="C97" s="123"/>
      <c r="D97" s="123"/>
      <c r="E97" s="124"/>
      <c r="F97" s="124"/>
      <c r="G97" s="124"/>
      <c r="H97" s="124"/>
      <c r="I97" s="124"/>
      <c r="J97" s="124"/>
      <c r="K97" s="124"/>
      <c r="L97" s="124"/>
      <c r="M97" s="124"/>
      <c r="N97" s="124"/>
    </row>
    <row r="112" spans="1:14" x14ac:dyDescent="0.2">
      <c r="A112" s="97"/>
      <c r="B112" s="98"/>
      <c r="C112" s="98"/>
      <c r="D112" s="98"/>
      <c r="E112" s="99"/>
      <c r="F112" s="99"/>
      <c r="G112" s="99"/>
      <c r="H112" s="99"/>
      <c r="I112" s="99"/>
      <c r="J112" s="99"/>
      <c r="K112" s="99"/>
      <c r="L112" s="99"/>
      <c r="M112" s="99"/>
      <c r="N112" s="99"/>
    </row>
  </sheetData>
  <customSheetViews>
    <customSheetView guid="{3C76061C-A85D-4390-B9DB-73E13038638C}" showPageBreaks="1" showGridLines="0" view="pageLayout" topLeftCell="A91">
      <selection activeCell="M51" sqref="M51"/>
      <rowBreaks count="2" manualBreakCount="2">
        <brk id="46" max="16383" man="1"/>
        <brk id="96" max="16383" man="1"/>
      </rowBreaks>
      <pageMargins left="0.28125" right="0.25" top="0.6692913385826772" bottom="0.70866141732283472" header="0.23622047244094491" footer="0.47244094488188981"/>
      <printOptions horizontalCentered="1"/>
      <pageSetup paperSize="9" firstPageNumber="70"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32">
    <mergeCell ref="B93:D93"/>
    <mergeCell ref="B91:D91"/>
    <mergeCell ref="B92:D92"/>
    <mergeCell ref="B76:D76"/>
    <mergeCell ref="B78:D78"/>
    <mergeCell ref="B81:M81"/>
    <mergeCell ref="C84:N85"/>
    <mergeCell ref="B90:D90"/>
    <mergeCell ref="B77:D77"/>
    <mergeCell ref="B65:M65"/>
    <mergeCell ref="C68:N70"/>
    <mergeCell ref="B75:D75"/>
    <mergeCell ref="B30:D30"/>
    <mergeCell ref="B31:D31"/>
    <mergeCell ref="B32:D32"/>
    <mergeCell ref="B36:M36"/>
    <mergeCell ref="C39:N40"/>
    <mergeCell ref="B44:D44"/>
    <mergeCell ref="B45:D45"/>
    <mergeCell ref="B20:M20"/>
    <mergeCell ref="C23:N25"/>
    <mergeCell ref="B62:D62"/>
    <mergeCell ref="B50:M50"/>
    <mergeCell ref="C53:N54"/>
    <mergeCell ref="B59:D59"/>
    <mergeCell ref="B60:D60"/>
    <mergeCell ref="B61:D61"/>
    <mergeCell ref="B2:M2"/>
    <mergeCell ref="C5:N6"/>
    <mergeCell ref="B13:D13"/>
    <mergeCell ref="B14:D14"/>
    <mergeCell ref="B15:D15"/>
  </mergeCells>
  <phoneticPr fontId="17" type="noConversion"/>
  <hyperlinks>
    <hyperlink ref="B2:M2" r:id="rId2" display="Amphitryon " xr:uid="{00000000-0004-0000-1900-000000000000}"/>
    <hyperlink ref="B20:M20" r:id="rId3" display="Amalia" xr:uid="{00000000-0004-0000-1900-000001000000}"/>
    <hyperlink ref="B36:M36" r:id="rId4" display="Grande Bretagne" xr:uid="{00000000-0004-0000-1900-000002000000}"/>
    <hyperlink ref="B50:M50" r:id="rId5" display="John &amp; George" xr:uid="{00000000-0004-0000-1900-000003000000}"/>
    <hyperlink ref="B65:M65" r:id="rId6" display="Dolphin" xr:uid="{00000000-0004-0000-1900-000004000000}"/>
    <hyperlink ref="B81:M81" r:id="rId7" display="Rex" xr:uid="{00000000-0004-0000-1900-000005000000}"/>
  </hyperlinks>
  <printOptions horizontalCentered="1"/>
  <pageMargins left="0.28125" right="0.25" top="0.6692913385826772" bottom="0.70866141732283472" header="0.23622047244094491" footer="0.47244094488188981"/>
  <pageSetup paperSize="9" firstPageNumber="70" orientation="portrait" useFirstPageNumber="1" horizontalDpi="300" verticalDpi="300" r:id="rId8"/>
  <headerFooter scaleWithDoc="0" alignWithMargins="0">
    <oddHeader xml:space="preserve">&amp;C TARIFF 2026
 (EURO)
</oddHeader>
    <oddFooter>&amp;LAll rates are in EURO&amp;C
TARIFF 2026
&amp;RPage &amp;P</oddFooter>
  </headerFooter>
  <rowBreaks count="2" manualBreakCount="2">
    <brk id="46" max="16383" man="1"/>
    <brk id="96"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8"/>
  <dimension ref="A2:S140"/>
  <sheetViews>
    <sheetView showGridLines="0" view="pageLayout" zoomScaleNormal="100" workbookViewId="0">
      <selection activeCell="L114" sqref="L114"/>
    </sheetView>
  </sheetViews>
  <sheetFormatPr defaultRowHeight="12.75" x14ac:dyDescent="0.2"/>
  <cols>
    <col min="1" max="1" width="1.85546875" style="100" customWidth="1"/>
    <col min="2" max="3" width="10.7109375" style="100" customWidth="1"/>
    <col min="4" max="9" width="3.7109375" style="100" customWidth="1"/>
    <col min="10" max="14" width="10.7109375" style="100" customWidth="1"/>
    <col min="15" max="15" width="9.28515625" style="100" customWidth="1"/>
    <col min="16" max="25" width="2.7109375" style="100" customWidth="1"/>
    <col min="26" max="16384" width="9.140625" style="100"/>
  </cols>
  <sheetData>
    <row r="2" spans="1:14" ht="13.5" thickBot="1" x14ac:dyDescent="0.25"/>
    <row r="3" spans="1:14" x14ac:dyDescent="0.2">
      <c r="A3" s="20"/>
      <c r="B3" s="21"/>
      <c r="C3" s="21"/>
      <c r="D3" s="21"/>
      <c r="E3" s="22"/>
      <c r="F3" s="22"/>
      <c r="G3" s="22"/>
      <c r="H3" s="22"/>
      <c r="I3" s="22"/>
      <c r="J3" s="22"/>
      <c r="K3" s="22"/>
      <c r="L3" s="22"/>
      <c r="M3" s="22"/>
      <c r="N3" s="23"/>
    </row>
    <row r="4" spans="1:14" ht="15" x14ac:dyDescent="0.2">
      <c r="A4" s="24"/>
      <c r="B4" s="413" t="s">
        <v>1699</v>
      </c>
      <c r="C4" s="414"/>
      <c r="D4" s="414"/>
      <c r="E4" s="414"/>
      <c r="F4" s="414"/>
      <c r="G4" s="414"/>
      <c r="H4" s="414"/>
      <c r="I4" s="414"/>
      <c r="J4" s="414"/>
      <c r="K4" s="414"/>
      <c r="L4" s="414"/>
      <c r="M4" s="415"/>
      <c r="N4" s="25" t="s">
        <v>91</v>
      </c>
    </row>
    <row r="5" spans="1:14" x14ac:dyDescent="0.2">
      <c r="A5" s="24"/>
      <c r="B5" s="26" t="s">
        <v>428</v>
      </c>
      <c r="C5" s="15" t="s">
        <v>1700</v>
      </c>
      <c r="D5" s="15"/>
      <c r="E5" s="16"/>
      <c r="F5" s="16"/>
      <c r="G5" s="16"/>
      <c r="H5" s="16"/>
      <c r="I5" s="16"/>
      <c r="J5" s="16"/>
      <c r="K5" s="16"/>
      <c r="L5" s="16"/>
      <c r="M5" s="16"/>
      <c r="N5" s="27"/>
    </row>
    <row r="6" spans="1:14" x14ac:dyDescent="0.2">
      <c r="A6" s="24"/>
      <c r="B6" s="26" t="s">
        <v>429</v>
      </c>
      <c r="C6" s="15" t="s">
        <v>1673</v>
      </c>
      <c r="D6" s="15"/>
      <c r="E6" s="16"/>
      <c r="F6" s="16"/>
      <c r="G6" s="16"/>
      <c r="H6" s="16"/>
      <c r="I6" s="16"/>
      <c r="J6" s="16"/>
      <c r="K6" s="16"/>
      <c r="L6" s="16"/>
      <c r="M6" s="16"/>
      <c r="N6" s="27"/>
    </row>
    <row r="7" spans="1:14" x14ac:dyDescent="0.2">
      <c r="A7" s="24"/>
      <c r="B7" s="26" t="s">
        <v>427</v>
      </c>
      <c r="C7" s="416" t="s">
        <v>1702</v>
      </c>
      <c r="D7" s="416"/>
      <c r="E7" s="416"/>
      <c r="F7" s="416"/>
      <c r="G7" s="416"/>
      <c r="H7" s="416"/>
      <c r="I7" s="416"/>
      <c r="J7" s="416"/>
      <c r="K7" s="416"/>
      <c r="L7" s="416"/>
      <c r="M7" s="416"/>
      <c r="N7" s="417"/>
    </row>
    <row r="8" spans="1:14" x14ac:dyDescent="0.2">
      <c r="A8" s="24"/>
      <c r="B8" s="15"/>
      <c r="C8" s="416"/>
      <c r="D8" s="416"/>
      <c r="E8" s="416"/>
      <c r="F8" s="416"/>
      <c r="G8" s="416"/>
      <c r="H8" s="416"/>
      <c r="I8" s="416"/>
      <c r="J8" s="416"/>
      <c r="K8" s="416"/>
      <c r="L8" s="416"/>
      <c r="M8" s="416"/>
      <c r="N8" s="417"/>
    </row>
    <row r="9" spans="1:14" x14ac:dyDescent="0.2">
      <c r="A9" s="24"/>
      <c r="B9" s="26" t="s">
        <v>426</v>
      </c>
      <c r="C9" s="15" t="s">
        <v>1701</v>
      </c>
      <c r="D9" s="15"/>
      <c r="E9" s="16"/>
      <c r="F9" s="16"/>
      <c r="G9" s="16"/>
      <c r="H9" s="16"/>
      <c r="I9" s="16"/>
      <c r="J9" s="16"/>
      <c r="K9" s="16"/>
      <c r="L9" s="16"/>
      <c r="M9" s="16"/>
      <c r="N9" s="27"/>
    </row>
    <row r="10" spans="1:14" ht="13.5" thickBot="1" x14ac:dyDescent="0.25">
      <c r="A10" s="28"/>
      <c r="B10" s="26" t="s">
        <v>430</v>
      </c>
      <c r="C10" s="29"/>
      <c r="D10" s="29"/>
      <c r="E10" s="30"/>
      <c r="F10" s="30"/>
      <c r="G10" s="30"/>
      <c r="H10" s="30"/>
      <c r="I10" s="30"/>
      <c r="J10" s="30"/>
      <c r="K10" s="30"/>
      <c r="L10" s="30"/>
      <c r="M10" s="30"/>
      <c r="N10" s="31"/>
    </row>
    <row r="11" spans="1:14" x14ac:dyDescent="0.2">
      <c r="A11" s="24"/>
      <c r="B11" s="21" t="s">
        <v>263</v>
      </c>
      <c r="C11" s="15"/>
      <c r="D11" s="15"/>
      <c r="E11" s="16"/>
      <c r="F11" s="16"/>
      <c r="G11" s="16"/>
      <c r="H11" s="16"/>
      <c r="I11" s="16"/>
      <c r="J11" s="58"/>
      <c r="K11" s="55" t="s">
        <v>1565</v>
      </c>
      <c r="L11" s="55"/>
      <c r="M11" s="55"/>
      <c r="N11" s="55"/>
    </row>
    <row r="12" spans="1:14" ht="13.5" thickBot="1" x14ac:dyDescent="0.25">
      <c r="A12" s="28"/>
      <c r="B12" s="29"/>
      <c r="C12" s="29"/>
      <c r="D12" s="29"/>
      <c r="E12" s="30"/>
      <c r="F12" s="30"/>
      <c r="G12" s="30"/>
      <c r="H12" s="30"/>
      <c r="I12" s="30"/>
      <c r="J12" s="44" t="s">
        <v>1930</v>
      </c>
      <c r="K12" s="36" t="s">
        <v>832</v>
      </c>
      <c r="L12" s="36" t="s">
        <v>188</v>
      </c>
      <c r="M12" s="36"/>
      <c r="N12" s="36"/>
    </row>
    <row r="13" spans="1:14" x14ac:dyDescent="0.2">
      <c r="A13" s="20"/>
      <c r="B13" s="412" t="s">
        <v>67</v>
      </c>
      <c r="C13" s="412"/>
      <c r="D13" s="412"/>
      <c r="E13" s="22"/>
      <c r="F13" s="22" t="s">
        <v>1180</v>
      </c>
      <c r="G13" s="22" t="s">
        <v>68</v>
      </c>
      <c r="H13" s="22" t="s">
        <v>702</v>
      </c>
      <c r="I13" s="16"/>
      <c r="J13" s="66">
        <f>110/ATHENS!O1*ATHENS!O2</f>
        <v>224.48979591836735</v>
      </c>
      <c r="K13" s="66">
        <f>150/ATHENS!O1*ATHENS!O2</f>
        <v>306.12244897959187</v>
      </c>
      <c r="L13" s="40">
        <f>180/ATHENS!O1*ATHENS!O2</f>
        <v>367.34693877551024</v>
      </c>
      <c r="M13" s="38"/>
      <c r="N13" s="38"/>
    </row>
    <row r="14" spans="1:14" x14ac:dyDescent="0.2">
      <c r="A14" s="24"/>
      <c r="B14" s="411" t="s">
        <v>67</v>
      </c>
      <c r="C14" s="411"/>
      <c r="D14" s="411"/>
      <c r="E14" s="16"/>
      <c r="F14" s="16" t="s">
        <v>1181</v>
      </c>
      <c r="G14" s="16" t="s">
        <v>68</v>
      </c>
      <c r="H14" s="16" t="s">
        <v>702</v>
      </c>
      <c r="I14" s="16"/>
      <c r="J14" s="66">
        <f>60/ATHENS!O1*ATHENS!O2</f>
        <v>122.44897959183673</v>
      </c>
      <c r="K14" s="66">
        <f>85/ATHENS!O1*ATHENS!O2</f>
        <v>173.46938775510205</v>
      </c>
      <c r="L14" s="40">
        <f>100/ATHENS!O1*ATHENS!O2</f>
        <v>204.08163265306123</v>
      </c>
      <c r="M14" s="40"/>
      <c r="N14" s="40"/>
    </row>
    <row r="15" spans="1:14" x14ac:dyDescent="0.2">
      <c r="A15" s="24"/>
      <c r="B15" s="59" t="s">
        <v>67</v>
      </c>
      <c r="C15" s="15"/>
      <c r="D15" s="15"/>
      <c r="E15" s="16"/>
      <c r="F15" s="16" t="s">
        <v>1182</v>
      </c>
      <c r="G15" s="16" t="s">
        <v>68</v>
      </c>
      <c r="H15" s="16" t="s">
        <v>702</v>
      </c>
      <c r="I15" s="16"/>
      <c r="J15" s="66">
        <f>56/ATHENS!O1*ATHENS!O2</f>
        <v>114.28571428571429</v>
      </c>
      <c r="K15" s="66">
        <f>79.5/ATHENS!O1*ATHENS!O2</f>
        <v>162.24489795918367</v>
      </c>
      <c r="L15" s="40">
        <f>93.5/ATHENS!O1*ATHENS!O2</f>
        <v>190.81632653061226</v>
      </c>
      <c r="M15" s="40"/>
      <c r="N15" s="40"/>
    </row>
    <row r="16" spans="1:14" ht="13.5" thickBot="1" x14ac:dyDescent="0.25">
      <c r="A16" s="28"/>
      <c r="B16" s="418" t="s">
        <v>902</v>
      </c>
      <c r="C16" s="418"/>
      <c r="D16" s="418"/>
      <c r="E16" s="30"/>
      <c r="F16" s="80"/>
      <c r="G16" s="80"/>
      <c r="H16" s="30" t="s">
        <v>702</v>
      </c>
      <c r="I16" s="30"/>
      <c r="J16" s="67">
        <f>25/ATHENS!O1*ATHENS!O2</f>
        <v>51.020408163265309</v>
      </c>
      <c r="K16" s="67">
        <f>25/ATHENS!O1*ATHENS!O2</f>
        <v>51.020408163265309</v>
      </c>
      <c r="L16" s="42">
        <f>25/ATHENS!O1*ATHENS!O2</f>
        <v>51.020408163265309</v>
      </c>
      <c r="M16" s="42"/>
      <c r="N16" s="42"/>
    </row>
    <row r="18" spans="1:19" ht="13.5" thickBot="1" x14ac:dyDescent="0.25"/>
    <row r="19" spans="1:19" x14ac:dyDescent="0.2">
      <c r="A19" s="101"/>
      <c r="B19" s="102"/>
      <c r="C19" s="102"/>
      <c r="D19" s="102"/>
      <c r="E19" s="103"/>
      <c r="F19" s="103"/>
      <c r="G19" s="103"/>
      <c r="H19" s="103"/>
      <c r="I19" s="103"/>
      <c r="J19" s="103"/>
      <c r="K19" s="103"/>
      <c r="L19" s="103"/>
      <c r="M19" s="103"/>
      <c r="N19" s="104"/>
      <c r="Q19" s="116"/>
      <c r="R19" s="116"/>
      <c r="S19" s="116"/>
    </row>
    <row r="20" spans="1:19" ht="15" x14ac:dyDescent="0.2">
      <c r="A20" s="105"/>
      <c r="B20" s="437" t="s">
        <v>619</v>
      </c>
      <c r="C20" s="438"/>
      <c r="D20" s="438"/>
      <c r="E20" s="438"/>
      <c r="F20" s="438"/>
      <c r="G20" s="438"/>
      <c r="H20" s="438"/>
      <c r="I20" s="438"/>
      <c r="J20" s="438"/>
      <c r="K20" s="438"/>
      <c r="L20" s="438"/>
      <c r="M20" s="439"/>
      <c r="N20" s="106" t="s">
        <v>96</v>
      </c>
      <c r="Q20" s="116"/>
      <c r="R20" s="116"/>
      <c r="S20" s="116"/>
    </row>
    <row r="21" spans="1:19" x14ac:dyDescent="0.2">
      <c r="A21" s="105"/>
      <c r="B21" s="107" t="s">
        <v>428</v>
      </c>
      <c r="C21" s="98" t="s">
        <v>620</v>
      </c>
      <c r="D21" s="98"/>
      <c r="E21" s="99"/>
      <c r="F21" s="99"/>
      <c r="G21" s="99"/>
      <c r="H21" s="99"/>
      <c r="I21" s="99"/>
      <c r="J21" s="99"/>
      <c r="K21" s="99"/>
      <c r="L21" s="99"/>
      <c r="M21" s="99"/>
      <c r="N21" s="90"/>
      <c r="Q21" s="116"/>
      <c r="R21" s="116"/>
      <c r="S21" s="116"/>
    </row>
    <row r="22" spans="1:19" x14ac:dyDescent="0.2">
      <c r="A22" s="105"/>
      <c r="B22" s="107" t="s">
        <v>429</v>
      </c>
      <c r="C22" s="98" t="s">
        <v>621</v>
      </c>
      <c r="D22" s="98"/>
      <c r="E22" s="99"/>
      <c r="F22" s="99"/>
      <c r="G22" s="99"/>
      <c r="H22" s="99"/>
      <c r="I22" s="99"/>
      <c r="J22" s="99"/>
      <c r="K22" s="99"/>
      <c r="L22" s="99"/>
      <c r="M22" s="99"/>
      <c r="N22" s="90"/>
      <c r="Q22" s="116"/>
      <c r="R22" s="116"/>
      <c r="S22" s="116"/>
    </row>
    <row r="23" spans="1:19" x14ac:dyDescent="0.2">
      <c r="A23" s="105"/>
      <c r="B23" s="107" t="s">
        <v>427</v>
      </c>
      <c r="C23" s="455" t="s">
        <v>1395</v>
      </c>
      <c r="D23" s="455"/>
      <c r="E23" s="455"/>
      <c r="F23" s="455"/>
      <c r="G23" s="455"/>
      <c r="H23" s="455"/>
      <c r="I23" s="455"/>
      <c r="J23" s="455"/>
      <c r="K23" s="455"/>
      <c r="L23" s="455"/>
      <c r="M23" s="455"/>
      <c r="N23" s="456"/>
      <c r="Q23" s="116"/>
      <c r="R23" s="116"/>
      <c r="S23" s="116"/>
    </row>
    <row r="24" spans="1:19" ht="13.5" thickBot="1" x14ac:dyDescent="0.25">
      <c r="A24" s="105"/>
      <c r="B24" s="98"/>
      <c r="C24" s="455"/>
      <c r="D24" s="455"/>
      <c r="E24" s="455"/>
      <c r="F24" s="455"/>
      <c r="G24" s="455"/>
      <c r="H24" s="455"/>
      <c r="I24" s="455"/>
      <c r="J24" s="455"/>
      <c r="K24" s="455"/>
      <c r="L24" s="455"/>
      <c r="M24" s="455"/>
      <c r="N24" s="456"/>
      <c r="Q24" s="116"/>
      <c r="R24" s="116"/>
      <c r="S24" s="116"/>
    </row>
    <row r="25" spans="1:19" x14ac:dyDescent="0.2">
      <c r="A25" s="101"/>
      <c r="B25" s="102" t="s">
        <v>263</v>
      </c>
      <c r="C25" s="102"/>
      <c r="D25" s="102"/>
      <c r="E25" s="103"/>
      <c r="F25" s="103"/>
      <c r="G25" s="103"/>
      <c r="H25" s="103"/>
      <c r="I25" s="103"/>
      <c r="J25" s="114" t="s">
        <v>758</v>
      </c>
      <c r="K25" s="113" t="s">
        <v>279</v>
      </c>
      <c r="L25" s="113"/>
      <c r="M25" s="113"/>
      <c r="N25" s="113"/>
      <c r="Q25" s="116"/>
      <c r="R25" s="116"/>
      <c r="S25" s="116"/>
    </row>
    <row r="26" spans="1:19" ht="13.5" thickBot="1" x14ac:dyDescent="0.25">
      <c r="A26" s="108"/>
      <c r="B26" s="109"/>
      <c r="C26" s="109"/>
      <c r="D26" s="109"/>
      <c r="E26" s="110"/>
      <c r="F26" s="110"/>
      <c r="G26" s="110"/>
      <c r="H26" s="110"/>
      <c r="I26" s="110"/>
      <c r="J26" s="112" t="s">
        <v>481</v>
      </c>
      <c r="K26" s="94" t="s">
        <v>832</v>
      </c>
      <c r="L26" s="94" t="s">
        <v>86</v>
      </c>
      <c r="M26" s="94" t="s">
        <v>830</v>
      </c>
      <c r="N26" s="94"/>
      <c r="Q26" s="116"/>
      <c r="R26" s="116"/>
      <c r="S26" s="116"/>
    </row>
    <row r="27" spans="1:19" x14ac:dyDescent="0.2">
      <c r="A27" s="101"/>
      <c r="B27" s="448" t="s">
        <v>67</v>
      </c>
      <c r="C27" s="448"/>
      <c r="D27" s="448"/>
      <c r="E27" s="103"/>
      <c r="F27" s="103" t="s">
        <v>1180</v>
      </c>
      <c r="G27" s="103" t="s">
        <v>68</v>
      </c>
      <c r="H27" s="103" t="s">
        <v>702</v>
      </c>
      <c r="I27" s="103"/>
      <c r="J27" s="89">
        <f>75/ATHENS!O1*ATHENS!O2</f>
        <v>153.06122448979593</v>
      </c>
      <c r="K27" s="89">
        <f>100/ATHENS!O1*ATHENS!O2</f>
        <v>204.08163265306123</v>
      </c>
      <c r="L27" s="89">
        <f>120/ATHENS!O1*ATHENS!O2</f>
        <v>244.89795918367346</v>
      </c>
      <c r="M27" s="113">
        <f>175/ATHENS!O1*ATHENS!O2</f>
        <v>357.14285714285717</v>
      </c>
      <c r="N27" s="113"/>
      <c r="Q27" s="116"/>
      <c r="R27" s="116"/>
      <c r="S27" s="116"/>
    </row>
    <row r="28" spans="1:19" x14ac:dyDescent="0.2">
      <c r="A28" s="105"/>
      <c r="B28" s="443" t="s">
        <v>67</v>
      </c>
      <c r="C28" s="443"/>
      <c r="D28" s="443"/>
      <c r="E28" s="99"/>
      <c r="F28" s="99" t="s">
        <v>1181</v>
      </c>
      <c r="G28" s="99" t="s">
        <v>68</v>
      </c>
      <c r="H28" s="99" t="s">
        <v>702</v>
      </c>
      <c r="I28" s="99"/>
      <c r="J28" s="89">
        <f>45/ATHENS!O1*ATHENS!O2</f>
        <v>91.83673469387756</v>
      </c>
      <c r="K28" s="89">
        <f>60/ATHENS!O1*ATHENS!O2</f>
        <v>122.44897959183673</v>
      </c>
      <c r="L28" s="89">
        <f>75/ATHENS!O1*ATHENS!O2</f>
        <v>153.06122448979593</v>
      </c>
      <c r="M28" s="89">
        <f>100/ATHENS!O1*ATHENS!O2</f>
        <v>204.08163265306123</v>
      </c>
      <c r="N28" s="89"/>
      <c r="Q28" s="116"/>
      <c r="R28" s="116"/>
      <c r="S28" s="116"/>
    </row>
    <row r="29" spans="1:19" ht="13.5" thickBot="1" x14ac:dyDescent="0.25">
      <c r="A29" s="108"/>
      <c r="B29" s="436" t="s">
        <v>67</v>
      </c>
      <c r="C29" s="436"/>
      <c r="D29" s="436"/>
      <c r="E29" s="110"/>
      <c r="F29" s="110" t="s">
        <v>1182</v>
      </c>
      <c r="G29" s="110" t="s">
        <v>68</v>
      </c>
      <c r="H29" s="110" t="s">
        <v>702</v>
      </c>
      <c r="I29" s="110"/>
      <c r="J29" s="94">
        <f>40/ATHENS!O1*ATHENS!O2</f>
        <v>81.632653061224488</v>
      </c>
      <c r="K29" s="94">
        <f>50/ATHENS!O1*ATHENS!O2</f>
        <v>102.04081632653062</v>
      </c>
      <c r="L29" s="94">
        <f>60/ATHENS!O1*ATHENS!O2</f>
        <v>122.44897959183673</v>
      </c>
      <c r="M29" s="94">
        <f>78.5/ATHENS!O1*ATHENS!O2</f>
        <v>160.20408163265307</v>
      </c>
      <c r="N29" s="94"/>
      <c r="Q29" s="116"/>
      <c r="R29" s="116"/>
      <c r="S29" s="116"/>
    </row>
    <row r="30" spans="1:19" x14ac:dyDescent="0.2">
      <c r="A30" s="97"/>
      <c r="B30" s="98"/>
      <c r="C30" s="98"/>
      <c r="D30" s="98"/>
      <c r="E30" s="99"/>
      <c r="F30" s="99"/>
      <c r="G30" s="99"/>
      <c r="H30" s="99"/>
      <c r="I30" s="99"/>
      <c r="J30" s="99"/>
      <c r="K30" s="99"/>
      <c r="L30" s="99"/>
      <c r="M30" s="99"/>
      <c r="N30" s="99"/>
    </row>
    <row r="31" spans="1:19" ht="13.5" thickBot="1" x14ac:dyDescent="0.25">
      <c r="A31" s="97"/>
      <c r="B31" s="98"/>
      <c r="C31" s="98"/>
      <c r="D31" s="98"/>
      <c r="E31" s="99"/>
      <c r="F31" s="99"/>
      <c r="G31" s="99"/>
      <c r="H31" s="99"/>
      <c r="I31" s="99"/>
      <c r="J31" s="99"/>
      <c r="K31" s="99"/>
      <c r="L31" s="99"/>
      <c r="M31" s="99"/>
      <c r="N31" s="99"/>
    </row>
    <row r="32" spans="1:19" x14ac:dyDescent="0.2">
      <c r="A32" s="101"/>
      <c r="B32" s="102"/>
      <c r="C32" s="102"/>
      <c r="D32" s="102"/>
      <c r="E32" s="103"/>
      <c r="F32" s="103"/>
      <c r="G32" s="103"/>
      <c r="H32" s="103"/>
      <c r="I32" s="103"/>
      <c r="J32" s="103"/>
      <c r="K32" s="103"/>
      <c r="L32" s="103"/>
      <c r="M32" s="103"/>
      <c r="N32" s="104"/>
    </row>
    <row r="33" spans="1:14" ht="15" x14ac:dyDescent="0.2">
      <c r="A33" s="105"/>
      <c r="B33" s="437" t="s">
        <v>350</v>
      </c>
      <c r="C33" s="438"/>
      <c r="D33" s="438"/>
      <c r="E33" s="438"/>
      <c r="F33" s="438"/>
      <c r="G33" s="438"/>
      <c r="H33" s="438"/>
      <c r="I33" s="438"/>
      <c r="J33" s="438"/>
      <c r="K33" s="438"/>
      <c r="L33" s="438"/>
      <c r="M33" s="439"/>
      <c r="N33" s="106" t="s">
        <v>96</v>
      </c>
    </row>
    <row r="34" spans="1:14" x14ac:dyDescent="0.2">
      <c r="A34" s="105"/>
      <c r="B34" s="107" t="s">
        <v>428</v>
      </c>
      <c r="C34" s="98" t="s">
        <v>1333</v>
      </c>
      <c r="D34" s="98"/>
      <c r="E34" s="99"/>
      <c r="F34" s="99"/>
      <c r="G34" s="99"/>
      <c r="H34" s="99"/>
      <c r="I34" s="99"/>
      <c r="J34" s="99"/>
      <c r="K34" s="99"/>
      <c r="L34" s="99"/>
      <c r="M34" s="99"/>
      <c r="N34" s="90"/>
    </row>
    <row r="35" spans="1:14" x14ac:dyDescent="0.2">
      <c r="A35" s="105"/>
      <c r="B35" s="107" t="s">
        <v>429</v>
      </c>
      <c r="C35" s="98" t="s">
        <v>1298</v>
      </c>
      <c r="D35" s="98"/>
      <c r="E35" s="99"/>
      <c r="F35" s="99"/>
      <c r="G35" s="99"/>
      <c r="H35" s="99"/>
      <c r="I35" s="99"/>
      <c r="J35" s="99"/>
      <c r="K35" s="99"/>
      <c r="L35" s="99"/>
      <c r="M35" s="99"/>
      <c r="N35" s="90"/>
    </row>
    <row r="36" spans="1:14" x14ac:dyDescent="0.2">
      <c r="A36" s="105"/>
      <c r="B36" s="107" t="s">
        <v>427</v>
      </c>
      <c r="C36" s="455" t="s">
        <v>351</v>
      </c>
      <c r="D36" s="455"/>
      <c r="E36" s="455"/>
      <c r="F36" s="455"/>
      <c r="G36" s="455"/>
      <c r="H36" s="455"/>
      <c r="I36" s="455"/>
      <c r="J36" s="455"/>
      <c r="K36" s="455"/>
      <c r="L36" s="455"/>
      <c r="M36" s="455"/>
      <c r="N36" s="456"/>
    </row>
    <row r="37" spans="1:14" x14ac:dyDescent="0.2">
      <c r="A37" s="105"/>
      <c r="B37" s="107"/>
      <c r="C37" s="455"/>
      <c r="D37" s="455"/>
      <c r="E37" s="455"/>
      <c r="F37" s="455"/>
      <c r="G37" s="455"/>
      <c r="H37" s="455"/>
      <c r="I37" s="455"/>
      <c r="J37" s="455"/>
      <c r="K37" s="455"/>
      <c r="L37" s="455"/>
      <c r="M37" s="455"/>
      <c r="N37" s="456"/>
    </row>
    <row r="38" spans="1:14" x14ac:dyDescent="0.2">
      <c r="A38" s="105"/>
      <c r="B38" s="107"/>
      <c r="C38" s="455"/>
      <c r="D38" s="455"/>
      <c r="E38" s="455"/>
      <c r="F38" s="455"/>
      <c r="G38" s="455"/>
      <c r="H38" s="455"/>
      <c r="I38" s="455"/>
      <c r="J38" s="455"/>
      <c r="K38" s="455"/>
      <c r="L38" s="455"/>
      <c r="M38" s="455"/>
      <c r="N38" s="456"/>
    </row>
    <row r="39" spans="1:14" ht="13.5" thickBot="1" x14ac:dyDescent="0.25">
      <c r="A39" s="105"/>
      <c r="B39" s="98"/>
      <c r="C39" s="455"/>
      <c r="D39" s="455"/>
      <c r="E39" s="455"/>
      <c r="F39" s="455"/>
      <c r="G39" s="455"/>
      <c r="H39" s="455"/>
      <c r="I39" s="455"/>
      <c r="J39" s="455"/>
      <c r="K39" s="455"/>
      <c r="L39" s="455"/>
      <c r="M39" s="455"/>
      <c r="N39" s="456"/>
    </row>
    <row r="40" spans="1:14" x14ac:dyDescent="0.2">
      <c r="A40" s="101"/>
      <c r="B40" s="102" t="s">
        <v>263</v>
      </c>
      <c r="C40" s="102"/>
      <c r="D40" s="102"/>
      <c r="E40" s="103"/>
      <c r="F40" s="103"/>
      <c r="G40" s="103"/>
      <c r="H40" s="103"/>
      <c r="I40" s="103"/>
      <c r="J40" s="114" t="s">
        <v>2066</v>
      </c>
      <c r="K40" s="113" t="s">
        <v>175</v>
      </c>
      <c r="L40" s="113" t="s">
        <v>353</v>
      </c>
      <c r="M40" s="113"/>
      <c r="N40" s="113"/>
    </row>
    <row r="41" spans="1:14" ht="13.5" thickBot="1" x14ac:dyDescent="0.25">
      <c r="A41" s="108"/>
      <c r="B41" s="109"/>
      <c r="C41" s="109"/>
      <c r="D41" s="109"/>
      <c r="E41" s="110"/>
      <c r="F41" s="110"/>
      <c r="G41" s="110"/>
      <c r="H41" s="110"/>
      <c r="I41" s="110"/>
      <c r="J41" s="112" t="s">
        <v>2067</v>
      </c>
      <c r="K41" s="94" t="s">
        <v>352</v>
      </c>
      <c r="L41" s="94" t="s">
        <v>354</v>
      </c>
      <c r="M41" s="94" t="s">
        <v>2068</v>
      </c>
      <c r="N41" s="94"/>
    </row>
    <row r="42" spans="1:14" x14ac:dyDescent="0.2">
      <c r="A42" s="101"/>
      <c r="B42" s="448" t="s">
        <v>67</v>
      </c>
      <c r="C42" s="448"/>
      <c r="D42" s="448"/>
      <c r="E42" s="103"/>
      <c r="F42" s="103" t="s">
        <v>1180</v>
      </c>
      <c r="G42" s="103" t="s">
        <v>68</v>
      </c>
      <c r="H42" s="103" t="s">
        <v>702</v>
      </c>
      <c r="I42" s="103"/>
      <c r="J42" s="89">
        <f>56.5/ATHENS!O1*ATHENS!O2</f>
        <v>115.30612244897959</v>
      </c>
      <c r="K42" s="89">
        <f>80.5/ATHENS!O1*ATHENS!O2</f>
        <v>164.28571428571428</v>
      </c>
      <c r="L42" s="89">
        <f>106.9/ATHENS!O1*ATHENS!O2</f>
        <v>218.16326530612247</v>
      </c>
      <c r="M42" s="113">
        <f>124.5/ATHENS!O1*ATHENS!O2</f>
        <v>254.08163265306123</v>
      </c>
      <c r="N42" s="113"/>
    </row>
    <row r="43" spans="1:14" x14ac:dyDescent="0.2">
      <c r="A43" s="105"/>
      <c r="B43" s="443" t="s">
        <v>67</v>
      </c>
      <c r="C43" s="443"/>
      <c r="D43" s="443"/>
      <c r="E43" s="99"/>
      <c r="F43" s="99" t="s">
        <v>1181</v>
      </c>
      <c r="G43" s="99" t="s">
        <v>68</v>
      </c>
      <c r="H43" s="99" t="s">
        <v>702</v>
      </c>
      <c r="I43" s="99"/>
      <c r="J43" s="89">
        <f>36.6/ATHENS!O1*ATHENS!O2</f>
        <v>74.693877551020407</v>
      </c>
      <c r="K43" s="89">
        <f>48.5/ATHENS!O1*ATHENS!O2</f>
        <v>98.979591836734699</v>
      </c>
      <c r="L43" s="89">
        <f>60.7/ATHENS!O1*ATHENS!O2</f>
        <v>123.87755102040818</v>
      </c>
      <c r="M43" s="89">
        <f>77.5/ATHENS!O1*ATHENS!O2</f>
        <v>158.16326530612244</v>
      </c>
      <c r="N43" s="89"/>
    </row>
    <row r="44" spans="1:14" ht="13.5" thickBot="1" x14ac:dyDescent="0.25">
      <c r="A44" s="108"/>
      <c r="B44" s="436" t="s">
        <v>67</v>
      </c>
      <c r="C44" s="436"/>
      <c r="D44" s="436"/>
      <c r="E44" s="110"/>
      <c r="F44" s="110" t="s">
        <v>1182</v>
      </c>
      <c r="G44" s="110" t="s">
        <v>68</v>
      </c>
      <c r="H44" s="110" t="s">
        <v>702</v>
      </c>
      <c r="I44" s="110"/>
      <c r="J44" s="94">
        <f>31.5/ATHENS!O1*ATHENS!O2</f>
        <v>64.285714285714292</v>
      </c>
      <c r="K44" s="94">
        <f>39.8/ATHENS!O1*ATHENS!O2</f>
        <v>81.224489795918359</v>
      </c>
      <c r="L44" s="94">
        <f>54.5/ATHENS!O1*ATHENS!O2</f>
        <v>111.22448979591837</v>
      </c>
      <c r="M44" s="94">
        <f>97.5/ATHENS!O1*ATHENS!O2</f>
        <v>198.9795918367347</v>
      </c>
      <c r="N44" s="94"/>
    </row>
    <row r="45" spans="1:14" x14ac:dyDescent="0.2">
      <c r="A45" s="97"/>
      <c r="B45" s="98"/>
      <c r="C45" s="98"/>
      <c r="D45" s="98"/>
      <c r="E45" s="99"/>
      <c r="F45" s="99"/>
      <c r="G45" s="99"/>
      <c r="H45" s="99"/>
      <c r="I45" s="99"/>
      <c r="J45" s="99"/>
      <c r="K45" s="99"/>
      <c r="L45" s="99"/>
      <c r="M45" s="99"/>
      <c r="N45" s="99"/>
    </row>
    <row r="46" spans="1:14" x14ac:dyDescent="0.2">
      <c r="A46" s="97"/>
      <c r="B46" s="98"/>
      <c r="C46" s="98"/>
      <c r="D46" s="98"/>
      <c r="E46" s="99"/>
      <c r="F46" s="99"/>
      <c r="G46" s="99"/>
      <c r="H46" s="99"/>
      <c r="I46" s="99"/>
      <c r="J46" s="99"/>
      <c r="K46" s="99"/>
      <c r="L46" s="99"/>
      <c r="M46" s="99"/>
      <c r="N46" s="99"/>
    </row>
    <row r="47" spans="1:14" x14ac:dyDescent="0.2">
      <c r="A47" s="97"/>
      <c r="B47" s="98"/>
      <c r="C47" s="98"/>
      <c r="D47" s="98"/>
      <c r="E47" s="99"/>
      <c r="F47" s="99"/>
      <c r="G47" s="99"/>
      <c r="H47" s="99"/>
      <c r="I47" s="99"/>
      <c r="J47" s="99"/>
      <c r="K47" s="99"/>
      <c r="L47" s="99"/>
      <c r="M47" s="99"/>
      <c r="N47" s="99"/>
    </row>
    <row r="48" spans="1:14" x14ac:dyDescent="0.2">
      <c r="A48" s="97"/>
      <c r="B48" s="98"/>
      <c r="C48" s="98"/>
      <c r="D48" s="98"/>
      <c r="E48" s="99"/>
      <c r="F48" s="99"/>
      <c r="G48" s="99"/>
      <c r="H48" s="99"/>
      <c r="I48" s="99"/>
      <c r="J48" s="99"/>
      <c r="K48" s="99"/>
      <c r="L48" s="99"/>
      <c r="M48" s="99"/>
      <c r="N48" s="99"/>
    </row>
    <row r="49" spans="1:14" x14ac:dyDescent="0.2">
      <c r="A49" s="97"/>
      <c r="B49" s="98"/>
      <c r="C49" s="98"/>
      <c r="D49" s="98"/>
      <c r="E49" s="99"/>
      <c r="F49" s="99"/>
      <c r="G49" s="99"/>
      <c r="H49" s="99"/>
      <c r="I49" s="99"/>
      <c r="J49" s="99"/>
      <c r="K49" s="99"/>
      <c r="L49" s="99"/>
      <c r="M49" s="99"/>
      <c r="N49" s="99"/>
    </row>
    <row r="50" spans="1:14" x14ac:dyDescent="0.2">
      <c r="A50" s="97"/>
      <c r="B50" s="98"/>
      <c r="C50" s="98"/>
      <c r="D50" s="98"/>
      <c r="E50" s="99"/>
      <c r="F50" s="99"/>
      <c r="G50" s="99"/>
      <c r="H50" s="99"/>
      <c r="I50" s="99"/>
      <c r="J50" s="99"/>
      <c r="K50" s="99"/>
      <c r="L50" s="99"/>
      <c r="M50" s="99"/>
      <c r="N50" s="99"/>
    </row>
    <row r="51" spans="1:14" x14ac:dyDescent="0.2">
      <c r="A51" s="97"/>
      <c r="B51" s="98"/>
      <c r="C51" s="98"/>
      <c r="D51" s="98"/>
      <c r="E51" s="99"/>
      <c r="F51" s="99"/>
      <c r="G51" s="99"/>
      <c r="H51" s="99"/>
      <c r="I51" s="99"/>
      <c r="J51" s="99"/>
      <c r="K51" s="99"/>
      <c r="L51" s="99"/>
      <c r="M51" s="99"/>
      <c r="N51" s="99"/>
    </row>
    <row r="52" spans="1:14" x14ac:dyDescent="0.2">
      <c r="A52" s="97"/>
      <c r="B52" s="98"/>
      <c r="C52" s="98"/>
      <c r="D52" s="98"/>
      <c r="E52" s="99"/>
      <c r="F52" s="99"/>
      <c r="G52" s="99"/>
      <c r="H52" s="99"/>
      <c r="I52" s="99"/>
      <c r="J52" s="99"/>
      <c r="K52" s="99"/>
      <c r="L52" s="99"/>
      <c r="M52" s="99"/>
      <c r="N52" s="99"/>
    </row>
    <row r="53" spans="1:14" x14ac:dyDescent="0.2">
      <c r="A53" s="97"/>
      <c r="B53" s="98"/>
      <c r="C53" s="98"/>
      <c r="D53" s="98"/>
      <c r="E53" s="99"/>
      <c r="F53" s="99"/>
      <c r="G53" s="99"/>
      <c r="H53" s="99"/>
      <c r="I53" s="99"/>
      <c r="J53" s="99"/>
      <c r="K53" s="99"/>
      <c r="L53" s="99"/>
      <c r="M53" s="99"/>
      <c r="N53" s="99"/>
    </row>
    <row r="54" spans="1:14" x14ac:dyDescent="0.2">
      <c r="A54" s="97"/>
      <c r="B54" s="98"/>
      <c r="C54" s="98"/>
      <c r="D54" s="98"/>
      <c r="E54" s="99"/>
      <c r="F54" s="99"/>
      <c r="G54" s="99"/>
      <c r="H54" s="99"/>
      <c r="I54" s="99"/>
      <c r="J54" s="99"/>
      <c r="K54" s="99"/>
      <c r="L54" s="99"/>
      <c r="M54" s="99"/>
      <c r="N54" s="99"/>
    </row>
    <row r="55" spans="1:14" x14ac:dyDescent="0.2">
      <c r="A55" s="97"/>
      <c r="B55" s="98"/>
      <c r="C55" s="98"/>
      <c r="D55" s="98"/>
      <c r="E55" s="99"/>
      <c r="F55" s="99"/>
      <c r="G55" s="99"/>
      <c r="H55" s="99"/>
      <c r="I55" s="99"/>
      <c r="J55" s="99"/>
      <c r="K55" s="99"/>
      <c r="L55" s="99"/>
      <c r="M55" s="99"/>
      <c r="N55" s="99"/>
    </row>
    <row r="56" spans="1:14" x14ac:dyDescent="0.2">
      <c r="A56" s="97"/>
      <c r="B56" s="98"/>
      <c r="C56" s="98"/>
      <c r="D56" s="98"/>
      <c r="E56" s="99"/>
      <c r="F56" s="99"/>
      <c r="G56" s="99"/>
      <c r="H56" s="99"/>
      <c r="I56" s="99"/>
      <c r="J56" s="99"/>
      <c r="K56" s="99"/>
      <c r="L56" s="99"/>
      <c r="M56" s="99"/>
      <c r="N56" s="99"/>
    </row>
    <row r="57" spans="1:14" x14ac:dyDescent="0.2">
      <c r="A57" s="97"/>
      <c r="B57" s="98"/>
      <c r="C57" s="98"/>
      <c r="D57" s="98"/>
      <c r="E57" s="99"/>
      <c r="F57" s="99"/>
      <c r="G57" s="99"/>
      <c r="H57" s="99"/>
      <c r="I57" s="99"/>
      <c r="J57" s="99"/>
      <c r="K57" s="99"/>
      <c r="L57" s="99"/>
      <c r="M57" s="99"/>
      <c r="N57" s="99"/>
    </row>
    <row r="58" spans="1:14" x14ac:dyDescent="0.2">
      <c r="A58" s="97"/>
      <c r="B58" s="98"/>
      <c r="C58" s="98"/>
      <c r="D58" s="98"/>
      <c r="E58" s="99"/>
      <c r="F58" s="99"/>
      <c r="G58" s="99"/>
      <c r="H58" s="99"/>
      <c r="I58" s="99"/>
      <c r="J58" s="99"/>
      <c r="K58" s="99"/>
      <c r="L58" s="99"/>
      <c r="M58" s="99"/>
      <c r="N58" s="99"/>
    </row>
    <row r="59" spans="1:14" x14ac:dyDescent="0.2">
      <c r="A59" s="97"/>
      <c r="B59" s="98"/>
      <c r="C59" s="98"/>
      <c r="D59" s="98"/>
      <c r="E59" s="99"/>
      <c r="F59" s="99"/>
      <c r="G59" s="99"/>
      <c r="H59" s="99"/>
      <c r="I59" s="99"/>
      <c r="J59" s="99"/>
      <c r="K59" s="99"/>
      <c r="L59" s="99"/>
      <c r="M59" s="99"/>
      <c r="N59" s="99"/>
    </row>
    <row r="60" spans="1:14" ht="13.5" thickBot="1" x14ac:dyDescent="0.25">
      <c r="A60" s="97"/>
      <c r="B60" s="98"/>
      <c r="C60" s="98"/>
      <c r="D60" s="98"/>
      <c r="E60" s="99"/>
      <c r="F60" s="99"/>
      <c r="G60" s="99"/>
      <c r="H60" s="99"/>
      <c r="I60" s="99"/>
      <c r="J60" s="99"/>
      <c r="K60" s="99"/>
      <c r="L60" s="99"/>
      <c r="M60" s="99"/>
      <c r="N60" s="99"/>
    </row>
    <row r="61" spans="1:14" x14ac:dyDescent="0.2">
      <c r="A61" s="101"/>
      <c r="B61" s="102"/>
      <c r="C61" s="102"/>
      <c r="D61" s="102"/>
      <c r="E61" s="103"/>
      <c r="F61" s="103"/>
      <c r="G61" s="103"/>
      <c r="H61" s="103"/>
      <c r="I61" s="103"/>
      <c r="J61" s="103"/>
      <c r="K61" s="103"/>
      <c r="L61" s="103"/>
      <c r="M61" s="103"/>
      <c r="N61" s="104"/>
    </row>
    <row r="62" spans="1:14" ht="15" x14ac:dyDescent="0.2">
      <c r="A62" s="105"/>
      <c r="B62" s="437" t="s">
        <v>1199</v>
      </c>
      <c r="C62" s="438"/>
      <c r="D62" s="438"/>
      <c r="E62" s="438"/>
      <c r="F62" s="438"/>
      <c r="G62" s="438"/>
      <c r="H62" s="438"/>
      <c r="I62" s="438"/>
      <c r="J62" s="438"/>
      <c r="K62" s="438"/>
      <c r="L62" s="438"/>
      <c r="M62" s="439"/>
      <c r="N62" s="106" t="s">
        <v>96</v>
      </c>
    </row>
    <row r="63" spans="1:14" x14ac:dyDescent="0.2">
      <c r="A63" s="105"/>
      <c r="B63" s="107" t="s">
        <v>428</v>
      </c>
      <c r="C63" s="98" t="s">
        <v>561</v>
      </c>
      <c r="D63" s="98"/>
      <c r="E63" s="99"/>
      <c r="F63" s="99"/>
      <c r="G63" s="99"/>
      <c r="H63" s="99"/>
      <c r="I63" s="99"/>
      <c r="J63" s="99"/>
      <c r="K63" s="99"/>
      <c r="L63" s="99"/>
      <c r="M63" s="99"/>
      <c r="N63" s="90"/>
    </row>
    <row r="64" spans="1:14" x14ac:dyDescent="0.2">
      <c r="A64" s="105"/>
      <c r="B64" s="107" t="s">
        <v>429</v>
      </c>
      <c r="C64" s="98" t="s">
        <v>1300</v>
      </c>
      <c r="D64" s="98"/>
      <c r="E64" s="99"/>
      <c r="F64" s="99"/>
      <c r="G64" s="99"/>
      <c r="H64" s="99"/>
      <c r="I64" s="99"/>
      <c r="J64" s="99"/>
      <c r="K64" s="99"/>
      <c r="L64" s="99"/>
      <c r="M64" s="99"/>
      <c r="N64" s="90"/>
    </row>
    <row r="65" spans="1:14" x14ac:dyDescent="0.2">
      <c r="A65" s="105"/>
      <c r="B65" s="107" t="s">
        <v>427</v>
      </c>
      <c r="C65" s="455" t="s">
        <v>210</v>
      </c>
      <c r="D65" s="455"/>
      <c r="E65" s="455"/>
      <c r="F65" s="455"/>
      <c r="G65" s="455"/>
      <c r="H65" s="455"/>
      <c r="I65" s="455"/>
      <c r="J65" s="455"/>
      <c r="K65" s="455"/>
      <c r="L65" s="455"/>
      <c r="M65" s="455"/>
      <c r="N65" s="456"/>
    </row>
    <row r="66" spans="1:14" x14ac:dyDescent="0.2">
      <c r="A66" s="105"/>
      <c r="B66" s="107"/>
      <c r="C66" s="455"/>
      <c r="D66" s="455"/>
      <c r="E66" s="455"/>
      <c r="F66" s="455"/>
      <c r="G66" s="455"/>
      <c r="H66" s="455"/>
      <c r="I66" s="455"/>
      <c r="J66" s="455"/>
      <c r="K66" s="455"/>
      <c r="L66" s="455"/>
      <c r="M66" s="455"/>
      <c r="N66" s="456"/>
    </row>
    <row r="67" spans="1:14" x14ac:dyDescent="0.2">
      <c r="A67" s="105"/>
      <c r="B67" s="107"/>
      <c r="C67" s="455"/>
      <c r="D67" s="455"/>
      <c r="E67" s="455"/>
      <c r="F67" s="455"/>
      <c r="G67" s="455"/>
      <c r="H67" s="455"/>
      <c r="I67" s="455"/>
      <c r="J67" s="455"/>
      <c r="K67" s="455"/>
      <c r="L67" s="455"/>
      <c r="M67" s="455"/>
      <c r="N67" s="456"/>
    </row>
    <row r="68" spans="1:14" x14ac:dyDescent="0.2">
      <c r="A68" s="105"/>
      <c r="B68" s="107"/>
      <c r="C68" s="455"/>
      <c r="D68" s="455"/>
      <c r="E68" s="455"/>
      <c r="F68" s="455"/>
      <c r="G68" s="455"/>
      <c r="H68" s="455"/>
      <c r="I68" s="455"/>
      <c r="J68" s="455"/>
      <c r="K68" s="455"/>
      <c r="L68" s="455"/>
      <c r="M68" s="455"/>
      <c r="N68" s="456"/>
    </row>
    <row r="69" spans="1:14" x14ac:dyDescent="0.2">
      <c r="A69" s="105"/>
      <c r="B69" s="107"/>
      <c r="C69" s="455"/>
      <c r="D69" s="455"/>
      <c r="E69" s="455"/>
      <c r="F69" s="455"/>
      <c r="G69" s="455"/>
      <c r="H69" s="455"/>
      <c r="I69" s="455"/>
      <c r="J69" s="455"/>
      <c r="K69" s="455"/>
      <c r="L69" s="455"/>
      <c r="M69" s="455"/>
      <c r="N69" s="456"/>
    </row>
    <row r="70" spans="1:14" ht="13.5" thickBot="1" x14ac:dyDescent="0.25">
      <c r="A70" s="105"/>
      <c r="B70" s="98"/>
      <c r="C70" s="455"/>
      <c r="D70" s="455"/>
      <c r="E70" s="455"/>
      <c r="F70" s="455"/>
      <c r="G70" s="455"/>
      <c r="H70" s="455"/>
      <c r="I70" s="455"/>
      <c r="J70" s="455"/>
      <c r="K70" s="455"/>
      <c r="L70" s="455"/>
      <c r="M70" s="455"/>
      <c r="N70" s="456"/>
    </row>
    <row r="71" spans="1:14" x14ac:dyDescent="0.2">
      <c r="A71" s="101"/>
      <c r="B71" s="102" t="s">
        <v>263</v>
      </c>
      <c r="C71" s="102"/>
      <c r="D71" s="102"/>
      <c r="E71" s="103"/>
      <c r="F71" s="103"/>
      <c r="G71" s="103"/>
      <c r="H71" s="103"/>
      <c r="I71" s="103"/>
      <c r="J71" s="114" t="s">
        <v>211</v>
      </c>
      <c r="K71" s="113" t="s">
        <v>212</v>
      </c>
      <c r="L71" s="113"/>
      <c r="M71" s="113"/>
      <c r="N71" s="113"/>
    </row>
    <row r="72" spans="1:14" ht="13.5" thickBot="1" x14ac:dyDescent="0.25">
      <c r="A72" s="108"/>
      <c r="B72" s="109"/>
      <c r="C72" s="109"/>
      <c r="D72" s="109"/>
      <c r="E72" s="110"/>
      <c r="F72" s="110"/>
      <c r="G72" s="110"/>
      <c r="H72" s="110"/>
      <c r="I72" s="110"/>
      <c r="J72" s="112" t="s">
        <v>245</v>
      </c>
      <c r="K72" s="94" t="s">
        <v>482</v>
      </c>
      <c r="L72" s="94" t="s">
        <v>213</v>
      </c>
      <c r="M72" s="94"/>
      <c r="N72" s="94"/>
    </row>
    <row r="73" spans="1:14" x14ac:dyDescent="0.2">
      <c r="A73" s="101"/>
      <c r="B73" s="448" t="s">
        <v>67</v>
      </c>
      <c r="C73" s="448"/>
      <c r="D73" s="448"/>
      <c r="E73" s="103"/>
      <c r="F73" s="103" t="s">
        <v>1180</v>
      </c>
      <c r="G73" s="103" t="s">
        <v>68</v>
      </c>
      <c r="H73" s="103" t="s">
        <v>702</v>
      </c>
      <c r="I73" s="103"/>
      <c r="J73" s="89">
        <f>55/ATHENS!O1*ATHENS!O2</f>
        <v>112.24489795918367</v>
      </c>
      <c r="K73" s="89">
        <f>80/ATHENS!O1*ATHENS!O2</f>
        <v>163.26530612244898</v>
      </c>
      <c r="L73" s="89">
        <f>120/ATHENS!O1*ATHENS!O2</f>
        <v>244.89795918367346</v>
      </c>
      <c r="M73" s="113"/>
      <c r="N73" s="113"/>
    </row>
    <row r="74" spans="1:14" x14ac:dyDescent="0.2">
      <c r="A74" s="105"/>
      <c r="B74" s="443" t="s">
        <v>67</v>
      </c>
      <c r="C74" s="443"/>
      <c r="D74" s="443"/>
      <c r="E74" s="99"/>
      <c r="F74" s="99" t="s">
        <v>1181</v>
      </c>
      <c r="G74" s="99" t="s">
        <v>68</v>
      </c>
      <c r="H74" s="99" t="s">
        <v>702</v>
      </c>
      <c r="I74" s="99"/>
      <c r="J74" s="89">
        <f>37.5/ATHENS!O1*ATHENS!O2</f>
        <v>76.530612244897966</v>
      </c>
      <c r="K74" s="89">
        <f>57.5/ATHENS!O1*ATHENS!O2</f>
        <v>117.34693877551021</v>
      </c>
      <c r="L74" s="89">
        <f>71/ATHENS!O1*ATHENS!O2</f>
        <v>144.89795918367346</v>
      </c>
      <c r="M74" s="89"/>
      <c r="N74" s="89"/>
    </row>
    <row r="75" spans="1:14" ht="13.5" thickBot="1" x14ac:dyDescent="0.25">
      <c r="A75" s="108"/>
      <c r="B75" s="436" t="s">
        <v>67</v>
      </c>
      <c r="C75" s="436"/>
      <c r="D75" s="436"/>
      <c r="E75" s="110"/>
      <c r="F75" s="110" t="s">
        <v>1182</v>
      </c>
      <c r="G75" s="110" t="s">
        <v>68</v>
      </c>
      <c r="H75" s="110" t="s">
        <v>702</v>
      </c>
      <c r="I75" s="110"/>
      <c r="J75" s="94">
        <f>33.5/ATHENS!O1*ATHENS!O2</f>
        <v>68.367346938775512</v>
      </c>
      <c r="K75" s="94">
        <f>51.6/ATHENS!O1*ATHENS!O2</f>
        <v>105.30612244897959</v>
      </c>
      <c r="L75" s="94">
        <f>61.6/ATHENS!O1*ATHENS!O2</f>
        <v>125.71428571428572</v>
      </c>
      <c r="M75" s="94"/>
      <c r="N75" s="94"/>
    </row>
    <row r="76" spans="1:14" ht="13.5" thickBot="1" x14ac:dyDescent="0.25">
      <c r="A76" s="97"/>
      <c r="B76" s="98"/>
      <c r="C76" s="98"/>
      <c r="D76" s="98"/>
      <c r="E76" s="99"/>
      <c r="F76" s="99"/>
      <c r="G76" s="99"/>
      <c r="H76" s="99"/>
      <c r="I76" s="99"/>
      <c r="J76" s="99"/>
      <c r="K76" s="99"/>
      <c r="L76" s="99"/>
      <c r="M76" s="99"/>
      <c r="N76" s="99"/>
    </row>
    <row r="77" spans="1:14" x14ac:dyDescent="0.2">
      <c r="A77" s="20"/>
      <c r="B77" s="21"/>
      <c r="C77" s="21"/>
      <c r="D77" s="21"/>
      <c r="E77" s="22"/>
      <c r="F77" s="22"/>
      <c r="G77" s="22"/>
      <c r="H77" s="22"/>
      <c r="I77" s="22"/>
      <c r="J77" s="22"/>
      <c r="K77" s="22"/>
      <c r="L77" s="22"/>
      <c r="M77" s="22"/>
      <c r="N77" s="23"/>
    </row>
    <row r="78" spans="1:14" ht="15" x14ac:dyDescent="0.2">
      <c r="A78" s="24"/>
      <c r="B78" s="413" t="s">
        <v>1703</v>
      </c>
      <c r="C78" s="414"/>
      <c r="D78" s="414"/>
      <c r="E78" s="414"/>
      <c r="F78" s="414"/>
      <c r="G78" s="414"/>
      <c r="H78" s="414"/>
      <c r="I78" s="414"/>
      <c r="J78" s="414"/>
      <c r="K78" s="414"/>
      <c r="L78" s="414"/>
      <c r="M78" s="415"/>
      <c r="N78" s="25" t="s">
        <v>664</v>
      </c>
    </row>
    <row r="79" spans="1:14" x14ac:dyDescent="0.2">
      <c r="A79" s="24"/>
      <c r="B79" s="26" t="s">
        <v>428</v>
      </c>
      <c r="C79" s="15" t="s">
        <v>1705</v>
      </c>
      <c r="D79" s="15"/>
      <c r="E79" s="16"/>
      <c r="F79" s="16"/>
      <c r="G79" s="16"/>
      <c r="H79" s="16"/>
      <c r="I79" s="16"/>
      <c r="J79" s="16"/>
      <c r="K79" s="16"/>
      <c r="L79" s="16"/>
      <c r="M79" s="16"/>
      <c r="N79" s="27"/>
    </row>
    <row r="80" spans="1:14" x14ac:dyDescent="0.2">
      <c r="A80" s="24"/>
      <c r="B80" s="26" t="s">
        <v>429</v>
      </c>
      <c r="C80" s="15" t="s">
        <v>1673</v>
      </c>
      <c r="D80" s="15"/>
      <c r="E80" s="16"/>
      <c r="F80" s="16"/>
      <c r="G80" s="16"/>
      <c r="H80" s="16"/>
      <c r="I80" s="16"/>
      <c r="J80" s="16"/>
      <c r="K80" s="16"/>
      <c r="L80" s="16"/>
      <c r="M80" s="16"/>
      <c r="N80" s="27"/>
    </row>
    <row r="81" spans="1:14" x14ac:dyDescent="0.2">
      <c r="A81" s="24"/>
      <c r="B81" s="26" t="s">
        <v>427</v>
      </c>
      <c r="C81" s="416" t="s">
        <v>1704</v>
      </c>
      <c r="D81" s="416"/>
      <c r="E81" s="416"/>
      <c r="F81" s="416"/>
      <c r="G81" s="416"/>
      <c r="H81" s="416"/>
      <c r="I81" s="416"/>
      <c r="J81" s="416"/>
      <c r="K81" s="416"/>
      <c r="L81" s="416"/>
      <c r="M81" s="416"/>
      <c r="N81" s="417"/>
    </row>
    <row r="82" spans="1:14" x14ac:dyDescent="0.2">
      <c r="A82" s="24"/>
      <c r="B82" s="15"/>
      <c r="C82" s="416"/>
      <c r="D82" s="416"/>
      <c r="E82" s="416"/>
      <c r="F82" s="416"/>
      <c r="G82" s="416"/>
      <c r="H82" s="416"/>
      <c r="I82" s="416"/>
      <c r="J82" s="416"/>
      <c r="K82" s="416"/>
      <c r="L82" s="416"/>
      <c r="M82" s="416"/>
      <c r="N82" s="417"/>
    </row>
    <row r="83" spans="1:14" x14ac:dyDescent="0.2">
      <c r="A83" s="24"/>
      <c r="B83" s="26" t="s">
        <v>426</v>
      </c>
      <c r="C83" s="15" t="s">
        <v>1705</v>
      </c>
      <c r="D83" s="15"/>
      <c r="E83" s="16"/>
      <c r="F83" s="16"/>
      <c r="G83" s="16"/>
      <c r="H83" s="16"/>
      <c r="I83" s="16"/>
      <c r="J83" s="16"/>
      <c r="K83" s="16"/>
      <c r="L83" s="16"/>
      <c r="M83" s="16"/>
      <c r="N83" s="27"/>
    </row>
    <row r="84" spans="1:14" ht="13.5" thickBot="1" x14ac:dyDescent="0.25">
      <c r="A84" s="28"/>
      <c r="B84" s="26" t="s">
        <v>430</v>
      </c>
      <c r="C84" s="29"/>
      <c r="D84" s="29"/>
      <c r="E84" s="30"/>
      <c r="F84" s="30"/>
      <c r="G84" s="30"/>
      <c r="H84" s="30"/>
      <c r="I84" s="30"/>
      <c r="J84" s="30"/>
      <c r="K84" s="30"/>
      <c r="L84" s="30"/>
      <c r="M84" s="30"/>
      <c r="N84" s="31"/>
    </row>
    <row r="85" spans="1:14" x14ac:dyDescent="0.2">
      <c r="A85" s="24"/>
      <c r="B85" s="21" t="s">
        <v>263</v>
      </c>
      <c r="C85" s="15"/>
      <c r="D85" s="15"/>
      <c r="E85" s="16"/>
      <c r="F85" s="16"/>
      <c r="G85" s="16"/>
      <c r="H85" s="16"/>
      <c r="I85" s="16"/>
      <c r="J85" s="58" t="s">
        <v>339</v>
      </c>
      <c r="K85" s="55" t="s">
        <v>279</v>
      </c>
      <c r="L85" s="55"/>
      <c r="M85" s="55"/>
      <c r="N85" s="55"/>
    </row>
    <row r="86" spans="1:14" ht="13.5" thickBot="1" x14ac:dyDescent="0.25">
      <c r="A86" s="28"/>
      <c r="B86" s="29"/>
      <c r="C86" s="29"/>
      <c r="D86" s="29"/>
      <c r="E86" s="30"/>
      <c r="F86" s="30"/>
      <c r="G86" s="30"/>
      <c r="H86" s="30"/>
      <c r="I86" s="30"/>
      <c r="J86" s="44" t="s">
        <v>341</v>
      </c>
      <c r="K86" s="36" t="s">
        <v>520</v>
      </c>
      <c r="L86" s="36" t="s">
        <v>514</v>
      </c>
      <c r="M86" s="36" t="s">
        <v>481</v>
      </c>
      <c r="N86" s="36"/>
    </row>
    <row r="87" spans="1:14" x14ac:dyDescent="0.2">
      <c r="A87" s="20"/>
      <c r="B87" s="412" t="s">
        <v>67</v>
      </c>
      <c r="C87" s="412"/>
      <c r="D87" s="412"/>
      <c r="E87" s="22"/>
      <c r="F87" s="22" t="s">
        <v>1180</v>
      </c>
      <c r="G87" s="22" t="s">
        <v>68</v>
      </c>
      <c r="H87" s="22" t="s">
        <v>702</v>
      </c>
      <c r="I87" s="16"/>
      <c r="J87" s="66">
        <f>39.5/ATHENS!O1*ATHENS!O2</f>
        <v>80.612244897959187</v>
      </c>
      <c r="K87" s="66">
        <f>44.9/ATHENS!O1*ATHENS!O2</f>
        <v>91.632653061224488</v>
      </c>
      <c r="L87" s="40">
        <f>75/ATHENS!O1*ATHENS!O2</f>
        <v>153.06122448979593</v>
      </c>
      <c r="M87" s="38">
        <f>34/ATHENS!O1*ATHENS!O2</f>
        <v>69.387755102040813</v>
      </c>
      <c r="N87" s="38"/>
    </row>
    <row r="88" spans="1:14" x14ac:dyDescent="0.2">
      <c r="A88" s="24"/>
      <c r="B88" s="411" t="s">
        <v>67</v>
      </c>
      <c r="C88" s="411"/>
      <c r="D88" s="411"/>
      <c r="E88" s="16"/>
      <c r="F88" s="16" t="s">
        <v>1181</v>
      </c>
      <c r="G88" s="16" t="s">
        <v>68</v>
      </c>
      <c r="H88" s="16" t="s">
        <v>702</v>
      </c>
      <c r="I88" s="16"/>
      <c r="J88" s="66">
        <f>19.7/ATHENS!O1*ATHENS!O2</f>
        <v>40.204081632653057</v>
      </c>
      <c r="K88" s="66">
        <f>22.5/ATHENS!O1*ATHENS!O2</f>
        <v>45.91836734693878</v>
      </c>
      <c r="L88" s="40">
        <f>38/ATHENS!O1*ATHENS!O2</f>
        <v>77.551020408163268</v>
      </c>
      <c r="M88" s="40">
        <f>17/ATHENS!O1*ATHENS!O2</f>
        <v>34.693877551020407</v>
      </c>
      <c r="N88" s="40"/>
    </row>
    <row r="89" spans="1:14" x14ac:dyDescent="0.2">
      <c r="A89" s="24"/>
      <c r="B89" s="59" t="s">
        <v>67</v>
      </c>
      <c r="C89" s="15"/>
      <c r="D89" s="15"/>
      <c r="E89" s="16"/>
      <c r="F89" s="16" t="s">
        <v>1182</v>
      </c>
      <c r="G89" s="16" t="s">
        <v>68</v>
      </c>
      <c r="H89" s="16" t="s">
        <v>702</v>
      </c>
      <c r="I89" s="16"/>
      <c r="J89" s="66">
        <f>17.5/ATHENS!O1*ATHENS!O2</f>
        <v>35.714285714285715</v>
      </c>
      <c r="K89" s="66">
        <f>19.5/ATHENS!O1*ATHENS!O2</f>
        <v>39.795918367346943</v>
      </c>
      <c r="L89" s="40">
        <f>34/ATHENS!O1*ATHENS!O2</f>
        <v>69.387755102040813</v>
      </c>
      <c r="M89" s="40">
        <f>15/ATHENS!O1*ATHENS!O2</f>
        <v>30.612244897959183</v>
      </c>
      <c r="N89" s="40"/>
    </row>
    <row r="90" spans="1:14" ht="13.5" thickBot="1" x14ac:dyDescent="0.25">
      <c r="A90" s="28"/>
      <c r="B90" s="418"/>
      <c r="C90" s="418"/>
      <c r="D90" s="418"/>
      <c r="E90" s="30"/>
      <c r="F90" s="80"/>
      <c r="G90" s="80"/>
      <c r="H90" s="30"/>
      <c r="I90" s="30"/>
      <c r="J90" s="67"/>
      <c r="K90" s="67"/>
      <c r="L90" s="42"/>
      <c r="M90" s="42"/>
      <c r="N90" s="42"/>
    </row>
    <row r="91" spans="1:14" x14ac:dyDescent="0.2">
      <c r="A91" s="97"/>
      <c r="B91" s="98"/>
      <c r="C91" s="98"/>
      <c r="D91" s="98"/>
      <c r="E91" s="99"/>
      <c r="F91" s="99"/>
      <c r="G91" s="99"/>
      <c r="H91" s="99"/>
      <c r="I91" s="99"/>
      <c r="J91" s="99"/>
      <c r="K91" s="99"/>
      <c r="L91" s="99"/>
      <c r="M91" s="99"/>
      <c r="N91" s="99"/>
    </row>
    <row r="92" spans="1:14" x14ac:dyDescent="0.2">
      <c r="A92" s="97"/>
      <c r="B92" s="98"/>
      <c r="C92" s="98"/>
      <c r="D92" s="98"/>
      <c r="E92" s="99"/>
      <c r="F92" s="99"/>
      <c r="G92" s="99"/>
      <c r="H92" s="99"/>
      <c r="I92" s="99"/>
      <c r="J92" s="99"/>
      <c r="K92" s="99"/>
      <c r="L92" s="99"/>
      <c r="M92" s="99"/>
      <c r="N92" s="99"/>
    </row>
    <row r="93" spans="1:14" ht="13.5" thickBot="1" x14ac:dyDescent="0.25">
      <c r="A93" s="97"/>
      <c r="B93" s="98"/>
      <c r="C93" s="98"/>
      <c r="D93" s="98"/>
      <c r="E93" s="99"/>
      <c r="F93" s="99"/>
      <c r="G93" s="99"/>
      <c r="H93" s="99"/>
      <c r="I93" s="99"/>
      <c r="J93" s="99"/>
      <c r="K93" s="99"/>
      <c r="L93" s="99"/>
      <c r="M93" s="99"/>
      <c r="N93" s="99"/>
    </row>
    <row r="94" spans="1:14" x14ac:dyDescent="0.2">
      <c r="A94" s="101"/>
      <c r="B94" s="102"/>
      <c r="C94" s="102"/>
      <c r="D94" s="102"/>
      <c r="E94" s="103"/>
      <c r="F94" s="103"/>
      <c r="G94" s="103"/>
      <c r="H94" s="103"/>
      <c r="I94" s="103"/>
      <c r="J94" s="103"/>
      <c r="K94" s="103"/>
      <c r="L94" s="103"/>
      <c r="M94" s="103"/>
      <c r="N94" s="104"/>
    </row>
    <row r="95" spans="1:14" ht="15" x14ac:dyDescent="0.2">
      <c r="A95" s="105"/>
      <c r="B95" s="437" t="s">
        <v>356</v>
      </c>
      <c r="C95" s="438"/>
      <c r="D95" s="438"/>
      <c r="E95" s="438"/>
      <c r="F95" s="438"/>
      <c r="G95" s="438"/>
      <c r="H95" s="438"/>
      <c r="I95" s="438"/>
      <c r="J95" s="438"/>
      <c r="K95" s="438"/>
      <c r="L95" s="438"/>
      <c r="M95" s="439"/>
      <c r="N95" s="106" t="s">
        <v>664</v>
      </c>
    </row>
    <row r="96" spans="1:14" x14ac:dyDescent="0.2">
      <c r="A96" s="105"/>
      <c r="B96" s="107" t="s">
        <v>428</v>
      </c>
      <c r="C96" s="98" t="s">
        <v>355</v>
      </c>
      <c r="D96" s="98"/>
      <c r="E96" s="99"/>
      <c r="F96" s="99"/>
      <c r="G96" s="99"/>
      <c r="H96" s="99"/>
      <c r="I96" s="99"/>
      <c r="J96" s="99"/>
      <c r="K96" s="99"/>
      <c r="L96" s="99"/>
      <c r="M96" s="99"/>
      <c r="N96" s="90"/>
    </row>
    <row r="97" spans="1:14" x14ac:dyDescent="0.2">
      <c r="A97" s="105"/>
      <c r="B97" s="107" t="s">
        <v>429</v>
      </c>
      <c r="C97" s="98" t="s">
        <v>1299</v>
      </c>
      <c r="D97" s="98"/>
      <c r="E97" s="99"/>
      <c r="F97" s="99"/>
      <c r="G97" s="99"/>
      <c r="H97" s="99"/>
      <c r="I97" s="99"/>
      <c r="J97" s="99"/>
      <c r="K97" s="99"/>
      <c r="L97" s="99"/>
      <c r="M97" s="99"/>
      <c r="N97" s="90"/>
    </row>
    <row r="98" spans="1:14" x14ac:dyDescent="0.2">
      <c r="A98" s="105"/>
      <c r="B98" s="107" t="s">
        <v>427</v>
      </c>
      <c r="C98" s="455" t="s">
        <v>357</v>
      </c>
      <c r="D98" s="455"/>
      <c r="E98" s="455"/>
      <c r="F98" s="455"/>
      <c r="G98" s="455"/>
      <c r="H98" s="455"/>
      <c r="I98" s="455"/>
      <c r="J98" s="455"/>
      <c r="K98" s="455"/>
      <c r="L98" s="455"/>
      <c r="M98" s="455"/>
      <c r="N98" s="456"/>
    </row>
    <row r="99" spans="1:14" x14ac:dyDescent="0.2">
      <c r="A99" s="105"/>
      <c r="B99" s="107"/>
      <c r="C99" s="455"/>
      <c r="D99" s="455"/>
      <c r="E99" s="455"/>
      <c r="F99" s="455"/>
      <c r="G99" s="455"/>
      <c r="H99" s="455"/>
      <c r="I99" s="455"/>
      <c r="J99" s="455"/>
      <c r="K99" s="455"/>
      <c r="L99" s="455"/>
      <c r="M99" s="455"/>
      <c r="N99" s="456"/>
    </row>
    <row r="100" spans="1:14" x14ac:dyDescent="0.2">
      <c r="A100" s="105"/>
      <c r="B100" s="107"/>
      <c r="C100" s="455"/>
      <c r="D100" s="455"/>
      <c r="E100" s="455"/>
      <c r="F100" s="455"/>
      <c r="G100" s="455"/>
      <c r="H100" s="455"/>
      <c r="I100" s="455"/>
      <c r="J100" s="455"/>
      <c r="K100" s="455"/>
      <c r="L100" s="455"/>
      <c r="M100" s="455"/>
      <c r="N100" s="456"/>
    </row>
    <row r="101" spans="1:14" x14ac:dyDescent="0.2">
      <c r="A101" s="105"/>
      <c r="B101" s="98"/>
      <c r="C101" s="455"/>
      <c r="D101" s="455"/>
      <c r="E101" s="455"/>
      <c r="F101" s="455"/>
      <c r="G101" s="455"/>
      <c r="H101" s="455"/>
      <c r="I101" s="455"/>
      <c r="J101" s="455"/>
      <c r="K101" s="455"/>
      <c r="L101" s="455"/>
      <c r="M101" s="455"/>
      <c r="N101" s="456"/>
    </row>
    <row r="102" spans="1:14" x14ac:dyDescent="0.2">
      <c r="A102" s="105"/>
      <c r="B102" s="98"/>
      <c r="C102" s="455"/>
      <c r="D102" s="455"/>
      <c r="E102" s="455"/>
      <c r="F102" s="455"/>
      <c r="G102" s="455"/>
      <c r="H102" s="455"/>
      <c r="I102" s="455"/>
      <c r="J102" s="455"/>
      <c r="K102" s="455"/>
      <c r="L102" s="455"/>
      <c r="M102" s="455"/>
      <c r="N102" s="456"/>
    </row>
    <row r="103" spans="1:14" x14ac:dyDescent="0.2">
      <c r="A103" s="105"/>
      <c r="B103" s="107" t="s">
        <v>426</v>
      </c>
      <c r="C103" s="98"/>
      <c r="D103" s="98"/>
      <c r="E103" s="99"/>
      <c r="F103" s="99"/>
      <c r="G103" s="99"/>
      <c r="H103" s="99"/>
      <c r="I103" s="99"/>
      <c r="J103" s="99"/>
      <c r="K103" s="99"/>
      <c r="L103" s="99"/>
      <c r="M103" s="99"/>
      <c r="N103" s="90"/>
    </row>
    <row r="104" spans="1:14" ht="13.5" thickBot="1" x14ac:dyDescent="0.25">
      <c r="A104" s="108"/>
      <c r="B104" s="107" t="s">
        <v>430</v>
      </c>
      <c r="C104" s="109"/>
      <c r="D104" s="109"/>
      <c r="E104" s="110"/>
      <c r="F104" s="110"/>
      <c r="G104" s="110"/>
      <c r="H104" s="110"/>
      <c r="I104" s="110"/>
      <c r="J104" s="110"/>
      <c r="K104" s="110"/>
      <c r="L104" s="110"/>
      <c r="M104" s="110"/>
      <c r="N104" s="93"/>
    </row>
    <row r="105" spans="1:14" ht="13.5" thickBot="1" x14ac:dyDescent="0.25">
      <c r="A105" s="101"/>
      <c r="B105" s="102" t="s">
        <v>263</v>
      </c>
      <c r="C105" s="102"/>
      <c r="D105" s="102"/>
      <c r="E105" s="103"/>
      <c r="F105" s="103"/>
      <c r="G105" s="103"/>
      <c r="H105" s="103"/>
      <c r="I105" s="103"/>
      <c r="J105" s="139" t="s">
        <v>2069</v>
      </c>
      <c r="K105" s="100" t="s">
        <v>175</v>
      </c>
      <c r="L105" s="114"/>
      <c r="M105" s="113"/>
      <c r="N105" s="113"/>
    </row>
    <row r="106" spans="1:14" ht="13.5" thickBot="1" x14ac:dyDescent="0.25">
      <c r="A106" s="108"/>
      <c r="B106" s="109"/>
      <c r="C106" s="109"/>
      <c r="D106" s="109"/>
      <c r="E106" s="110"/>
      <c r="F106" s="110"/>
      <c r="G106" s="110"/>
      <c r="H106" s="110"/>
      <c r="I106" s="110"/>
      <c r="J106" s="112" t="s">
        <v>2070</v>
      </c>
      <c r="K106" s="139" t="s">
        <v>2071</v>
      </c>
      <c r="L106" s="112" t="s">
        <v>480</v>
      </c>
      <c r="M106" s="94"/>
      <c r="N106" s="94"/>
    </row>
    <row r="107" spans="1:14" x14ac:dyDescent="0.2">
      <c r="A107" s="101"/>
      <c r="B107" s="448" t="s">
        <v>67</v>
      </c>
      <c r="C107" s="448"/>
      <c r="D107" s="448"/>
      <c r="E107" s="103"/>
      <c r="F107" s="103" t="s">
        <v>1180</v>
      </c>
      <c r="G107" s="103" t="s">
        <v>68</v>
      </c>
      <c r="H107" s="103" t="s">
        <v>702</v>
      </c>
      <c r="I107" s="103"/>
      <c r="J107" s="89">
        <f>60.7/ATHENS!O1*ATHENS!O2</f>
        <v>123.87755102040818</v>
      </c>
      <c r="K107" s="89">
        <f>76.8/ATHENS!O1*ATHENS!O2</f>
        <v>156.73469387755102</v>
      </c>
      <c r="L107" s="89">
        <f>141.5/ATHENS!O1*ATHENS!O2</f>
        <v>288.77551020408163</v>
      </c>
      <c r="M107" s="113"/>
      <c r="N107" s="113"/>
    </row>
    <row r="108" spans="1:14" x14ac:dyDescent="0.2">
      <c r="A108" s="105"/>
      <c r="B108" s="443" t="s">
        <v>67</v>
      </c>
      <c r="C108" s="443"/>
      <c r="D108" s="443"/>
      <c r="E108" s="99"/>
      <c r="F108" s="99" t="s">
        <v>1181</v>
      </c>
      <c r="G108" s="99" t="s">
        <v>68</v>
      </c>
      <c r="H108" s="99" t="s">
        <v>702</v>
      </c>
      <c r="I108" s="99"/>
      <c r="J108" s="89">
        <f>32.5/ATHENS!O1*ATHENS!O2</f>
        <v>66.326530612244895</v>
      </c>
      <c r="K108" s="89">
        <f>46.5/ATHENS!O1*ATHENS!O2</f>
        <v>94.897959183673464</v>
      </c>
      <c r="L108" s="89">
        <f>70.7/ATHENS!O1*ATHENS!O2</f>
        <v>144.28571428571431</v>
      </c>
      <c r="M108" s="89"/>
      <c r="N108" s="89"/>
    </row>
    <row r="109" spans="1:14" ht="13.5" thickBot="1" x14ac:dyDescent="0.25">
      <c r="A109" s="108"/>
      <c r="B109" s="436" t="s">
        <v>67</v>
      </c>
      <c r="C109" s="436"/>
      <c r="D109" s="436"/>
      <c r="E109" s="110"/>
      <c r="F109" s="110" t="s">
        <v>1182</v>
      </c>
      <c r="G109" s="110" t="s">
        <v>68</v>
      </c>
      <c r="H109" s="110" t="s">
        <v>702</v>
      </c>
      <c r="I109" s="110"/>
      <c r="J109" s="94">
        <f>27.5/ATHENS!O1*ATHENS!O2</f>
        <v>56.122448979591837</v>
      </c>
      <c r="K109" s="94">
        <f>40.5/ATHENS!O1*ATHENS!O2</f>
        <v>82.653061224489804</v>
      </c>
      <c r="L109" s="94">
        <f>64.9/ATHENS!O1*ATHENS!O2</f>
        <v>132.44897959183675</v>
      </c>
      <c r="M109" s="94"/>
      <c r="N109" s="94"/>
    </row>
    <row r="110" spans="1:14" ht="13.5" thickBot="1" x14ac:dyDescent="0.25">
      <c r="A110" s="97"/>
      <c r="B110" s="98"/>
      <c r="C110" s="98"/>
      <c r="D110" s="98"/>
      <c r="E110" s="99"/>
      <c r="F110" s="99"/>
      <c r="G110" s="99"/>
      <c r="H110" s="99"/>
      <c r="I110" s="99"/>
      <c r="J110" s="99"/>
      <c r="K110" s="99"/>
      <c r="L110" s="99"/>
      <c r="M110" s="99"/>
      <c r="N110" s="99"/>
    </row>
    <row r="111" spans="1:14" x14ac:dyDescent="0.2">
      <c r="A111" s="101"/>
      <c r="B111" s="102"/>
      <c r="C111" s="102"/>
      <c r="D111" s="102"/>
      <c r="E111" s="103"/>
      <c r="F111" s="103"/>
      <c r="G111" s="103"/>
      <c r="H111" s="103"/>
      <c r="I111" s="103"/>
      <c r="J111" s="103"/>
      <c r="K111" s="103"/>
      <c r="L111" s="103"/>
      <c r="M111" s="103"/>
      <c r="N111" s="104"/>
    </row>
    <row r="112" spans="1:14" ht="15" x14ac:dyDescent="0.2">
      <c r="A112" s="105"/>
      <c r="B112" s="437" t="s">
        <v>931</v>
      </c>
      <c r="C112" s="438"/>
      <c r="D112" s="438"/>
      <c r="E112" s="438"/>
      <c r="F112" s="438"/>
      <c r="G112" s="438"/>
      <c r="H112" s="438"/>
      <c r="I112" s="438"/>
      <c r="J112" s="438"/>
      <c r="K112" s="438"/>
      <c r="L112" s="438"/>
      <c r="M112" s="439"/>
      <c r="N112" s="106" t="s">
        <v>664</v>
      </c>
    </row>
    <row r="113" spans="1:14" x14ac:dyDescent="0.2">
      <c r="A113" s="105"/>
      <c r="B113" s="107" t="s">
        <v>428</v>
      </c>
      <c r="C113" s="98" t="s">
        <v>561</v>
      </c>
      <c r="D113" s="98"/>
      <c r="E113" s="99"/>
      <c r="F113" s="99"/>
      <c r="G113" s="99"/>
      <c r="H113" s="99"/>
      <c r="I113" s="99"/>
      <c r="J113" s="99"/>
      <c r="K113" s="99"/>
      <c r="L113" s="99"/>
      <c r="M113" s="99"/>
      <c r="N113" s="90"/>
    </row>
    <row r="114" spans="1:14" x14ac:dyDescent="0.2">
      <c r="A114" s="105"/>
      <c r="B114" s="107" t="s">
        <v>429</v>
      </c>
      <c r="C114" s="98" t="s">
        <v>193</v>
      </c>
      <c r="D114" s="98"/>
      <c r="E114" s="99"/>
      <c r="F114" s="99"/>
      <c r="G114" s="99"/>
      <c r="H114" s="99"/>
      <c r="I114" s="99"/>
      <c r="J114" s="99"/>
      <c r="K114" s="99"/>
      <c r="L114" s="99"/>
      <c r="M114" s="99"/>
      <c r="N114" s="90"/>
    </row>
    <row r="115" spans="1:14" x14ac:dyDescent="0.2">
      <c r="A115" s="105"/>
      <c r="B115" s="107" t="s">
        <v>427</v>
      </c>
      <c r="C115" s="455" t="s">
        <v>838</v>
      </c>
      <c r="D115" s="455"/>
      <c r="E115" s="455"/>
      <c r="F115" s="455"/>
      <c r="G115" s="455"/>
      <c r="H115" s="455"/>
      <c r="I115" s="455"/>
      <c r="J115" s="455"/>
      <c r="K115" s="455"/>
      <c r="L115" s="455"/>
      <c r="M115" s="455"/>
      <c r="N115" s="456"/>
    </row>
    <row r="116" spans="1:14" x14ac:dyDescent="0.2">
      <c r="A116" s="105"/>
      <c r="B116" s="107"/>
      <c r="C116" s="455"/>
      <c r="D116" s="455"/>
      <c r="E116" s="455"/>
      <c r="F116" s="455"/>
      <c r="G116" s="455"/>
      <c r="H116" s="455"/>
      <c r="I116" s="455"/>
      <c r="J116" s="455"/>
      <c r="K116" s="455"/>
      <c r="L116" s="455"/>
      <c r="M116" s="455"/>
      <c r="N116" s="456"/>
    </row>
    <row r="117" spans="1:14" x14ac:dyDescent="0.2">
      <c r="A117" s="105"/>
      <c r="B117" s="98"/>
      <c r="C117" s="455"/>
      <c r="D117" s="455"/>
      <c r="E117" s="455"/>
      <c r="F117" s="455"/>
      <c r="G117" s="455"/>
      <c r="H117" s="455"/>
      <c r="I117" s="455"/>
      <c r="J117" s="455"/>
      <c r="K117" s="455"/>
      <c r="L117" s="455"/>
      <c r="M117" s="455"/>
      <c r="N117" s="456"/>
    </row>
    <row r="118" spans="1:14" ht="13.5" thickBot="1" x14ac:dyDescent="0.25">
      <c r="A118" s="105"/>
      <c r="B118" s="107" t="s">
        <v>426</v>
      </c>
      <c r="C118" s="98" t="s">
        <v>932</v>
      </c>
      <c r="D118" s="98"/>
      <c r="E118" s="99"/>
      <c r="F118" s="99"/>
      <c r="G118" s="99"/>
      <c r="H118" s="99"/>
      <c r="I118" s="99"/>
      <c r="J118" s="99"/>
      <c r="K118" s="99"/>
      <c r="L118" s="99"/>
      <c r="M118" s="99"/>
      <c r="N118" s="90"/>
    </row>
    <row r="119" spans="1:14" x14ac:dyDescent="0.2">
      <c r="A119" s="101"/>
      <c r="B119" s="102" t="s">
        <v>263</v>
      </c>
      <c r="C119" s="102"/>
      <c r="D119" s="102"/>
      <c r="E119" s="103"/>
      <c r="F119" s="103"/>
      <c r="G119" s="103"/>
      <c r="H119" s="103"/>
      <c r="I119" s="103"/>
      <c r="J119" s="114" t="s">
        <v>65</v>
      </c>
      <c r="K119" s="113" t="s">
        <v>175</v>
      </c>
      <c r="L119" s="113"/>
      <c r="M119" s="113"/>
      <c r="N119" s="113"/>
    </row>
    <row r="120" spans="1:14" ht="13.5" thickBot="1" x14ac:dyDescent="0.25">
      <c r="A120" s="108"/>
      <c r="B120" s="109" t="s">
        <v>263</v>
      </c>
      <c r="C120" s="109"/>
      <c r="D120" s="109"/>
      <c r="E120" s="110"/>
      <c r="F120" s="110"/>
      <c r="G120" s="110"/>
      <c r="H120" s="110"/>
      <c r="I120" s="110"/>
      <c r="J120" s="112" t="s">
        <v>1407</v>
      </c>
      <c r="K120" s="94" t="s">
        <v>482</v>
      </c>
      <c r="L120" s="94" t="s">
        <v>752</v>
      </c>
      <c r="M120" s="94"/>
      <c r="N120" s="94"/>
    </row>
    <row r="121" spans="1:14" x14ac:dyDescent="0.2">
      <c r="A121" s="101"/>
      <c r="B121" s="448" t="s">
        <v>67</v>
      </c>
      <c r="C121" s="448"/>
      <c r="D121" s="448"/>
      <c r="E121" s="103"/>
      <c r="F121" s="103" t="s">
        <v>1180</v>
      </c>
      <c r="G121" s="103" t="s">
        <v>68</v>
      </c>
      <c r="H121" s="103" t="s">
        <v>702</v>
      </c>
      <c r="I121" s="103"/>
      <c r="J121" s="89">
        <f>32.07/ATHENS!O1*ATHENS!O2</f>
        <v>65.448979591836732</v>
      </c>
      <c r="K121" s="89">
        <f>47.5/ATHENS!O1*ATHENS!O2</f>
        <v>96.938775510204081</v>
      </c>
      <c r="L121" s="89">
        <f>90.9/ATHENS!O1*ATHENS!O2</f>
        <v>185.51020408163268</v>
      </c>
      <c r="M121" s="113"/>
      <c r="N121" s="113"/>
    </row>
    <row r="122" spans="1:14" x14ac:dyDescent="0.2">
      <c r="A122" s="105"/>
      <c r="B122" s="443" t="s">
        <v>67</v>
      </c>
      <c r="C122" s="443"/>
      <c r="D122" s="443"/>
      <c r="E122" s="99"/>
      <c r="F122" s="99" t="s">
        <v>1181</v>
      </c>
      <c r="G122" s="99" t="s">
        <v>68</v>
      </c>
      <c r="H122" s="99" t="s">
        <v>702</v>
      </c>
      <c r="I122" s="99"/>
      <c r="J122" s="89">
        <f>19.5/ATHENS!O1*ATHENS!O2</f>
        <v>39.795918367346943</v>
      </c>
      <c r="K122" s="89">
        <f>26.5/ATHENS!O1*ATHENS!O2</f>
        <v>54.081632653061227</v>
      </c>
      <c r="L122" s="89">
        <f>45.5/ATHENS!O1*ATHENS!O2</f>
        <v>92.857142857142861</v>
      </c>
      <c r="M122" s="89"/>
      <c r="N122" s="89"/>
    </row>
    <row r="123" spans="1:14" ht="13.5" thickBot="1" x14ac:dyDescent="0.25">
      <c r="A123" s="108"/>
      <c r="B123" s="436" t="s">
        <v>67</v>
      </c>
      <c r="C123" s="436"/>
      <c r="D123" s="436"/>
      <c r="E123" s="110"/>
      <c r="F123" s="110" t="s">
        <v>1182</v>
      </c>
      <c r="G123" s="110" t="s">
        <v>68</v>
      </c>
      <c r="H123" s="110" t="s">
        <v>702</v>
      </c>
      <c r="I123" s="110"/>
      <c r="J123" s="94">
        <f>15.6/ATHENS!O1*ATHENS!O2</f>
        <v>31.836734693877553</v>
      </c>
      <c r="K123" s="94">
        <f>23.5/ATHENS!O1*ATHENS!O2</f>
        <v>47.95918367346939</v>
      </c>
      <c r="L123" s="94">
        <f>39.5/ATHENS!O1*ATHENS!O2</f>
        <v>80.612244897959187</v>
      </c>
      <c r="M123" s="94"/>
      <c r="N123" s="94"/>
    </row>
    <row r="124" spans="1:14" x14ac:dyDescent="0.2">
      <c r="A124" s="97"/>
      <c r="B124" s="98"/>
      <c r="C124" s="98"/>
      <c r="D124" s="98"/>
      <c r="E124" s="99"/>
      <c r="F124" s="99"/>
      <c r="G124" s="99"/>
      <c r="H124" s="99"/>
      <c r="I124" s="99"/>
      <c r="J124" s="99"/>
      <c r="K124" s="99"/>
      <c r="L124" s="99"/>
      <c r="M124" s="99"/>
      <c r="N124" s="99"/>
    </row>
    <row r="140" spans="1:14" x14ac:dyDescent="0.2">
      <c r="A140" s="97"/>
      <c r="B140" s="98"/>
      <c r="C140" s="98"/>
      <c r="D140" s="98"/>
      <c r="E140" s="99"/>
      <c r="F140" s="99"/>
      <c r="G140" s="99"/>
      <c r="H140" s="99"/>
      <c r="I140" s="99"/>
      <c r="J140" s="99"/>
      <c r="K140" s="99"/>
      <c r="L140" s="99"/>
      <c r="M140" s="99"/>
      <c r="N140" s="99"/>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view="pageLayout">
      <selection activeCell="M51" sqref="M51"/>
      <rowBreaks count="1" manualBreakCount="1">
        <brk id="93" max="16383" man="1"/>
      </rowBreaks>
      <pageMargins left="0.28125" right="0.25" top="0.6692913385826772" bottom="0.70866141732283472" header="0.23622047244094491" footer="0.47244094488188981"/>
      <printOptions horizontalCentered="1"/>
      <pageSetup paperSize="9" firstPageNumber="73"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35">
    <mergeCell ref="B123:D123"/>
    <mergeCell ref="C115:N117"/>
    <mergeCell ref="B122:D122"/>
    <mergeCell ref="B121:D121"/>
    <mergeCell ref="C36:N39"/>
    <mergeCell ref="B107:D107"/>
    <mergeCell ref="B42:D42"/>
    <mergeCell ref="B44:D44"/>
    <mergeCell ref="B62:M62"/>
    <mergeCell ref="C65:N70"/>
    <mergeCell ref="B73:D73"/>
    <mergeCell ref="B78:M78"/>
    <mergeCell ref="B74:D74"/>
    <mergeCell ref="B75:D75"/>
    <mergeCell ref="B87:D87"/>
    <mergeCell ref="B88:D88"/>
    <mergeCell ref="B90:D90"/>
    <mergeCell ref="B43:D43"/>
    <mergeCell ref="B112:M112"/>
    <mergeCell ref="B108:D108"/>
    <mergeCell ref="B109:D109"/>
    <mergeCell ref="C98:N102"/>
    <mergeCell ref="B95:M95"/>
    <mergeCell ref="C81:N82"/>
    <mergeCell ref="B33:M33"/>
    <mergeCell ref="B20:M20"/>
    <mergeCell ref="C23:N24"/>
    <mergeCell ref="B27:D27"/>
    <mergeCell ref="B28:D28"/>
    <mergeCell ref="B29:D29"/>
    <mergeCell ref="B4:M4"/>
    <mergeCell ref="C7:N8"/>
    <mergeCell ref="B13:D13"/>
    <mergeCell ref="B14:D14"/>
    <mergeCell ref="B16:D16"/>
  </mergeCells>
  <phoneticPr fontId="0" type="noConversion"/>
  <hyperlinks>
    <hyperlink ref="B20:M20" r:id="rId3" display="Iria Beach Art Hotel" xr:uid="{00000000-0004-0000-1A00-000000000000}"/>
    <hyperlink ref="B33:M33" r:id="rId4" display="Naxos Palace" xr:uid="{00000000-0004-0000-1A00-000001000000}"/>
    <hyperlink ref="B95:M95" r:id="rId5" display="Astir of Naxos" xr:uid="{00000000-0004-0000-1A00-000002000000}"/>
    <hyperlink ref="B62:M62" r:id="rId6" display="Naxos Resort" xr:uid="{00000000-0004-0000-1A00-000003000000}"/>
    <hyperlink ref="B112:M112" r:id="rId7" display="Naxos Holidays" xr:uid="{00000000-0004-0000-1A00-000004000000}"/>
    <hyperlink ref="B4:M4" r:id="rId8" display="Naxos Island" xr:uid="{00000000-0004-0000-1A00-000005000000}"/>
    <hyperlink ref="B78:M78" r:id="rId9" display="Al Mare" xr:uid="{00000000-0004-0000-1A00-000006000000}"/>
  </hyperlinks>
  <printOptions horizontalCentered="1"/>
  <pageMargins left="0.28125" right="0.25" top="0.6692913385826772" bottom="0.70866141732283472" header="0.23622047244094491" footer="0.47244094488188981"/>
  <pageSetup paperSize="9" firstPageNumber="73" orientation="portrait" useFirstPageNumber="1" horizontalDpi="300" verticalDpi="300" r:id="rId10"/>
  <headerFooter scaleWithDoc="0" alignWithMargins="0">
    <oddHeader xml:space="preserve">&amp;C TARIFF 2026
 (EURO)
</oddHeader>
    <oddFooter>&amp;LAll rates are in EURO&amp;C
TARIFF 2026
&amp;RPage &amp;P</oddFooter>
  </headerFooter>
  <rowBreaks count="1" manualBreakCount="1">
    <brk id="93"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N87"/>
  <sheetViews>
    <sheetView showGridLines="0" view="pageLayout" zoomScaleNormal="100" workbookViewId="0">
      <selection activeCell="L114" sqref="L114"/>
    </sheetView>
  </sheetViews>
  <sheetFormatPr defaultRowHeight="12.75" x14ac:dyDescent="0.2"/>
  <cols>
    <col min="1" max="1" width="1.85546875" style="125" customWidth="1"/>
    <col min="2" max="3" width="10.7109375" style="125" customWidth="1"/>
    <col min="4" max="9" width="3.7109375" style="125" customWidth="1"/>
    <col min="10" max="14" width="10.7109375" style="125" customWidth="1"/>
    <col min="15" max="16384" width="9.140625" style="125"/>
  </cols>
  <sheetData>
    <row r="1" spans="1:14" ht="13.5" thickBot="1" x14ac:dyDescent="0.25">
      <c r="A1" s="97"/>
      <c r="B1" s="98"/>
      <c r="C1" s="98"/>
      <c r="D1" s="98"/>
      <c r="E1" s="99"/>
      <c r="F1" s="99"/>
      <c r="G1" s="99"/>
      <c r="H1" s="99"/>
      <c r="I1" s="99"/>
      <c r="J1" s="99"/>
      <c r="K1" s="99"/>
      <c r="L1" s="99"/>
      <c r="M1" s="99"/>
      <c r="N1" s="99"/>
    </row>
    <row r="2" spans="1:14" x14ac:dyDescent="0.2">
      <c r="A2" s="20"/>
      <c r="B2" s="21"/>
      <c r="C2" s="21"/>
      <c r="D2" s="21"/>
      <c r="E2" s="22"/>
      <c r="F2" s="22"/>
      <c r="G2" s="22"/>
      <c r="H2" s="22"/>
      <c r="I2" s="22"/>
      <c r="J2" s="22"/>
      <c r="K2" s="22"/>
      <c r="L2" s="22"/>
      <c r="M2" s="22"/>
      <c r="N2" s="23"/>
    </row>
    <row r="3" spans="1:14" ht="15" x14ac:dyDescent="0.2">
      <c r="A3" s="24"/>
      <c r="B3" s="413" t="s">
        <v>1681</v>
      </c>
      <c r="C3" s="414"/>
      <c r="D3" s="414"/>
      <c r="E3" s="414"/>
      <c r="F3" s="414"/>
      <c r="G3" s="414"/>
      <c r="H3" s="414"/>
      <c r="I3" s="414"/>
      <c r="J3" s="414"/>
      <c r="K3" s="414"/>
      <c r="L3" s="414"/>
      <c r="M3" s="415"/>
      <c r="N3" s="25" t="s">
        <v>91</v>
      </c>
    </row>
    <row r="4" spans="1:14" x14ac:dyDescent="0.2">
      <c r="A4" s="24"/>
      <c r="B4" s="26" t="s">
        <v>428</v>
      </c>
      <c r="C4" s="15" t="s">
        <v>1682</v>
      </c>
      <c r="D4" s="15"/>
      <c r="E4" s="16"/>
      <c r="F4" s="16"/>
      <c r="G4" s="16"/>
      <c r="H4" s="16"/>
      <c r="I4" s="16"/>
      <c r="J4" s="16"/>
      <c r="K4" s="16"/>
      <c r="L4" s="16"/>
      <c r="M4" s="16"/>
      <c r="N4" s="27"/>
    </row>
    <row r="5" spans="1:14" x14ac:dyDescent="0.2">
      <c r="A5" s="24"/>
      <c r="B5" s="26" t="s">
        <v>429</v>
      </c>
      <c r="C5" s="15" t="s">
        <v>1683</v>
      </c>
      <c r="D5" s="15"/>
      <c r="E5" s="16"/>
      <c r="F5" s="16"/>
      <c r="G5" s="16"/>
      <c r="H5" s="16"/>
      <c r="I5" s="16"/>
      <c r="J5" s="16"/>
      <c r="K5" s="16"/>
      <c r="L5" s="16"/>
      <c r="M5" s="16"/>
      <c r="N5" s="27"/>
    </row>
    <row r="6" spans="1:14" x14ac:dyDescent="0.2">
      <c r="A6" s="24"/>
      <c r="B6" s="26" t="s">
        <v>427</v>
      </c>
      <c r="C6" s="416" t="s">
        <v>1684</v>
      </c>
      <c r="D6" s="416"/>
      <c r="E6" s="416"/>
      <c r="F6" s="416"/>
      <c r="G6" s="416"/>
      <c r="H6" s="416"/>
      <c r="I6" s="416"/>
      <c r="J6" s="416"/>
      <c r="K6" s="416"/>
      <c r="L6" s="416"/>
      <c r="M6" s="416"/>
      <c r="N6" s="417"/>
    </row>
    <row r="7" spans="1:14" x14ac:dyDescent="0.2">
      <c r="A7" s="24"/>
      <c r="B7" s="15"/>
      <c r="C7" s="416"/>
      <c r="D7" s="416"/>
      <c r="E7" s="416"/>
      <c r="F7" s="416"/>
      <c r="G7" s="416"/>
      <c r="H7" s="416"/>
      <c r="I7" s="416"/>
      <c r="J7" s="416"/>
      <c r="K7" s="416"/>
      <c r="L7" s="416"/>
      <c r="M7" s="416"/>
      <c r="N7" s="417"/>
    </row>
    <row r="8" spans="1:14" x14ac:dyDescent="0.2">
      <c r="A8" s="24"/>
      <c r="B8" s="26" t="s">
        <v>426</v>
      </c>
      <c r="C8" s="15" t="s">
        <v>1682</v>
      </c>
      <c r="D8" s="15"/>
      <c r="E8" s="16"/>
      <c r="F8" s="16"/>
      <c r="G8" s="16"/>
      <c r="H8" s="16"/>
      <c r="I8" s="16"/>
      <c r="J8" s="16"/>
      <c r="K8" s="16"/>
      <c r="L8" s="16"/>
      <c r="M8" s="16"/>
      <c r="N8" s="27"/>
    </row>
    <row r="9" spans="1:14" ht="13.5" thickBot="1" x14ac:dyDescent="0.25">
      <c r="A9" s="28"/>
      <c r="B9" s="26" t="s">
        <v>430</v>
      </c>
      <c r="C9" s="29"/>
      <c r="D9" s="29"/>
      <c r="E9" s="30"/>
      <c r="F9" s="30"/>
      <c r="G9" s="30"/>
      <c r="H9" s="30"/>
      <c r="I9" s="30"/>
      <c r="J9" s="30"/>
      <c r="K9" s="30"/>
      <c r="L9" s="30"/>
      <c r="M9" s="30"/>
      <c r="N9" s="31"/>
    </row>
    <row r="10" spans="1:14" x14ac:dyDescent="0.2">
      <c r="A10" s="24"/>
      <c r="B10" s="21" t="s">
        <v>263</v>
      </c>
      <c r="C10" s="15"/>
      <c r="D10" s="15"/>
      <c r="E10" s="16"/>
      <c r="F10" s="16"/>
      <c r="G10" s="16"/>
      <c r="H10" s="16"/>
      <c r="I10" s="16"/>
      <c r="J10" s="58"/>
      <c r="K10" s="55"/>
      <c r="L10" s="55"/>
      <c r="M10" s="55"/>
      <c r="N10" s="55"/>
    </row>
    <row r="11" spans="1:14" ht="13.5" thickBot="1" x14ac:dyDescent="0.25">
      <c r="A11" s="28"/>
      <c r="B11" s="29"/>
      <c r="C11" s="29"/>
      <c r="D11" s="29"/>
      <c r="E11" s="30"/>
      <c r="F11" s="30"/>
      <c r="G11" s="30"/>
      <c r="H11" s="30"/>
      <c r="I11" s="30"/>
      <c r="J11" s="44" t="s">
        <v>611</v>
      </c>
      <c r="K11" s="36"/>
      <c r="L11" s="36"/>
      <c r="M11" s="36"/>
      <c r="N11" s="36"/>
    </row>
    <row r="12" spans="1:14" x14ac:dyDescent="0.2">
      <c r="A12" s="20"/>
      <c r="B12" s="412" t="s">
        <v>67</v>
      </c>
      <c r="C12" s="412"/>
      <c r="D12" s="412"/>
      <c r="E12" s="22"/>
      <c r="F12" s="22" t="s">
        <v>1180</v>
      </c>
      <c r="G12" s="22" t="s">
        <v>68</v>
      </c>
      <c r="H12" s="22" t="s">
        <v>702</v>
      </c>
      <c r="I12" s="16"/>
      <c r="J12" s="66">
        <f>65/ATHENS!O1*ATHENS!O2</f>
        <v>132.65306122448979</v>
      </c>
      <c r="K12" s="66"/>
      <c r="L12" s="40"/>
      <c r="M12" s="38"/>
      <c r="N12" s="38"/>
    </row>
    <row r="13" spans="1:14" x14ac:dyDescent="0.2">
      <c r="A13" s="24"/>
      <c r="B13" s="411" t="s">
        <v>67</v>
      </c>
      <c r="C13" s="411"/>
      <c r="D13" s="411"/>
      <c r="E13" s="16"/>
      <c r="F13" s="16" t="s">
        <v>1181</v>
      </c>
      <c r="G13" s="16" t="s">
        <v>68</v>
      </c>
      <c r="H13" s="16" t="s">
        <v>702</v>
      </c>
      <c r="I13" s="16"/>
      <c r="J13" s="66">
        <f>40/ATHENS!O1*ATHENS!O2</f>
        <v>81.632653061224488</v>
      </c>
      <c r="K13" s="66"/>
      <c r="L13" s="40"/>
      <c r="M13" s="40"/>
      <c r="N13" s="40"/>
    </row>
    <row r="14" spans="1:14" ht="13.5" thickBot="1" x14ac:dyDescent="0.25">
      <c r="A14" s="28"/>
      <c r="B14" s="59" t="s">
        <v>67</v>
      </c>
      <c r="C14" s="15"/>
      <c r="D14" s="15"/>
      <c r="E14" s="16"/>
      <c r="F14" s="16" t="s">
        <v>1182</v>
      </c>
      <c r="G14" s="16" t="s">
        <v>68</v>
      </c>
      <c r="H14" s="16" t="s">
        <v>702</v>
      </c>
      <c r="I14" s="30"/>
      <c r="J14" s="67">
        <f>30/ATHENS!O1*ATHENS!O2</f>
        <v>61.224489795918366</v>
      </c>
      <c r="K14" s="67"/>
      <c r="L14" s="42"/>
      <c r="M14" s="42"/>
      <c r="N14" s="42"/>
    </row>
    <row r="15" spans="1:14" x14ac:dyDescent="0.2">
      <c r="A15" s="97"/>
      <c r="B15" s="98"/>
      <c r="C15" s="98"/>
      <c r="D15" s="98"/>
      <c r="E15" s="99"/>
      <c r="F15" s="99"/>
      <c r="G15" s="99"/>
      <c r="H15" s="99"/>
      <c r="I15" s="99"/>
      <c r="J15" s="99"/>
      <c r="K15" s="99"/>
      <c r="L15" s="99"/>
      <c r="M15" s="99"/>
      <c r="N15" s="99"/>
    </row>
    <row r="16" spans="1:14" ht="13.5" thickBot="1" x14ac:dyDescent="0.25">
      <c r="A16" s="97"/>
      <c r="B16" s="123"/>
      <c r="C16" s="123"/>
      <c r="D16" s="123"/>
      <c r="E16" s="124"/>
      <c r="F16" s="124"/>
      <c r="G16" s="124"/>
      <c r="H16" s="124"/>
      <c r="I16" s="124"/>
      <c r="J16" s="124"/>
      <c r="K16" s="124"/>
      <c r="L16" s="124"/>
      <c r="M16" s="124"/>
      <c r="N16" s="124"/>
    </row>
    <row r="17" spans="1:14" x14ac:dyDescent="0.2">
      <c r="A17" s="101"/>
      <c r="B17" s="102"/>
      <c r="C17" s="102"/>
      <c r="D17" s="102"/>
      <c r="E17" s="103"/>
      <c r="F17" s="103"/>
      <c r="G17" s="103"/>
      <c r="H17" s="103"/>
      <c r="I17" s="103"/>
      <c r="J17" s="103"/>
      <c r="K17" s="103"/>
      <c r="L17" s="103"/>
      <c r="M17" s="103"/>
      <c r="N17" s="104"/>
    </row>
    <row r="18" spans="1:14" ht="15" x14ac:dyDescent="0.2">
      <c r="A18" s="105"/>
      <c r="B18" s="437" t="s">
        <v>903</v>
      </c>
      <c r="C18" s="438"/>
      <c r="D18" s="438"/>
      <c r="E18" s="438"/>
      <c r="F18" s="438"/>
      <c r="G18" s="438"/>
      <c r="H18" s="438"/>
      <c r="I18" s="438"/>
      <c r="J18" s="438"/>
      <c r="K18" s="438"/>
      <c r="L18" s="438"/>
      <c r="M18" s="439"/>
      <c r="N18" s="106" t="s">
        <v>96</v>
      </c>
    </row>
    <row r="19" spans="1:14" x14ac:dyDescent="0.2">
      <c r="A19" s="105"/>
      <c r="B19" s="107" t="s">
        <v>428</v>
      </c>
      <c r="C19" s="98" t="s">
        <v>1241</v>
      </c>
      <c r="D19" s="98"/>
      <c r="E19" s="99"/>
      <c r="F19" s="99"/>
      <c r="G19" s="99"/>
      <c r="H19" s="99"/>
      <c r="I19" s="99"/>
      <c r="J19" s="99"/>
      <c r="K19" s="99"/>
      <c r="L19" s="99"/>
      <c r="M19" s="99"/>
      <c r="N19" s="90"/>
    </row>
    <row r="20" spans="1:14" x14ac:dyDescent="0.2">
      <c r="A20" s="105"/>
      <c r="B20" s="107" t="s">
        <v>429</v>
      </c>
      <c r="C20" s="98" t="s">
        <v>1301</v>
      </c>
      <c r="D20" s="98"/>
      <c r="E20" s="99"/>
      <c r="F20" s="99"/>
      <c r="G20" s="99"/>
      <c r="H20" s="99"/>
      <c r="I20" s="99"/>
      <c r="J20" s="99"/>
      <c r="K20" s="99"/>
      <c r="L20" s="99"/>
      <c r="M20" s="99"/>
      <c r="N20" s="90"/>
    </row>
    <row r="21" spans="1:14" x14ac:dyDescent="0.2">
      <c r="A21" s="105"/>
      <c r="B21" s="107" t="s">
        <v>427</v>
      </c>
      <c r="C21" s="457" t="s">
        <v>797</v>
      </c>
      <c r="D21" s="457"/>
      <c r="E21" s="457"/>
      <c r="F21" s="457"/>
      <c r="G21" s="457"/>
      <c r="H21" s="457"/>
      <c r="I21" s="457"/>
      <c r="J21" s="457"/>
      <c r="K21" s="457"/>
      <c r="L21" s="457"/>
      <c r="M21" s="457"/>
      <c r="N21" s="458"/>
    </row>
    <row r="22" spans="1:14" ht="13.5" thickBot="1" x14ac:dyDescent="0.25">
      <c r="A22" s="105"/>
      <c r="B22" s="98"/>
      <c r="C22" s="457"/>
      <c r="D22" s="457"/>
      <c r="E22" s="457"/>
      <c r="F22" s="457"/>
      <c r="G22" s="457"/>
      <c r="H22" s="457"/>
      <c r="I22" s="457"/>
      <c r="J22" s="457"/>
      <c r="K22" s="457"/>
      <c r="L22" s="457"/>
      <c r="M22" s="457"/>
      <c r="N22" s="458"/>
    </row>
    <row r="23" spans="1:14" ht="13.5" thickBot="1" x14ac:dyDescent="0.25">
      <c r="A23" s="101"/>
      <c r="B23" s="102" t="s">
        <v>263</v>
      </c>
      <c r="C23" s="102"/>
      <c r="D23" s="102"/>
      <c r="E23" s="103"/>
      <c r="F23" s="103"/>
      <c r="G23" s="103"/>
      <c r="H23" s="103"/>
      <c r="I23" s="104"/>
      <c r="J23" s="138" t="s">
        <v>753</v>
      </c>
      <c r="K23" s="139" t="s">
        <v>513</v>
      </c>
      <c r="L23" s="139"/>
      <c r="M23" s="139"/>
      <c r="N23" s="139"/>
    </row>
    <row r="24" spans="1:14" ht="13.5" thickBot="1" x14ac:dyDescent="0.25">
      <c r="A24" s="105"/>
      <c r="B24" s="98"/>
      <c r="C24" s="98"/>
      <c r="D24" s="98"/>
      <c r="E24" s="99"/>
      <c r="F24" s="99"/>
      <c r="G24" s="99"/>
      <c r="H24" s="99"/>
      <c r="I24" s="99"/>
      <c r="J24" s="138" t="s">
        <v>514</v>
      </c>
      <c r="K24" s="139" t="s">
        <v>612</v>
      </c>
      <c r="L24" s="139"/>
      <c r="M24" s="113"/>
      <c r="N24" s="113"/>
    </row>
    <row r="25" spans="1:14" x14ac:dyDescent="0.2">
      <c r="A25" s="101"/>
      <c r="B25" s="448" t="s">
        <v>67</v>
      </c>
      <c r="C25" s="448"/>
      <c r="D25" s="448"/>
      <c r="E25" s="103"/>
      <c r="F25" s="103" t="s">
        <v>1180</v>
      </c>
      <c r="G25" s="103" t="s">
        <v>68</v>
      </c>
      <c r="H25" s="103" t="s">
        <v>702</v>
      </c>
      <c r="I25" s="103"/>
      <c r="J25" s="89">
        <f>63/ATHENS!O1*ATHENS!O2</f>
        <v>128.57142857142858</v>
      </c>
      <c r="K25" s="89">
        <f>67/ATHENS!O1*ATHENS!O2</f>
        <v>136.73469387755102</v>
      </c>
      <c r="L25" s="89"/>
      <c r="M25" s="113"/>
      <c r="N25" s="113"/>
    </row>
    <row r="26" spans="1:14" x14ac:dyDescent="0.2">
      <c r="A26" s="105"/>
      <c r="B26" s="443" t="s">
        <v>67</v>
      </c>
      <c r="C26" s="443"/>
      <c r="D26" s="443"/>
      <c r="E26" s="99"/>
      <c r="F26" s="99" t="s">
        <v>1181</v>
      </c>
      <c r="G26" s="99" t="s">
        <v>68</v>
      </c>
      <c r="H26" s="99" t="s">
        <v>702</v>
      </c>
      <c r="I26" s="99"/>
      <c r="J26" s="89">
        <f>35.5/ATHENS!O1*ATHENS!O2</f>
        <v>72.448979591836732</v>
      </c>
      <c r="K26" s="89">
        <f>37.5/ATHENS!O1*ATHENS!O2</f>
        <v>76.530612244897966</v>
      </c>
      <c r="L26" s="89"/>
      <c r="M26" s="89"/>
      <c r="N26" s="89"/>
    </row>
    <row r="27" spans="1:14" x14ac:dyDescent="0.2">
      <c r="A27" s="105"/>
      <c r="B27" s="443" t="s">
        <v>67</v>
      </c>
      <c r="C27" s="443"/>
      <c r="D27" s="443"/>
      <c r="E27" s="99"/>
      <c r="F27" s="99" t="s">
        <v>1182</v>
      </c>
      <c r="G27" s="99" t="s">
        <v>68</v>
      </c>
      <c r="H27" s="99" t="s">
        <v>702</v>
      </c>
      <c r="I27" s="99"/>
      <c r="J27" s="89">
        <f>26.7/ATHENS!O1*ATHENS!O2</f>
        <v>54.489795918367349</v>
      </c>
      <c r="K27" s="89">
        <f>28.5/ATHENS!O1*ATHENS!O2</f>
        <v>58.163265306122447</v>
      </c>
      <c r="L27" s="89"/>
      <c r="M27" s="89"/>
      <c r="N27" s="89"/>
    </row>
    <row r="28" spans="1:14" ht="13.5" thickBot="1" x14ac:dyDescent="0.25">
      <c r="A28" s="108"/>
      <c r="B28" s="436"/>
      <c r="C28" s="436"/>
      <c r="D28" s="436"/>
      <c r="E28" s="110"/>
      <c r="F28" s="110"/>
      <c r="G28" s="110"/>
      <c r="H28" s="110"/>
      <c r="I28" s="110"/>
      <c r="J28" s="94"/>
      <c r="K28" s="94"/>
      <c r="L28" s="94"/>
      <c r="M28" s="94"/>
      <c r="N28" s="94"/>
    </row>
    <row r="29" spans="1:14" ht="13.5" thickBot="1" x14ac:dyDescent="0.25">
      <c r="A29" s="97"/>
      <c r="B29" s="123"/>
      <c r="C29" s="123"/>
      <c r="D29" s="123"/>
      <c r="E29" s="124"/>
      <c r="F29" s="124"/>
      <c r="G29" s="124"/>
      <c r="H29" s="124"/>
      <c r="I29" s="124"/>
      <c r="J29" s="124"/>
      <c r="K29" s="124"/>
      <c r="L29" s="124"/>
      <c r="M29" s="124"/>
      <c r="N29" s="124"/>
    </row>
    <row r="30" spans="1:14" x14ac:dyDescent="0.2">
      <c r="A30" s="101"/>
      <c r="B30" s="102"/>
      <c r="C30" s="102"/>
      <c r="D30" s="102"/>
      <c r="E30" s="103"/>
      <c r="F30" s="103"/>
      <c r="G30" s="103"/>
      <c r="H30" s="103"/>
      <c r="I30" s="103"/>
      <c r="J30" s="103"/>
      <c r="K30" s="103"/>
      <c r="L30" s="103"/>
      <c r="M30" s="103"/>
      <c r="N30" s="104"/>
    </row>
    <row r="31" spans="1:14" ht="15" x14ac:dyDescent="0.2">
      <c r="A31" s="105"/>
      <c r="B31" s="437" t="s">
        <v>789</v>
      </c>
      <c r="C31" s="438"/>
      <c r="D31" s="438"/>
      <c r="E31" s="438"/>
      <c r="F31" s="438"/>
      <c r="G31" s="438"/>
      <c r="H31" s="438"/>
      <c r="I31" s="438"/>
      <c r="J31" s="438"/>
      <c r="K31" s="438"/>
      <c r="L31" s="438"/>
      <c r="M31" s="439"/>
      <c r="N31" s="106" t="s">
        <v>96</v>
      </c>
    </row>
    <row r="32" spans="1:14" x14ac:dyDescent="0.2">
      <c r="A32" s="105"/>
      <c r="B32" s="107" t="s">
        <v>428</v>
      </c>
      <c r="C32" s="98" t="s">
        <v>1242</v>
      </c>
      <c r="D32" s="98"/>
      <c r="E32" s="99"/>
      <c r="F32" s="99"/>
      <c r="G32" s="99"/>
      <c r="H32" s="99"/>
      <c r="I32" s="99"/>
      <c r="J32" s="99"/>
      <c r="K32" s="99"/>
      <c r="L32" s="99"/>
      <c r="M32" s="99"/>
      <c r="N32" s="90"/>
    </row>
    <row r="33" spans="1:14" x14ac:dyDescent="0.2">
      <c r="A33" s="105"/>
      <c r="B33" s="107" t="s">
        <v>429</v>
      </c>
      <c r="C33" s="98" t="s">
        <v>1302</v>
      </c>
      <c r="D33" s="98"/>
      <c r="E33" s="99"/>
      <c r="F33" s="99"/>
      <c r="G33" s="99"/>
      <c r="H33" s="99"/>
      <c r="I33" s="99"/>
      <c r="J33" s="99"/>
      <c r="K33" s="99"/>
      <c r="L33" s="99"/>
      <c r="M33" s="99"/>
      <c r="N33" s="90"/>
    </row>
    <row r="34" spans="1:14" x14ac:dyDescent="0.2">
      <c r="A34" s="105"/>
      <c r="B34" s="107" t="s">
        <v>427</v>
      </c>
      <c r="C34" s="444" t="s">
        <v>796</v>
      </c>
      <c r="D34" s="444"/>
      <c r="E34" s="444"/>
      <c r="F34" s="444"/>
      <c r="G34" s="444"/>
      <c r="H34" s="444"/>
      <c r="I34" s="444"/>
      <c r="J34" s="444"/>
      <c r="K34" s="444"/>
      <c r="L34" s="444"/>
      <c r="M34" s="444"/>
      <c r="N34" s="445"/>
    </row>
    <row r="35" spans="1:14" ht="13.5" thickBot="1" x14ac:dyDescent="0.25">
      <c r="A35" s="105"/>
      <c r="B35" s="98"/>
      <c r="C35" s="444"/>
      <c r="D35" s="444"/>
      <c r="E35" s="444"/>
      <c r="F35" s="444"/>
      <c r="G35" s="444"/>
      <c r="H35" s="444"/>
      <c r="I35" s="444"/>
      <c r="J35" s="444"/>
      <c r="K35" s="444"/>
      <c r="L35" s="444"/>
      <c r="M35" s="444"/>
      <c r="N35" s="445"/>
    </row>
    <row r="36" spans="1:14" ht="13.5" thickBot="1" x14ac:dyDescent="0.25">
      <c r="A36" s="119"/>
      <c r="B36" s="120" t="s">
        <v>263</v>
      </c>
      <c r="C36" s="120"/>
      <c r="D36" s="120"/>
      <c r="E36" s="121"/>
      <c r="F36" s="121"/>
      <c r="G36" s="121"/>
      <c r="H36" s="121"/>
      <c r="I36" s="121"/>
      <c r="J36" s="138" t="s">
        <v>907</v>
      </c>
      <c r="K36" s="139" t="s">
        <v>611</v>
      </c>
      <c r="L36" s="139"/>
      <c r="M36" s="139"/>
      <c r="N36" s="139"/>
    </row>
    <row r="37" spans="1:14" x14ac:dyDescent="0.2">
      <c r="A37" s="101"/>
      <c r="B37" s="448" t="s">
        <v>67</v>
      </c>
      <c r="C37" s="448"/>
      <c r="D37" s="448"/>
      <c r="E37" s="103"/>
      <c r="F37" s="103" t="s">
        <v>1180</v>
      </c>
      <c r="G37" s="103" t="s">
        <v>68</v>
      </c>
      <c r="H37" s="103" t="s">
        <v>702</v>
      </c>
      <c r="I37" s="103"/>
      <c r="J37" s="89">
        <f>32/ATHENS!O1*ATHENS!O2</f>
        <v>65.306122448979593</v>
      </c>
      <c r="K37" s="89">
        <f>48/ATHENS!O1*ATHENS!O2</f>
        <v>97.959183673469383</v>
      </c>
      <c r="L37" s="89"/>
      <c r="M37" s="113"/>
      <c r="N37" s="113"/>
    </row>
    <row r="38" spans="1:14" x14ac:dyDescent="0.2">
      <c r="A38" s="105"/>
      <c r="B38" s="443" t="s">
        <v>67</v>
      </c>
      <c r="C38" s="443"/>
      <c r="D38" s="443"/>
      <c r="E38" s="99"/>
      <c r="F38" s="99" t="s">
        <v>1181</v>
      </c>
      <c r="G38" s="99" t="s">
        <v>68</v>
      </c>
      <c r="H38" s="99" t="s">
        <v>702</v>
      </c>
      <c r="I38" s="99"/>
      <c r="J38" s="89">
        <f>26/ATHENS!O1*ATHENS!O2</f>
        <v>53.061224489795919</v>
      </c>
      <c r="K38" s="89">
        <f>33.5/ATHENS!O1*ATHENS!O2</f>
        <v>68.367346938775512</v>
      </c>
      <c r="L38" s="89"/>
      <c r="M38" s="89"/>
      <c r="N38" s="89"/>
    </row>
    <row r="39" spans="1:14" x14ac:dyDescent="0.2">
      <c r="A39" s="105"/>
      <c r="B39" s="443" t="s">
        <v>67</v>
      </c>
      <c r="C39" s="443"/>
      <c r="D39" s="443"/>
      <c r="E39" s="99"/>
      <c r="F39" s="99" t="s">
        <v>1182</v>
      </c>
      <c r="G39" s="99" t="s">
        <v>68</v>
      </c>
      <c r="H39" s="99" t="s">
        <v>702</v>
      </c>
      <c r="I39" s="90"/>
      <c r="J39" s="89">
        <f>24/ATHENS!O1*ATHENS!O2</f>
        <v>48.979591836734691</v>
      </c>
      <c r="K39" s="89">
        <f>23/ATHENS!O1*ATHENS!O2</f>
        <v>46.938775510204081</v>
      </c>
      <c r="L39" s="89"/>
      <c r="M39" s="89"/>
      <c r="N39" s="89"/>
    </row>
    <row r="40" spans="1:14" x14ac:dyDescent="0.2">
      <c r="A40" s="105"/>
      <c r="B40" s="443" t="s">
        <v>67</v>
      </c>
      <c r="C40" s="443"/>
      <c r="D40" s="443"/>
      <c r="E40" s="99"/>
      <c r="F40" s="99" t="s">
        <v>257</v>
      </c>
      <c r="G40" s="99" t="s">
        <v>68</v>
      </c>
      <c r="H40" s="99" t="s">
        <v>702</v>
      </c>
      <c r="I40" s="90"/>
      <c r="J40" s="89" t="s">
        <v>864</v>
      </c>
      <c r="K40" s="89">
        <f>19/ATHENS!O1*ATHENS!O2</f>
        <v>38.775510204081634</v>
      </c>
      <c r="L40" s="89"/>
      <c r="M40" s="89"/>
      <c r="N40" s="89"/>
    </row>
    <row r="41" spans="1:14" ht="13.5" thickBot="1" x14ac:dyDescent="0.25">
      <c r="A41" s="108"/>
      <c r="B41" s="436"/>
      <c r="C41" s="436"/>
      <c r="D41" s="436"/>
      <c r="E41" s="110"/>
      <c r="F41" s="110"/>
      <c r="G41" s="110"/>
      <c r="H41" s="110"/>
      <c r="I41" s="110"/>
      <c r="J41" s="94"/>
      <c r="K41" s="94"/>
      <c r="L41" s="94"/>
      <c r="M41" s="94"/>
      <c r="N41" s="94"/>
    </row>
    <row r="42" spans="1:14" x14ac:dyDescent="0.2">
      <c r="A42" s="97"/>
      <c r="B42" s="98"/>
      <c r="C42" s="98"/>
      <c r="D42" s="98"/>
      <c r="E42" s="99"/>
      <c r="F42" s="99"/>
      <c r="G42" s="99"/>
      <c r="H42" s="99"/>
      <c r="I42" s="99"/>
      <c r="J42" s="99"/>
      <c r="K42" s="99"/>
      <c r="L42" s="99"/>
      <c r="M42" s="99"/>
      <c r="N42" s="99"/>
    </row>
    <row r="43" spans="1:14" ht="13.5" thickBot="1" x14ac:dyDescent="0.25">
      <c r="A43" s="97"/>
      <c r="B43" s="123"/>
      <c r="C43" s="123"/>
      <c r="D43" s="123"/>
      <c r="E43" s="124"/>
      <c r="F43" s="124"/>
      <c r="G43" s="124"/>
      <c r="H43" s="124"/>
      <c r="I43" s="124"/>
      <c r="J43" s="124"/>
      <c r="K43" s="124"/>
      <c r="L43" s="124"/>
      <c r="M43" s="124"/>
      <c r="N43" s="124"/>
    </row>
    <row r="44" spans="1:14" x14ac:dyDescent="0.2">
      <c r="A44" s="101"/>
      <c r="B44" s="102"/>
      <c r="C44" s="102"/>
      <c r="D44" s="102"/>
      <c r="E44" s="103"/>
      <c r="F44" s="103"/>
      <c r="G44" s="103"/>
      <c r="H44" s="103"/>
      <c r="I44" s="103"/>
      <c r="J44" s="103"/>
      <c r="K44" s="103"/>
      <c r="L44" s="103"/>
      <c r="M44" s="103"/>
      <c r="N44" s="104"/>
    </row>
    <row r="45" spans="1:14" ht="15" x14ac:dyDescent="0.2">
      <c r="A45" s="105"/>
      <c r="B45" s="437" t="s">
        <v>790</v>
      </c>
      <c r="C45" s="438"/>
      <c r="D45" s="438"/>
      <c r="E45" s="438"/>
      <c r="F45" s="438"/>
      <c r="G45" s="438"/>
      <c r="H45" s="438"/>
      <c r="I45" s="438"/>
      <c r="J45" s="438"/>
      <c r="K45" s="438"/>
      <c r="L45" s="438"/>
      <c r="M45" s="439"/>
      <c r="N45" s="106" t="s">
        <v>96</v>
      </c>
    </row>
    <row r="46" spans="1:14" x14ac:dyDescent="0.2">
      <c r="A46" s="105"/>
      <c r="B46" s="107" t="s">
        <v>428</v>
      </c>
      <c r="C46" s="98" t="s">
        <v>1242</v>
      </c>
      <c r="D46" s="98"/>
      <c r="E46" s="99"/>
      <c r="F46" s="99"/>
      <c r="G46" s="99"/>
      <c r="H46" s="99"/>
      <c r="I46" s="99"/>
      <c r="J46" s="99"/>
      <c r="K46" s="99"/>
      <c r="L46" s="99"/>
      <c r="M46" s="99"/>
      <c r="N46" s="90"/>
    </row>
    <row r="47" spans="1:14" x14ac:dyDescent="0.2">
      <c r="A47" s="105"/>
      <c r="B47" s="107" t="s">
        <v>429</v>
      </c>
      <c r="C47" s="98" t="s">
        <v>239</v>
      </c>
      <c r="D47" s="98"/>
      <c r="E47" s="99"/>
      <c r="F47" s="99"/>
      <c r="G47" s="99"/>
      <c r="H47" s="99"/>
      <c r="I47" s="99"/>
      <c r="J47" s="99"/>
      <c r="K47" s="99"/>
      <c r="L47" s="99"/>
      <c r="M47" s="99"/>
      <c r="N47" s="90"/>
    </row>
    <row r="48" spans="1:14" x14ac:dyDescent="0.2">
      <c r="A48" s="105"/>
      <c r="B48" s="107" t="s">
        <v>427</v>
      </c>
      <c r="C48" s="444" t="s">
        <v>1246</v>
      </c>
      <c r="D48" s="444"/>
      <c r="E48" s="444"/>
      <c r="F48" s="444"/>
      <c r="G48" s="444"/>
      <c r="H48" s="444"/>
      <c r="I48" s="444"/>
      <c r="J48" s="444"/>
      <c r="K48" s="444"/>
      <c r="L48" s="444"/>
      <c r="M48" s="444"/>
      <c r="N48" s="445"/>
    </row>
    <row r="49" spans="1:14" x14ac:dyDescent="0.2">
      <c r="A49" s="105"/>
      <c r="B49" s="107"/>
      <c r="C49" s="444"/>
      <c r="D49" s="444"/>
      <c r="E49" s="444"/>
      <c r="F49" s="444"/>
      <c r="G49" s="444"/>
      <c r="H49" s="444"/>
      <c r="I49" s="444"/>
      <c r="J49" s="444"/>
      <c r="K49" s="444"/>
      <c r="L49" s="444"/>
      <c r="M49" s="444"/>
      <c r="N49" s="445"/>
    </row>
    <row r="50" spans="1:14" ht="13.5" thickBot="1" x14ac:dyDescent="0.25">
      <c r="A50" s="105"/>
      <c r="B50" s="98"/>
      <c r="C50" s="444"/>
      <c r="D50" s="444"/>
      <c r="E50" s="444"/>
      <c r="F50" s="444"/>
      <c r="G50" s="444"/>
      <c r="H50" s="444"/>
      <c r="I50" s="444"/>
      <c r="J50" s="444"/>
      <c r="K50" s="444"/>
      <c r="L50" s="444"/>
      <c r="M50" s="444"/>
      <c r="N50" s="445"/>
    </row>
    <row r="51" spans="1:14" ht="13.5" thickBot="1" x14ac:dyDescent="0.25">
      <c r="A51" s="119"/>
      <c r="B51" s="120" t="s">
        <v>263</v>
      </c>
      <c r="C51" s="120"/>
      <c r="D51" s="120"/>
      <c r="E51" s="121"/>
      <c r="F51" s="121"/>
      <c r="G51" s="121"/>
      <c r="H51" s="121"/>
      <c r="I51" s="121"/>
      <c r="J51" s="138" t="s">
        <v>907</v>
      </c>
      <c r="K51" s="139" t="s">
        <v>1917</v>
      </c>
      <c r="L51" s="139"/>
      <c r="M51" s="139"/>
      <c r="N51" s="139"/>
    </row>
    <row r="52" spans="1:14" x14ac:dyDescent="0.2">
      <c r="A52" s="101"/>
      <c r="B52" s="448" t="s">
        <v>67</v>
      </c>
      <c r="C52" s="448"/>
      <c r="D52" s="448"/>
      <c r="E52" s="103"/>
      <c r="F52" s="103" t="s">
        <v>1180</v>
      </c>
      <c r="G52" s="103" t="s">
        <v>68</v>
      </c>
      <c r="H52" s="103" t="s">
        <v>702</v>
      </c>
      <c r="I52" s="103"/>
      <c r="J52" s="89">
        <f>60/ATHENS!O1*ATHENS!O2</f>
        <v>122.44897959183673</v>
      </c>
      <c r="K52" s="89">
        <f>65/ATHENS!O1*ATHENS!O2</f>
        <v>132.65306122448979</v>
      </c>
      <c r="L52" s="89"/>
      <c r="M52" s="113"/>
      <c r="N52" s="113"/>
    </row>
    <row r="53" spans="1:14" x14ac:dyDescent="0.2">
      <c r="A53" s="105"/>
      <c r="B53" s="443" t="s">
        <v>67</v>
      </c>
      <c r="C53" s="443"/>
      <c r="D53" s="443"/>
      <c r="E53" s="99"/>
      <c r="F53" s="99" t="s">
        <v>1181</v>
      </c>
      <c r="G53" s="99" t="s">
        <v>68</v>
      </c>
      <c r="H53" s="99" t="s">
        <v>702</v>
      </c>
      <c r="I53" s="99"/>
      <c r="J53" s="89">
        <f>37.5/ATHENS!O1*ATHENS!O2</f>
        <v>76.530612244897966</v>
      </c>
      <c r="K53" s="89">
        <f>39.5/ATHENS!O1*ATHENS!O2</f>
        <v>80.612244897959187</v>
      </c>
      <c r="L53" s="89"/>
      <c r="M53" s="89"/>
      <c r="N53" s="89"/>
    </row>
    <row r="54" spans="1:14" x14ac:dyDescent="0.2">
      <c r="A54" s="105"/>
      <c r="B54" s="443" t="s">
        <v>67</v>
      </c>
      <c r="C54" s="443"/>
      <c r="D54" s="443"/>
      <c r="E54" s="99"/>
      <c r="F54" s="99" t="s">
        <v>1182</v>
      </c>
      <c r="G54" s="99" t="s">
        <v>68</v>
      </c>
      <c r="H54" s="99" t="s">
        <v>702</v>
      </c>
      <c r="I54" s="99"/>
      <c r="J54" s="89">
        <f>29.5/ATHENS!O1*ATHENS!O2</f>
        <v>60.204081632653065</v>
      </c>
      <c r="K54" s="89">
        <f>32/ATHENS!O1*ATHENS!O2</f>
        <v>65.306122448979593</v>
      </c>
      <c r="L54" s="89"/>
      <c r="M54" s="89"/>
      <c r="N54" s="89"/>
    </row>
    <row r="55" spans="1:14" ht="13.5" thickBot="1" x14ac:dyDescent="0.25">
      <c r="A55" s="108"/>
      <c r="B55" s="436" t="s">
        <v>67</v>
      </c>
      <c r="C55" s="436"/>
      <c r="D55" s="436"/>
      <c r="E55" s="110"/>
      <c r="F55" s="110" t="s">
        <v>257</v>
      </c>
      <c r="G55" s="110" t="s">
        <v>68</v>
      </c>
      <c r="H55" s="110" t="s">
        <v>702</v>
      </c>
      <c r="I55" s="110"/>
      <c r="J55" s="94">
        <f>23.7/ATHENS!O1*ATHENS!O2</f>
        <v>48.367346938775512</v>
      </c>
      <c r="K55" s="94">
        <f>25/ATHENS!O1*ATHENS!O2</f>
        <v>51.020408163265309</v>
      </c>
      <c r="L55" s="94"/>
      <c r="M55" s="94"/>
      <c r="N55" s="94"/>
    </row>
    <row r="56" spans="1:14" x14ac:dyDescent="0.2">
      <c r="A56" s="97"/>
      <c r="B56" s="98"/>
      <c r="C56" s="98"/>
      <c r="D56" s="98"/>
      <c r="E56" s="99"/>
      <c r="F56" s="99"/>
      <c r="G56" s="99"/>
      <c r="H56" s="99"/>
      <c r="I56" s="99"/>
      <c r="J56" s="99"/>
      <c r="K56" s="99"/>
      <c r="L56" s="99"/>
      <c r="M56" s="99"/>
      <c r="N56" s="99"/>
    </row>
    <row r="57" spans="1:14" x14ac:dyDescent="0.2">
      <c r="A57" s="97"/>
      <c r="B57" s="98"/>
      <c r="C57" s="98"/>
      <c r="D57" s="98"/>
      <c r="E57" s="99"/>
      <c r="F57" s="99"/>
      <c r="G57" s="99"/>
      <c r="H57" s="99"/>
      <c r="I57" s="99"/>
      <c r="J57" s="99"/>
      <c r="K57" s="99"/>
      <c r="L57" s="99"/>
      <c r="M57" s="99"/>
      <c r="N57" s="99"/>
    </row>
    <row r="58" spans="1:14" ht="13.5" thickBot="1" x14ac:dyDescent="0.25">
      <c r="A58" s="97"/>
      <c r="B58" s="98"/>
      <c r="C58" s="98"/>
      <c r="D58" s="98"/>
      <c r="E58" s="99"/>
      <c r="F58" s="99"/>
      <c r="G58" s="99"/>
      <c r="H58" s="99"/>
      <c r="I58" s="99"/>
      <c r="J58" s="99"/>
      <c r="K58" s="99"/>
      <c r="L58" s="99"/>
      <c r="M58" s="99"/>
      <c r="N58" s="99"/>
    </row>
    <row r="59" spans="1:14" x14ac:dyDescent="0.2">
      <c r="A59" s="20"/>
      <c r="B59" s="21"/>
      <c r="C59" s="21"/>
      <c r="D59" s="21"/>
      <c r="E59" s="22"/>
      <c r="F59" s="22"/>
      <c r="G59" s="22"/>
      <c r="H59" s="22"/>
      <c r="I59" s="22"/>
      <c r="J59" s="22"/>
      <c r="K59" s="22"/>
      <c r="L59" s="22"/>
      <c r="M59" s="22"/>
      <c r="N59" s="23"/>
    </row>
    <row r="60" spans="1:14" ht="15" x14ac:dyDescent="0.2">
      <c r="A60" s="24"/>
      <c r="B60" s="413" t="s">
        <v>1739</v>
      </c>
      <c r="C60" s="414"/>
      <c r="D60" s="414"/>
      <c r="E60" s="414"/>
      <c r="F60" s="414"/>
      <c r="G60" s="414"/>
      <c r="H60" s="414"/>
      <c r="I60" s="414"/>
      <c r="J60" s="414"/>
      <c r="K60" s="414"/>
      <c r="L60" s="414"/>
      <c r="M60" s="415"/>
      <c r="N60" s="25" t="s">
        <v>96</v>
      </c>
    </row>
    <row r="61" spans="1:14" x14ac:dyDescent="0.2">
      <c r="A61" s="24"/>
      <c r="B61" s="26" t="s">
        <v>428</v>
      </c>
      <c r="C61" s="15" t="s">
        <v>1242</v>
      </c>
      <c r="D61" s="15"/>
      <c r="E61" s="16"/>
      <c r="F61" s="16"/>
      <c r="G61" s="16"/>
      <c r="H61" s="16"/>
      <c r="I61" s="16"/>
      <c r="J61" s="16"/>
      <c r="K61" s="16"/>
      <c r="L61" s="16"/>
      <c r="M61" s="16"/>
      <c r="N61" s="27"/>
    </row>
    <row r="62" spans="1:14" x14ac:dyDescent="0.2">
      <c r="A62" s="24"/>
      <c r="B62" s="26" t="s">
        <v>429</v>
      </c>
      <c r="C62" s="15" t="s">
        <v>1673</v>
      </c>
      <c r="D62" s="15"/>
      <c r="E62" s="16"/>
      <c r="F62" s="16"/>
      <c r="G62" s="16"/>
      <c r="H62" s="16"/>
      <c r="I62" s="16"/>
      <c r="J62" s="16"/>
      <c r="K62" s="16"/>
      <c r="L62" s="16"/>
      <c r="M62" s="16"/>
      <c r="N62" s="27"/>
    </row>
    <row r="63" spans="1:14" x14ac:dyDescent="0.2">
      <c r="A63" s="24"/>
      <c r="B63" s="26" t="s">
        <v>427</v>
      </c>
      <c r="C63" s="416" t="s">
        <v>1740</v>
      </c>
      <c r="D63" s="416"/>
      <c r="E63" s="416"/>
      <c r="F63" s="416"/>
      <c r="G63" s="416"/>
      <c r="H63" s="416"/>
      <c r="I63" s="416"/>
      <c r="J63" s="416"/>
      <c r="K63" s="416"/>
      <c r="L63" s="416"/>
      <c r="M63" s="416"/>
      <c r="N63" s="417"/>
    </row>
    <row r="64" spans="1:14" x14ac:dyDescent="0.2">
      <c r="A64" s="24"/>
      <c r="B64" s="15"/>
      <c r="C64" s="416"/>
      <c r="D64" s="416"/>
      <c r="E64" s="416"/>
      <c r="F64" s="416"/>
      <c r="G64" s="416"/>
      <c r="H64" s="416"/>
      <c r="I64" s="416"/>
      <c r="J64" s="416"/>
      <c r="K64" s="416"/>
      <c r="L64" s="416"/>
      <c r="M64" s="416"/>
      <c r="N64" s="417"/>
    </row>
    <row r="65" spans="1:14" x14ac:dyDescent="0.2">
      <c r="A65" s="24"/>
      <c r="B65" s="26" t="s">
        <v>426</v>
      </c>
      <c r="C65" s="15"/>
      <c r="D65" s="15"/>
      <c r="E65" s="16"/>
      <c r="F65" s="16"/>
      <c r="G65" s="16"/>
      <c r="H65" s="16"/>
      <c r="I65" s="16"/>
      <c r="J65" s="16"/>
      <c r="K65" s="16"/>
      <c r="L65" s="16"/>
      <c r="M65" s="16"/>
      <c r="N65" s="27"/>
    </row>
    <row r="66" spans="1:14" ht="13.5" thickBot="1" x14ac:dyDescent="0.25">
      <c r="A66" s="28"/>
      <c r="B66" s="26" t="s">
        <v>430</v>
      </c>
      <c r="C66" s="29"/>
      <c r="D66" s="29"/>
      <c r="E66" s="30"/>
      <c r="F66" s="30"/>
      <c r="G66" s="30"/>
      <c r="H66" s="30"/>
      <c r="I66" s="30"/>
      <c r="J66" s="30"/>
      <c r="K66" s="30"/>
      <c r="L66" s="30"/>
      <c r="M66" s="30"/>
      <c r="N66" s="31"/>
    </row>
    <row r="67" spans="1:14" ht="13.5" thickBot="1" x14ac:dyDescent="0.25">
      <c r="A67" s="24"/>
      <c r="B67" s="21" t="s">
        <v>263</v>
      </c>
      <c r="C67" s="15"/>
      <c r="D67" s="15"/>
      <c r="E67" s="16"/>
      <c r="F67" s="16"/>
      <c r="G67" s="16"/>
      <c r="H67" s="16"/>
      <c r="I67" s="16"/>
      <c r="J67" s="58" t="s">
        <v>1937</v>
      </c>
      <c r="K67" s="55"/>
      <c r="L67" s="55"/>
      <c r="M67" s="55"/>
      <c r="N67" s="55"/>
    </row>
    <row r="68" spans="1:14" x14ac:dyDescent="0.2">
      <c r="A68" s="20"/>
      <c r="B68" s="412" t="s">
        <v>67</v>
      </c>
      <c r="C68" s="412"/>
      <c r="D68" s="412"/>
      <c r="E68" s="22"/>
      <c r="F68" s="22" t="s">
        <v>1180</v>
      </c>
      <c r="G68" s="22" t="s">
        <v>68</v>
      </c>
      <c r="H68" s="22" t="s">
        <v>702</v>
      </c>
      <c r="I68" s="16"/>
      <c r="J68" s="66">
        <f>50/ATHENS!O1*ATHENS!O2</f>
        <v>102.04081632653062</v>
      </c>
      <c r="K68" s="66"/>
      <c r="L68" s="40"/>
      <c r="M68" s="38"/>
      <c r="N68" s="38"/>
    </row>
    <row r="69" spans="1:14" x14ac:dyDescent="0.2">
      <c r="A69" s="24"/>
      <c r="B69" s="411" t="s">
        <v>67</v>
      </c>
      <c r="C69" s="411"/>
      <c r="D69" s="411"/>
      <c r="E69" s="16"/>
      <c r="F69" s="16" t="s">
        <v>1181</v>
      </c>
      <c r="G69" s="16" t="s">
        <v>68</v>
      </c>
      <c r="H69" s="16" t="s">
        <v>702</v>
      </c>
      <c r="I69" s="16"/>
      <c r="J69" s="66">
        <f>32.5/ATHENS!O1*ATHENS!O2</f>
        <v>66.326530612244895</v>
      </c>
      <c r="K69" s="66"/>
      <c r="L69" s="40"/>
      <c r="M69" s="40"/>
      <c r="N69" s="40"/>
    </row>
    <row r="70" spans="1:14" x14ac:dyDescent="0.2">
      <c r="A70" s="24"/>
      <c r="B70" s="59" t="s">
        <v>67</v>
      </c>
      <c r="C70" s="15"/>
      <c r="D70" s="15"/>
      <c r="E70" s="16"/>
      <c r="F70" s="16" t="s">
        <v>1182</v>
      </c>
      <c r="G70" s="16" t="s">
        <v>68</v>
      </c>
      <c r="H70" s="16" t="s">
        <v>702</v>
      </c>
      <c r="I70" s="16"/>
      <c r="J70" s="66">
        <f>25/ATHENS!O1*ATHENS!O2</f>
        <v>51.020408163265309</v>
      </c>
      <c r="K70" s="66"/>
      <c r="L70" s="40"/>
      <c r="M70" s="40"/>
      <c r="N70" s="40"/>
    </row>
    <row r="71" spans="1:14" ht="13.5" thickBot="1" x14ac:dyDescent="0.25">
      <c r="A71" s="28"/>
      <c r="B71" s="418"/>
      <c r="C71" s="418"/>
      <c r="D71" s="418"/>
      <c r="E71" s="30"/>
      <c r="F71" s="80"/>
      <c r="G71" s="80"/>
      <c r="H71" s="30"/>
      <c r="I71" s="30"/>
      <c r="J71" s="67"/>
      <c r="K71" s="67"/>
      <c r="L71" s="42"/>
      <c r="M71" s="42"/>
      <c r="N71" s="42"/>
    </row>
    <row r="72" spans="1:14" ht="13.5" thickBot="1" x14ac:dyDescent="0.25">
      <c r="A72" s="14"/>
      <c r="B72" s="15"/>
      <c r="C72" s="15"/>
      <c r="D72" s="15"/>
      <c r="E72" s="16"/>
      <c r="F72" s="59"/>
      <c r="G72" s="59"/>
      <c r="H72" s="16"/>
      <c r="I72" s="16"/>
      <c r="J72" s="68"/>
      <c r="K72" s="68"/>
      <c r="L72" s="47"/>
      <c r="M72" s="47"/>
      <c r="N72" s="47"/>
    </row>
    <row r="73" spans="1:14" x14ac:dyDescent="0.2">
      <c r="A73" s="101"/>
      <c r="B73" s="102"/>
      <c r="C73" s="102"/>
      <c r="D73" s="102"/>
      <c r="E73" s="103"/>
      <c r="F73" s="103"/>
      <c r="G73" s="103"/>
      <c r="H73" s="103"/>
      <c r="I73" s="103"/>
      <c r="J73" s="103"/>
      <c r="K73" s="103"/>
      <c r="L73" s="103"/>
      <c r="M73" s="103"/>
      <c r="N73" s="104"/>
    </row>
    <row r="74" spans="1:14" ht="15" x14ac:dyDescent="0.2">
      <c r="A74" s="105"/>
      <c r="B74" s="437" t="s">
        <v>791</v>
      </c>
      <c r="C74" s="438"/>
      <c r="D74" s="438"/>
      <c r="E74" s="438"/>
      <c r="F74" s="438"/>
      <c r="G74" s="438"/>
      <c r="H74" s="438"/>
      <c r="I74" s="438"/>
      <c r="J74" s="438"/>
      <c r="K74" s="438"/>
      <c r="L74" s="438"/>
      <c r="M74" s="439"/>
      <c r="N74" s="106" t="s">
        <v>664</v>
      </c>
    </row>
    <row r="75" spans="1:14" x14ac:dyDescent="0.2">
      <c r="A75" s="105"/>
      <c r="B75" s="107" t="s">
        <v>428</v>
      </c>
      <c r="C75" s="98" t="s">
        <v>1242</v>
      </c>
      <c r="D75" s="98"/>
      <c r="E75" s="99"/>
      <c r="F75" s="99"/>
      <c r="G75" s="99"/>
      <c r="H75" s="99"/>
      <c r="I75" s="99"/>
      <c r="J75" s="99"/>
      <c r="K75" s="99"/>
      <c r="L75" s="99"/>
      <c r="M75" s="99"/>
      <c r="N75" s="90"/>
    </row>
    <row r="76" spans="1:14" x14ac:dyDescent="0.2">
      <c r="A76" s="105"/>
      <c r="B76" s="107" t="s">
        <v>429</v>
      </c>
      <c r="C76" s="98" t="s">
        <v>240</v>
      </c>
      <c r="D76" s="98"/>
      <c r="E76" s="99"/>
      <c r="F76" s="99"/>
      <c r="G76" s="99"/>
      <c r="H76" s="99"/>
      <c r="I76" s="99"/>
      <c r="J76" s="99"/>
      <c r="K76" s="99"/>
      <c r="L76" s="99"/>
      <c r="M76" s="99"/>
      <c r="N76" s="90"/>
    </row>
    <row r="77" spans="1:14" x14ac:dyDescent="0.2">
      <c r="A77" s="105"/>
      <c r="B77" s="107" t="s">
        <v>427</v>
      </c>
      <c r="C77" s="444" t="s">
        <v>1644</v>
      </c>
      <c r="D77" s="444"/>
      <c r="E77" s="444"/>
      <c r="F77" s="444"/>
      <c r="G77" s="444"/>
      <c r="H77" s="444"/>
      <c r="I77" s="444"/>
      <c r="J77" s="444"/>
      <c r="K77" s="444"/>
      <c r="L77" s="444"/>
      <c r="M77" s="444"/>
      <c r="N77" s="445"/>
    </row>
    <row r="78" spans="1:14" x14ac:dyDescent="0.2">
      <c r="A78" s="105"/>
      <c r="B78" s="98"/>
      <c r="C78" s="444"/>
      <c r="D78" s="444"/>
      <c r="E78" s="444"/>
      <c r="F78" s="444"/>
      <c r="G78" s="444"/>
      <c r="H78" s="444"/>
      <c r="I78" s="444"/>
      <c r="J78" s="444"/>
      <c r="K78" s="444"/>
      <c r="L78" s="444"/>
      <c r="M78" s="444"/>
      <c r="N78" s="445"/>
    </row>
    <row r="79" spans="1:14" x14ac:dyDescent="0.2">
      <c r="A79" s="105"/>
      <c r="B79" s="107" t="s">
        <v>426</v>
      </c>
      <c r="C79" s="98"/>
      <c r="D79" s="98"/>
      <c r="E79" s="99"/>
      <c r="F79" s="99"/>
      <c r="G79" s="99"/>
      <c r="H79" s="99"/>
      <c r="I79" s="99"/>
      <c r="J79" s="99"/>
      <c r="K79" s="99"/>
      <c r="L79" s="99"/>
      <c r="M79" s="99"/>
      <c r="N79" s="90"/>
    </row>
    <row r="80" spans="1:14" ht="13.5" thickBot="1" x14ac:dyDescent="0.25">
      <c r="A80" s="108"/>
      <c r="B80" s="107" t="s">
        <v>430</v>
      </c>
      <c r="C80" s="109"/>
      <c r="D80" s="109"/>
      <c r="E80" s="110"/>
      <c r="F80" s="110"/>
      <c r="G80" s="110"/>
      <c r="H80" s="110"/>
      <c r="I80" s="110"/>
      <c r="J80" s="110"/>
      <c r="K80" s="110"/>
      <c r="L80" s="110"/>
      <c r="M80" s="110"/>
      <c r="N80" s="93"/>
    </row>
    <row r="81" spans="1:14" ht="13.5" thickBot="1" x14ac:dyDescent="0.25">
      <c r="A81" s="108"/>
      <c r="B81" s="120" t="s">
        <v>263</v>
      </c>
      <c r="C81" s="109"/>
      <c r="D81" s="109"/>
      <c r="E81" s="110"/>
      <c r="F81" s="110"/>
      <c r="G81" s="110"/>
      <c r="H81" s="110"/>
      <c r="I81" s="110"/>
      <c r="J81" s="112" t="s">
        <v>907</v>
      </c>
      <c r="K81" s="94" t="s">
        <v>611</v>
      </c>
      <c r="L81" s="94"/>
      <c r="M81" s="94"/>
      <c r="N81" s="94"/>
    </row>
    <row r="82" spans="1:14" x14ac:dyDescent="0.2">
      <c r="A82" s="101"/>
      <c r="B82" s="448" t="s">
        <v>67</v>
      </c>
      <c r="C82" s="448"/>
      <c r="D82" s="448"/>
      <c r="E82" s="103"/>
      <c r="F82" s="103" t="s">
        <v>1180</v>
      </c>
      <c r="G82" s="103" t="s">
        <v>68</v>
      </c>
      <c r="H82" s="103" t="s">
        <v>702</v>
      </c>
      <c r="I82" s="103"/>
      <c r="J82" s="89">
        <f>26/ATHENS!O1*ATHENS!O2</f>
        <v>53.061224489795919</v>
      </c>
      <c r="K82" s="89">
        <f>35/ATHENS!O1*ATHENS!O2</f>
        <v>71.428571428571431</v>
      </c>
      <c r="L82" s="89"/>
      <c r="M82" s="113"/>
      <c r="N82" s="113"/>
    </row>
    <row r="83" spans="1:14" x14ac:dyDescent="0.2">
      <c r="A83" s="105"/>
      <c r="B83" s="443" t="s">
        <v>67</v>
      </c>
      <c r="C83" s="443"/>
      <c r="D83" s="443"/>
      <c r="E83" s="99"/>
      <c r="F83" s="99" t="s">
        <v>1181</v>
      </c>
      <c r="G83" s="99" t="s">
        <v>68</v>
      </c>
      <c r="H83" s="99" t="s">
        <v>702</v>
      </c>
      <c r="I83" s="99"/>
      <c r="J83" s="89">
        <f>21/ATHENS!O1*ATHENS!O2</f>
        <v>42.857142857142861</v>
      </c>
      <c r="K83" s="89">
        <f>24/ATHENS!O1*ATHENS!O2</f>
        <v>48.979591836734691</v>
      </c>
      <c r="L83" s="89"/>
      <c r="M83" s="89"/>
      <c r="N83" s="89"/>
    </row>
    <row r="84" spans="1:14" x14ac:dyDescent="0.2">
      <c r="A84" s="105"/>
      <c r="B84" s="443" t="s">
        <v>67</v>
      </c>
      <c r="C84" s="443"/>
      <c r="D84" s="443"/>
      <c r="E84" s="99"/>
      <c r="F84" s="99" t="s">
        <v>1182</v>
      </c>
      <c r="G84" s="99" t="s">
        <v>68</v>
      </c>
      <c r="H84" s="99" t="s">
        <v>702</v>
      </c>
      <c r="I84" s="99"/>
      <c r="J84" s="89">
        <f>17/ATHENS!O1*ATHENS!O2</f>
        <v>34.693877551020407</v>
      </c>
      <c r="K84" s="89">
        <f>21/ATHENS!O1*ATHENS!O2</f>
        <v>42.857142857142861</v>
      </c>
      <c r="L84" s="89"/>
      <c r="M84" s="89"/>
      <c r="N84" s="89"/>
    </row>
    <row r="85" spans="1:14" x14ac:dyDescent="0.2">
      <c r="A85" s="105"/>
      <c r="B85" s="443" t="s">
        <v>67</v>
      </c>
      <c r="C85" s="443"/>
      <c r="D85" s="443"/>
      <c r="E85" s="99"/>
      <c r="F85" s="99" t="s">
        <v>257</v>
      </c>
      <c r="G85" s="99" t="s">
        <v>68</v>
      </c>
      <c r="H85" s="99" t="s">
        <v>702</v>
      </c>
      <c r="I85" s="99"/>
      <c r="J85" s="89" t="s">
        <v>864</v>
      </c>
      <c r="K85" s="89">
        <f>18/ATHENS!O1*ATHENS!O2</f>
        <v>36.734693877551024</v>
      </c>
      <c r="L85" s="89"/>
      <c r="M85" s="89"/>
      <c r="N85" s="89"/>
    </row>
    <row r="86" spans="1:14" ht="13.5" thickBot="1" x14ac:dyDescent="0.25">
      <c r="A86" s="108"/>
      <c r="B86" s="436"/>
      <c r="C86" s="436"/>
      <c r="D86" s="436"/>
      <c r="E86" s="110"/>
      <c r="F86" s="110"/>
      <c r="G86" s="110"/>
      <c r="H86" s="110"/>
      <c r="I86" s="110"/>
      <c r="J86" s="94"/>
      <c r="K86" s="94"/>
      <c r="L86" s="94"/>
      <c r="M86" s="94"/>
      <c r="N86" s="94"/>
    </row>
    <row r="87" spans="1:14" x14ac:dyDescent="0.2">
      <c r="A87" s="97"/>
      <c r="B87" s="123"/>
      <c r="C87" s="123"/>
      <c r="D87" s="123"/>
      <c r="E87" s="124"/>
      <c r="F87" s="124"/>
      <c r="G87" s="124"/>
      <c r="H87" s="124"/>
      <c r="I87" s="124"/>
      <c r="J87" s="124"/>
      <c r="K87" s="124"/>
      <c r="L87" s="124"/>
      <c r="M87" s="124"/>
      <c r="N87" s="124"/>
    </row>
  </sheetData>
  <customSheetViews>
    <customSheetView guid="{3C76061C-A85D-4390-B9DB-73E13038638C}" showPageBreaks="1" showGridLines="0" view="pageLayout">
      <selection activeCell="M51" sqref="M51"/>
      <rowBreaks count="1" manualBreakCount="1">
        <brk id="87" max="16383" man="1"/>
      </rowBreaks>
      <pageMargins left="0.28125" right="0.25" top="0.6692913385826772" bottom="0.70866141732283472" header="0.23622047244094491" footer="0.47244094488188981"/>
      <printOptions horizontalCentered="1"/>
      <pageSetup paperSize="9" firstPageNumber="75"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35">
    <mergeCell ref="B84:D84"/>
    <mergeCell ref="B74:M74"/>
    <mergeCell ref="C77:N78"/>
    <mergeCell ref="B82:D82"/>
    <mergeCell ref="B69:D69"/>
    <mergeCell ref="B71:D71"/>
    <mergeCell ref="B83:D83"/>
    <mergeCell ref="B85:D85"/>
    <mergeCell ref="B86:D86"/>
    <mergeCell ref="B27:D27"/>
    <mergeCell ref="B37:D37"/>
    <mergeCell ref="B38:D38"/>
    <mergeCell ref="B39:D39"/>
    <mergeCell ref="B28:D28"/>
    <mergeCell ref="B55:D55"/>
    <mergeCell ref="B54:D54"/>
    <mergeCell ref="C63:N64"/>
    <mergeCell ref="B68:D68"/>
    <mergeCell ref="B52:D52"/>
    <mergeCell ref="B40:D40"/>
    <mergeCell ref="C48:N50"/>
    <mergeCell ref="B31:M31"/>
    <mergeCell ref="B60:M60"/>
    <mergeCell ref="B3:M3"/>
    <mergeCell ref="B53:D53"/>
    <mergeCell ref="B41:D41"/>
    <mergeCell ref="B45:M45"/>
    <mergeCell ref="B26:D26"/>
    <mergeCell ref="B18:M18"/>
    <mergeCell ref="C21:N22"/>
    <mergeCell ref="B25:D25"/>
    <mergeCell ref="C34:N35"/>
    <mergeCell ref="C6:N7"/>
    <mergeCell ref="B12:D12"/>
    <mergeCell ref="B13:D13"/>
  </mergeCells>
  <phoneticPr fontId="17" type="noConversion"/>
  <hyperlinks>
    <hyperlink ref="B18:M18" r:id="rId2" display="Amalia" xr:uid="{00000000-0004-0000-1B00-000000000000}"/>
    <hyperlink ref="B31:M31" r:id="rId3" display="Antonios" xr:uid="{00000000-0004-0000-1B00-000001000000}"/>
    <hyperlink ref="B45:M45" r:id="rId4" display="Best Western Europa" xr:uid="{00000000-0004-0000-1B00-000002000000}"/>
    <hyperlink ref="B74:M74" r:id="rId5" display="Ilis" xr:uid="{00000000-0004-0000-1B00-000003000000}"/>
    <hyperlink ref="B3:M3" r:id="rId6" display="Arty Grand" xr:uid="{00000000-0004-0000-1B00-000004000000}"/>
    <hyperlink ref="B60:M60" r:id="rId7" display="Olympic Village" xr:uid="{00000000-0004-0000-1B00-000005000000}"/>
  </hyperlinks>
  <printOptions horizontalCentered="1"/>
  <pageMargins left="0.28125" right="0.25" top="0.6692913385826772" bottom="0.70866141732283472" header="0.23622047244094491" footer="0.47244094488188981"/>
  <pageSetup paperSize="9" firstPageNumber="75" orientation="portrait" useFirstPageNumber="1" horizontalDpi="300" verticalDpi="300" r:id="rId8"/>
  <headerFooter scaleWithDoc="0" alignWithMargins="0">
    <oddHeader xml:space="preserve">&amp;C TARIFF 2026
 (EURO)
</oddHeader>
    <oddFooter>&amp;LAll rates are in EURO&amp;C
TARIFF 2026
&amp;RPage &amp;P</oddFooter>
  </headerFooter>
  <rowBreaks count="1" manualBreakCount="1">
    <brk id="87"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N41"/>
  <sheetViews>
    <sheetView showGridLines="0" view="pageLayout" topLeftCell="A4" workbookViewId="0">
      <selection activeCell="L114" sqref="L114"/>
    </sheetView>
  </sheetViews>
  <sheetFormatPr defaultRowHeight="12.75" x14ac:dyDescent="0.2"/>
  <cols>
    <col min="1" max="1" width="1.85546875" style="125" customWidth="1"/>
    <col min="2" max="3" width="10.7109375" style="125" customWidth="1"/>
    <col min="4" max="9" width="3.7109375" style="125" customWidth="1"/>
    <col min="10" max="14" width="10.7109375" style="125" customWidth="1"/>
    <col min="15" max="16384" width="9.140625" style="125"/>
  </cols>
  <sheetData>
    <row r="1" spans="1:14" ht="15.75" customHeight="1" x14ac:dyDescent="0.2">
      <c r="A1" s="97"/>
      <c r="B1" s="98"/>
      <c r="C1" s="98"/>
      <c r="D1" s="98"/>
      <c r="E1" s="99"/>
      <c r="F1" s="99"/>
      <c r="G1" s="99"/>
      <c r="H1" s="99"/>
      <c r="I1" s="99"/>
      <c r="J1" s="99"/>
      <c r="K1" s="99"/>
      <c r="L1" s="99"/>
      <c r="M1" s="99"/>
      <c r="N1" s="99"/>
    </row>
    <row r="2" spans="1:14" ht="13.5" thickBot="1" x14ac:dyDescent="0.25">
      <c r="A2" s="97"/>
      <c r="B2" s="123"/>
      <c r="C2" s="123"/>
      <c r="D2" s="123"/>
      <c r="E2" s="124"/>
      <c r="F2" s="124"/>
      <c r="G2" s="124"/>
      <c r="H2" s="124"/>
      <c r="I2" s="124"/>
      <c r="J2" s="124"/>
      <c r="K2" s="124"/>
      <c r="L2" s="124"/>
      <c r="M2" s="124"/>
      <c r="N2" s="124"/>
    </row>
    <row r="3" spans="1:14" ht="13.5" thickBot="1" x14ac:dyDescent="0.25">
      <c r="A3" s="101"/>
      <c r="B3" s="102"/>
      <c r="C3" s="102"/>
      <c r="D3" s="102"/>
      <c r="E3" s="103"/>
      <c r="F3" s="103"/>
      <c r="G3" s="103"/>
      <c r="H3" s="103"/>
      <c r="I3" s="103"/>
      <c r="J3" s="103"/>
      <c r="K3" s="103"/>
      <c r="L3" s="103"/>
      <c r="M3" s="103"/>
      <c r="N3" s="104"/>
    </row>
    <row r="4" spans="1:14" ht="15.75" thickBot="1" x14ac:dyDescent="0.25">
      <c r="A4" s="105"/>
      <c r="B4" s="459" t="s">
        <v>544</v>
      </c>
      <c r="C4" s="460"/>
      <c r="D4" s="460"/>
      <c r="E4" s="460"/>
      <c r="F4" s="460"/>
      <c r="G4" s="460"/>
      <c r="H4" s="460"/>
      <c r="I4" s="460"/>
      <c r="J4" s="460"/>
      <c r="K4" s="460"/>
      <c r="L4" s="460"/>
      <c r="M4" s="461"/>
      <c r="N4" s="106" t="s">
        <v>96</v>
      </c>
    </row>
    <row r="5" spans="1:14" x14ac:dyDescent="0.2">
      <c r="A5" s="105"/>
      <c r="B5" s="107" t="s">
        <v>428</v>
      </c>
      <c r="C5" s="98" t="s">
        <v>546</v>
      </c>
      <c r="D5" s="98"/>
      <c r="E5" s="99"/>
      <c r="F5" s="99"/>
      <c r="G5" s="99"/>
      <c r="H5" s="99"/>
      <c r="I5" s="99"/>
      <c r="J5" s="99"/>
      <c r="K5" s="99"/>
      <c r="L5" s="99"/>
      <c r="M5" s="99"/>
      <c r="N5" s="90"/>
    </row>
    <row r="6" spans="1:14" x14ac:dyDescent="0.2">
      <c r="A6" s="105"/>
      <c r="B6" s="107" t="s">
        <v>429</v>
      </c>
      <c r="C6" s="98" t="s">
        <v>242</v>
      </c>
      <c r="D6" s="98"/>
      <c r="E6" s="99"/>
      <c r="F6" s="99"/>
      <c r="G6" s="99"/>
      <c r="H6" s="99"/>
      <c r="I6" s="99"/>
      <c r="J6" s="99"/>
      <c r="K6" s="99"/>
      <c r="L6" s="99"/>
      <c r="M6" s="99"/>
      <c r="N6" s="90"/>
    </row>
    <row r="7" spans="1:14" x14ac:dyDescent="0.2">
      <c r="A7" s="105"/>
      <c r="B7" s="107" t="s">
        <v>427</v>
      </c>
      <c r="C7" s="462" t="s">
        <v>547</v>
      </c>
      <c r="D7" s="462"/>
      <c r="E7" s="462"/>
      <c r="F7" s="462"/>
      <c r="G7" s="462"/>
      <c r="H7" s="462"/>
      <c r="I7" s="462"/>
      <c r="J7" s="462"/>
      <c r="K7" s="462"/>
      <c r="L7" s="462"/>
      <c r="M7" s="462"/>
      <c r="N7" s="463"/>
    </row>
    <row r="8" spans="1:14" ht="13.5" thickBot="1" x14ac:dyDescent="0.25">
      <c r="A8" s="105"/>
      <c r="B8" s="98"/>
      <c r="C8" s="462"/>
      <c r="D8" s="462"/>
      <c r="E8" s="462"/>
      <c r="F8" s="462"/>
      <c r="G8" s="462"/>
      <c r="H8" s="462"/>
      <c r="I8" s="462"/>
      <c r="J8" s="462"/>
      <c r="K8" s="462"/>
      <c r="L8" s="462"/>
      <c r="M8" s="462"/>
      <c r="N8" s="463"/>
    </row>
    <row r="9" spans="1:14" ht="13.5" thickBot="1" x14ac:dyDescent="0.25">
      <c r="A9" s="119"/>
      <c r="B9" s="120" t="s">
        <v>263</v>
      </c>
      <c r="C9" s="120"/>
      <c r="D9" s="120"/>
      <c r="E9" s="121"/>
      <c r="F9" s="121"/>
      <c r="G9" s="121"/>
      <c r="H9" s="121"/>
      <c r="I9" s="121"/>
      <c r="J9" s="138" t="s">
        <v>229</v>
      </c>
      <c r="K9" s="139"/>
      <c r="L9" s="139"/>
      <c r="M9" s="139"/>
      <c r="N9" s="139"/>
    </row>
    <row r="10" spans="1:14" x14ac:dyDescent="0.2">
      <c r="A10" s="101"/>
      <c r="B10" s="448" t="s">
        <v>67</v>
      </c>
      <c r="C10" s="448"/>
      <c r="D10" s="448"/>
      <c r="E10" s="103"/>
      <c r="F10" s="103" t="s">
        <v>1180</v>
      </c>
      <c r="G10" s="103" t="s">
        <v>68</v>
      </c>
      <c r="H10" s="103" t="s">
        <v>702</v>
      </c>
      <c r="I10" s="103"/>
      <c r="J10" s="89">
        <f>50/ATHENS!O1*ATHENS!O2</f>
        <v>102.04081632653062</v>
      </c>
      <c r="K10" s="89"/>
      <c r="L10" s="89"/>
      <c r="M10" s="113"/>
      <c r="N10" s="113"/>
    </row>
    <row r="11" spans="1:14" x14ac:dyDescent="0.2">
      <c r="A11" s="105"/>
      <c r="B11" s="443" t="s">
        <v>67</v>
      </c>
      <c r="C11" s="443"/>
      <c r="D11" s="443"/>
      <c r="E11" s="99"/>
      <c r="F11" s="99" t="s">
        <v>1181</v>
      </c>
      <c r="G11" s="99" t="s">
        <v>68</v>
      </c>
      <c r="H11" s="99" t="s">
        <v>702</v>
      </c>
      <c r="I11" s="99"/>
      <c r="J11" s="89">
        <f>29/ATHENS!O1*ATHENS!O2</f>
        <v>59.183673469387756</v>
      </c>
      <c r="K11" s="89"/>
      <c r="L11" s="89"/>
      <c r="M11" s="89"/>
      <c r="N11" s="89"/>
    </row>
    <row r="12" spans="1:14" ht="13.5" thickBot="1" x14ac:dyDescent="0.25">
      <c r="A12" s="108"/>
      <c r="B12" s="436" t="s">
        <v>67</v>
      </c>
      <c r="C12" s="436"/>
      <c r="D12" s="436"/>
      <c r="E12" s="110"/>
      <c r="F12" s="110" t="s">
        <v>1182</v>
      </c>
      <c r="G12" s="110" t="s">
        <v>68</v>
      </c>
      <c r="H12" s="110" t="s">
        <v>702</v>
      </c>
      <c r="I12" s="110"/>
      <c r="J12" s="94">
        <f>27.6/ATHENS!O1*ATHENS!O2</f>
        <v>56.326530612244902</v>
      </c>
      <c r="K12" s="94"/>
      <c r="L12" s="94"/>
      <c r="M12" s="94"/>
      <c r="N12" s="94"/>
    </row>
    <row r="13" spans="1:14" ht="13.5" thickBot="1" x14ac:dyDescent="0.25">
      <c r="A13" s="97"/>
      <c r="B13" s="98"/>
      <c r="C13" s="98"/>
      <c r="D13" s="98"/>
      <c r="E13" s="99"/>
      <c r="F13" s="99"/>
      <c r="G13" s="99"/>
      <c r="H13" s="99"/>
      <c r="I13" s="99"/>
      <c r="J13" s="99"/>
      <c r="K13" s="99"/>
      <c r="L13" s="99"/>
      <c r="M13" s="99"/>
      <c r="N13" s="99"/>
    </row>
    <row r="14" spans="1:14" ht="13.5" thickBot="1" x14ac:dyDescent="0.25">
      <c r="A14" s="101"/>
      <c r="B14" s="102"/>
      <c r="C14" s="102"/>
      <c r="D14" s="102"/>
      <c r="E14" s="103"/>
      <c r="F14" s="103"/>
      <c r="G14" s="103"/>
      <c r="H14" s="103"/>
      <c r="I14" s="103"/>
      <c r="J14" s="103"/>
      <c r="K14" s="103"/>
      <c r="L14" s="103"/>
      <c r="M14" s="103"/>
      <c r="N14" s="104"/>
    </row>
    <row r="15" spans="1:14" ht="15.75" thickBot="1" x14ac:dyDescent="0.25">
      <c r="A15" s="105"/>
      <c r="B15" s="459" t="s">
        <v>545</v>
      </c>
      <c r="C15" s="460"/>
      <c r="D15" s="460"/>
      <c r="E15" s="460"/>
      <c r="F15" s="460"/>
      <c r="G15" s="460"/>
      <c r="H15" s="460"/>
      <c r="I15" s="460"/>
      <c r="J15" s="460"/>
      <c r="K15" s="460"/>
      <c r="L15" s="460"/>
      <c r="M15" s="461"/>
      <c r="N15" s="106" t="s">
        <v>96</v>
      </c>
    </row>
    <row r="16" spans="1:14" x14ac:dyDescent="0.2">
      <c r="A16" s="105"/>
      <c r="B16" s="107" t="s">
        <v>428</v>
      </c>
      <c r="C16" s="98" t="s">
        <v>548</v>
      </c>
      <c r="D16" s="98"/>
      <c r="E16" s="99"/>
      <c r="F16" s="99"/>
      <c r="G16" s="99"/>
      <c r="H16" s="99"/>
      <c r="I16" s="99"/>
      <c r="J16" s="99"/>
      <c r="K16" s="99"/>
      <c r="L16" s="99"/>
      <c r="M16" s="99"/>
      <c r="N16" s="90"/>
    </row>
    <row r="17" spans="1:14" x14ac:dyDescent="0.2">
      <c r="A17" s="105"/>
      <c r="B17" s="107" t="s">
        <v>429</v>
      </c>
      <c r="C17" s="98" t="s">
        <v>243</v>
      </c>
      <c r="D17" s="98"/>
      <c r="E17" s="99"/>
      <c r="F17" s="99"/>
      <c r="G17" s="99"/>
      <c r="H17" s="99"/>
      <c r="I17" s="99"/>
      <c r="J17" s="99"/>
      <c r="K17" s="99"/>
      <c r="L17" s="99"/>
      <c r="M17" s="99"/>
      <c r="N17" s="90"/>
    </row>
    <row r="18" spans="1:14" x14ac:dyDescent="0.2">
      <c r="A18" s="105"/>
      <c r="B18" s="107" t="s">
        <v>427</v>
      </c>
      <c r="C18" s="444" t="s">
        <v>549</v>
      </c>
      <c r="D18" s="444"/>
      <c r="E18" s="444"/>
      <c r="F18" s="444"/>
      <c r="G18" s="444"/>
      <c r="H18" s="444"/>
      <c r="I18" s="444"/>
      <c r="J18" s="444"/>
      <c r="K18" s="444"/>
      <c r="L18" s="444"/>
      <c r="M18" s="444"/>
      <c r="N18" s="445"/>
    </row>
    <row r="19" spans="1:14" x14ac:dyDescent="0.2">
      <c r="A19" s="105"/>
      <c r="B19" s="107"/>
      <c r="C19" s="444"/>
      <c r="D19" s="444"/>
      <c r="E19" s="444"/>
      <c r="F19" s="444"/>
      <c r="G19" s="444"/>
      <c r="H19" s="444"/>
      <c r="I19" s="444"/>
      <c r="J19" s="444"/>
      <c r="K19" s="444"/>
      <c r="L19" s="444"/>
      <c r="M19" s="444"/>
      <c r="N19" s="445"/>
    </row>
    <row r="20" spans="1:14" x14ac:dyDescent="0.2">
      <c r="A20" s="105"/>
      <c r="B20" s="98"/>
      <c r="C20" s="444"/>
      <c r="D20" s="444"/>
      <c r="E20" s="444"/>
      <c r="F20" s="444"/>
      <c r="G20" s="444"/>
      <c r="H20" s="444"/>
      <c r="I20" s="444"/>
      <c r="J20" s="444"/>
      <c r="K20" s="444"/>
      <c r="L20" s="444"/>
      <c r="M20" s="444"/>
      <c r="N20" s="445"/>
    </row>
    <row r="21" spans="1:14" x14ac:dyDescent="0.2">
      <c r="A21" s="105"/>
      <c r="B21" s="107" t="s">
        <v>426</v>
      </c>
      <c r="C21" s="98"/>
      <c r="D21" s="98"/>
      <c r="E21" s="99"/>
      <c r="F21" s="99"/>
      <c r="G21" s="99"/>
      <c r="H21" s="99"/>
      <c r="I21" s="99"/>
      <c r="J21" s="99"/>
      <c r="K21" s="99"/>
      <c r="L21" s="99"/>
      <c r="M21" s="99"/>
      <c r="N21" s="90"/>
    </row>
    <row r="22" spans="1:14" ht="13.5" thickBot="1" x14ac:dyDescent="0.25">
      <c r="A22" s="108"/>
      <c r="B22" s="107" t="s">
        <v>430</v>
      </c>
      <c r="C22" s="109"/>
      <c r="D22" s="109"/>
      <c r="E22" s="110"/>
      <c r="F22" s="110"/>
      <c r="G22" s="110"/>
      <c r="H22" s="110"/>
      <c r="I22" s="110"/>
      <c r="J22" s="110"/>
      <c r="K22" s="110"/>
      <c r="L22" s="110"/>
      <c r="M22" s="110"/>
      <c r="N22" s="93"/>
    </row>
    <row r="23" spans="1:14" ht="13.5" thickBot="1" x14ac:dyDescent="0.25">
      <c r="A23" s="108"/>
      <c r="B23" s="107" t="s">
        <v>263</v>
      </c>
      <c r="C23" s="109"/>
      <c r="D23" s="109"/>
      <c r="E23" s="110"/>
      <c r="F23" s="110"/>
      <c r="G23" s="110"/>
      <c r="H23" s="110"/>
      <c r="I23" s="110"/>
      <c r="J23" s="110" t="s">
        <v>1443</v>
      </c>
      <c r="K23" s="110"/>
      <c r="L23" s="110"/>
      <c r="M23" s="110"/>
      <c r="N23" s="93"/>
    </row>
    <row r="24" spans="1:14" ht="13.5" thickBot="1" x14ac:dyDescent="0.25">
      <c r="A24" s="108"/>
      <c r="B24" s="120" t="s">
        <v>263</v>
      </c>
      <c r="C24" s="109"/>
      <c r="D24" s="109"/>
      <c r="E24" s="110"/>
      <c r="F24" s="110"/>
      <c r="G24" s="110"/>
      <c r="H24" s="110"/>
      <c r="I24" s="110"/>
      <c r="J24" s="112" t="s">
        <v>494</v>
      </c>
      <c r="K24" s="94" t="s">
        <v>514</v>
      </c>
      <c r="L24" s="94"/>
      <c r="M24" s="94"/>
      <c r="N24" s="94"/>
    </row>
    <row r="25" spans="1:14" x14ac:dyDescent="0.2">
      <c r="A25" s="101"/>
      <c r="B25" s="448" t="s">
        <v>67</v>
      </c>
      <c r="C25" s="448"/>
      <c r="D25" s="448"/>
      <c r="E25" s="103"/>
      <c r="F25" s="103" t="s">
        <v>1180</v>
      </c>
      <c r="G25" s="103" t="s">
        <v>68</v>
      </c>
      <c r="H25" s="103" t="s">
        <v>702</v>
      </c>
      <c r="I25" s="103"/>
      <c r="J25" s="89">
        <f>70/ATHENS!O1*ATHENS!O2</f>
        <v>142.85714285714286</v>
      </c>
      <c r="K25" s="89">
        <f>86/ATHENS!O1*ATHENS!O2</f>
        <v>175.51020408163265</v>
      </c>
      <c r="L25" s="89"/>
      <c r="M25" s="113"/>
      <c r="N25" s="113"/>
    </row>
    <row r="26" spans="1:14" x14ac:dyDescent="0.2">
      <c r="A26" s="105"/>
      <c r="B26" s="443" t="s">
        <v>67</v>
      </c>
      <c r="C26" s="443"/>
      <c r="D26" s="443"/>
      <c r="E26" s="99"/>
      <c r="F26" s="99" t="s">
        <v>1181</v>
      </c>
      <c r="G26" s="99" t="s">
        <v>68</v>
      </c>
      <c r="H26" s="99" t="s">
        <v>702</v>
      </c>
      <c r="I26" s="99"/>
      <c r="J26" s="89">
        <f>43.5/ATHENS!O1*ATHENS!O2</f>
        <v>88.775510204081641</v>
      </c>
      <c r="K26" s="89">
        <f>60/ATHENS!O1*ATHENS!O2</f>
        <v>122.44897959183673</v>
      </c>
      <c r="L26" s="89"/>
      <c r="M26" s="89"/>
      <c r="N26" s="89"/>
    </row>
    <row r="27" spans="1:14" ht="13.5" thickBot="1" x14ac:dyDescent="0.25">
      <c r="A27" s="108"/>
      <c r="B27" s="436" t="s">
        <v>67</v>
      </c>
      <c r="C27" s="436"/>
      <c r="D27" s="436"/>
      <c r="E27" s="110"/>
      <c r="F27" s="110" t="s">
        <v>1182</v>
      </c>
      <c r="G27" s="110" t="s">
        <v>68</v>
      </c>
      <c r="H27" s="110" t="s">
        <v>702</v>
      </c>
      <c r="I27" s="110"/>
      <c r="J27" s="94">
        <f>40.5/ATHENS!O1*ATHENS!O2</f>
        <v>82.653061224489804</v>
      </c>
      <c r="K27" s="94">
        <f>51/ATHENS!O1*ATHENS!O2</f>
        <v>104.08163265306122</v>
      </c>
      <c r="L27" s="94"/>
      <c r="M27" s="94"/>
      <c r="N27" s="94"/>
    </row>
    <row r="28" spans="1:14" ht="13.5" thickBot="1" x14ac:dyDescent="0.25">
      <c r="A28" s="97"/>
      <c r="B28" s="123"/>
      <c r="C28" s="123"/>
      <c r="D28" s="123"/>
      <c r="E28" s="124"/>
      <c r="F28" s="124"/>
      <c r="G28" s="124"/>
      <c r="H28" s="124"/>
      <c r="I28" s="124"/>
      <c r="J28" s="124"/>
      <c r="K28" s="124"/>
      <c r="L28" s="124"/>
      <c r="M28" s="124"/>
      <c r="N28" s="124"/>
    </row>
    <row r="29" spans="1:14" ht="13.5" thickBot="1" x14ac:dyDescent="0.25">
      <c r="A29" s="101"/>
      <c r="B29" s="102"/>
      <c r="C29" s="102"/>
      <c r="D29" s="102"/>
      <c r="E29" s="103"/>
      <c r="F29" s="103"/>
      <c r="G29" s="103"/>
      <c r="H29" s="103"/>
      <c r="I29" s="103"/>
      <c r="J29" s="103"/>
      <c r="K29" s="103"/>
      <c r="L29" s="103"/>
      <c r="M29" s="103"/>
      <c r="N29" s="104"/>
    </row>
    <row r="30" spans="1:14" ht="15.75" thickBot="1" x14ac:dyDescent="0.25">
      <c r="A30" s="105"/>
      <c r="B30" s="459" t="s">
        <v>686</v>
      </c>
      <c r="C30" s="460"/>
      <c r="D30" s="460"/>
      <c r="E30" s="460"/>
      <c r="F30" s="460"/>
      <c r="G30" s="460"/>
      <c r="H30" s="460"/>
      <c r="I30" s="460"/>
      <c r="J30" s="460"/>
      <c r="K30" s="460"/>
      <c r="L30" s="460"/>
      <c r="M30" s="461"/>
      <c r="N30" s="106" t="s">
        <v>684</v>
      </c>
    </row>
    <row r="31" spans="1:14" x14ac:dyDescent="0.2">
      <c r="A31" s="105"/>
      <c r="B31" s="107" t="s">
        <v>428</v>
      </c>
      <c r="C31" s="98" t="s">
        <v>550</v>
      </c>
      <c r="D31" s="98"/>
      <c r="E31" s="99"/>
      <c r="F31" s="99"/>
      <c r="G31" s="99"/>
      <c r="H31" s="99"/>
      <c r="I31" s="99"/>
      <c r="J31" s="99"/>
      <c r="K31" s="99"/>
      <c r="L31" s="99"/>
      <c r="M31" s="99"/>
      <c r="N31" s="90"/>
    </row>
    <row r="32" spans="1:14" x14ac:dyDescent="0.2">
      <c r="A32" s="105"/>
      <c r="B32" s="107" t="s">
        <v>429</v>
      </c>
      <c r="C32" s="98" t="s">
        <v>302</v>
      </c>
      <c r="D32" s="98"/>
      <c r="E32" s="99"/>
      <c r="F32" s="99"/>
      <c r="G32" s="99"/>
      <c r="H32" s="99"/>
      <c r="I32" s="99"/>
      <c r="J32" s="99"/>
      <c r="K32" s="99"/>
      <c r="L32" s="99"/>
      <c r="M32" s="99"/>
      <c r="N32" s="90"/>
    </row>
    <row r="33" spans="1:14" x14ac:dyDescent="0.2">
      <c r="A33" s="105"/>
      <c r="B33" s="107" t="s">
        <v>427</v>
      </c>
      <c r="C33" s="444" t="s">
        <v>551</v>
      </c>
      <c r="D33" s="444"/>
      <c r="E33" s="444"/>
      <c r="F33" s="444"/>
      <c r="G33" s="444"/>
      <c r="H33" s="444"/>
      <c r="I33" s="444"/>
      <c r="J33" s="444"/>
      <c r="K33" s="444"/>
      <c r="L33" s="444"/>
      <c r="M33" s="444"/>
      <c r="N33" s="445"/>
    </row>
    <row r="34" spans="1:14" x14ac:dyDescent="0.2">
      <c r="A34" s="105"/>
      <c r="B34" s="98"/>
      <c r="C34" s="444"/>
      <c r="D34" s="444"/>
      <c r="E34" s="444"/>
      <c r="F34" s="444"/>
      <c r="G34" s="444"/>
      <c r="H34" s="444"/>
      <c r="I34" s="444"/>
      <c r="J34" s="444"/>
      <c r="K34" s="444"/>
      <c r="L34" s="444"/>
      <c r="M34" s="444"/>
      <c r="N34" s="445"/>
    </row>
    <row r="35" spans="1:14" x14ac:dyDescent="0.2">
      <c r="A35" s="105"/>
      <c r="B35" s="107" t="s">
        <v>426</v>
      </c>
      <c r="C35" s="98"/>
      <c r="D35" s="98"/>
      <c r="E35" s="99"/>
      <c r="F35" s="99"/>
      <c r="G35" s="99"/>
      <c r="H35" s="99"/>
      <c r="I35" s="99"/>
      <c r="J35" s="99"/>
      <c r="K35" s="99"/>
      <c r="L35" s="99"/>
      <c r="M35" s="99"/>
      <c r="N35" s="90"/>
    </row>
    <row r="36" spans="1:14" ht="13.5" thickBot="1" x14ac:dyDescent="0.25">
      <c r="A36" s="108"/>
      <c r="B36" s="107" t="s">
        <v>430</v>
      </c>
      <c r="C36" s="109"/>
      <c r="D36" s="109"/>
      <c r="E36" s="110"/>
      <c r="F36" s="110"/>
      <c r="G36" s="110"/>
      <c r="H36" s="110"/>
      <c r="I36" s="110"/>
      <c r="J36" s="110"/>
      <c r="K36" s="110"/>
      <c r="L36" s="110"/>
      <c r="M36" s="110"/>
      <c r="N36" s="93"/>
    </row>
    <row r="37" spans="1:14" ht="13.5" thickBot="1" x14ac:dyDescent="0.25">
      <c r="A37" s="108"/>
      <c r="B37" s="107"/>
      <c r="C37" s="109"/>
      <c r="D37" s="109"/>
      <c r="E37" s="110"/>
      <c r="F37" s="110"/>
      <c r="G37" s="110"/>
      <c r="H37" s="110"/>
      <c r="I37" s="110"/>
      <c r="J37" s="110"/>
      <c r="K37" s="110"/>
      <c r="L37" s="110"/>
      <c r="M37" s="110"/>
      <c r="N37" s="93"/>
    </row>
    <row r="38" spans="1:14" ht="13.5" thickBot="1" x14ac:dyDescent="0.25">
      <c r="A38" s="108"/>
      <c r="B38" s="120" t="s">
        <v>263</v>
      </c>
      <c r="C38" s="109"/>
      <c r="D38" s="109"/>
      <c r="E38" s="110"/>
      <c r="F38" s="110"/>
      <c r="G38" s="110"/>
      <c r="H38" s="110"/>
      <c r="I38" s="110"/>
      <c r="J38" s="112" t="s">
        <v>229</v>
      </c>
      <c r="K38" s="94"/>
      <c r="L38" s="94"/>
      <c r="M38" s="94"/>
      <c r="N38" s="94"/>
    </row>
    <row r="39" spans="1:14" x14ac:dyDescent="0.2">
      <c r="A39" s="101"/>
      <c r="B39" s="448" t="s">
        <v>67</v>
      </c>
      <c r="C39" s="448"/>
      <c r="D39" s="448"/>
      <c r="E39" s="103"/>
      <c r="F39" s="103" t="s">
        <v>1180</v>
      </c>
      <c r="G39" s="103" t="s">
        <v>68</v>
      </c>
      <c r="H39" s="103" t="s">
        <v>702</v>
      </c>
      <c r="I39" s="103"/>
      <c r="J39" s="89">
        <f>30/ATHENS!O1*ATHENS!O2</f>
        <v>61.224489795918366</v>
      </c>
      <c r="K39" s="89"/>
      <c r="L39" s="89"/>
      <c r="M39" s="113"/>
      <c r="N39" s="113"/>
    </row>
    <row r="40" spans="1:14" ht="13.5" thickBot="1" x14ac:dyDescent="0.25">
      <c r="A40" s="108"/>
      <c r="B40" s="436" t="s">
        <v>67</v>
      </c>
      <c r="C40" s="436"/>
      <c r="D40" s="436"/>
      <c r="E40" s="110"/>
      <c r="F40" s="110" t="s">
        <v>1181</v>
      </c>
      <c r="G40" s="110" t="s">
        <v>68</v>
      </c>
      <c r="H40" s="110" t="s">
        <v>702</v>
      </c>
      <c r="I40" s="110"/>
      <c r="J40" s="94">
        <f>20/ATHENS!O1*ATHENS!O2</f>
        <v>40.816326530612244</v>
      </c>
      <c r="K40" s="94"/>
      <c r="L40" s="94"/>
      <c r="M40" s="94"/>
      <c r="N40" s="94"/>
    </row>
    <row r="41" spans="1:14" x14ac:dyDescent="0.2">
      <c r="A41" s="97"/>
      <c r="B41" s="98"/>
      <c r="C41" s="98"/>
      <c r="D41" s="98"/>
      <c r="E41" s="99"/>
      <c r="F41" s="99"/>
      <c r="G41" s="99"/>
      <c r="H41" s="99"/>
      <c r="I41" s="99"/>
      <c r="J41" s="99"/>
      <c r="K41" s="99"/>
      <c r="L41" s="99"/>
      <c r="M41" s="99"/>
      <c r="N41" s="99"/>
    </row>
  </sheetData>
  <customSheetViews>
    <customSheetView guid="{3C76061C-A85D-4390-B9DB-73E13038638C}" showPageBreaks="1" showGridLines="0" view="pageLayout" topLeftCell="A4">
      <selection activeCell="M51" sqref="M51"/>
      <pageMargins left="0.28125" right="0.25" top="0.6692913385826772" bottom="0.70866141732283472" header="0.23622047244094491" footer="0.47244094488188981"/>
      <printOptions horizontalCentered="1"/>
      <pageSetup paperSize="9" firstPageNumber="77"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14">
    <mergeCell ref="B40:D40"/>
    <mergeCell ref="B30:M30"/>
    <mergeCell ref="C33:N34"/>
    <mergeCell ref="B39:D39"/>
    <mergeCell ref="B26:D26"/>
    <mergeCell ref="B4:M4"/>
    <mergeCell ref="B12:D12"/>
    <mergeCell ref="B27:D27"/>
    <mergeCell ref="C7:N8"/>
    <mergeCell ref="B10:D10"/>
    <mergeCell ref="B11:D11"/>
    <mergeCell ref="B15:M15"/>
    <mergeCell ref="C18:N20"/>
    <mergeCell ref="B25:D25"/>
  </mergeCells>
  <phoneticPr fontId="17" type="noConversion"/>
  <hyperlinks>
    <hyperlink ref="B4:M4" r:id="rId2" display="Patras Palace" xr:uid="{00000000-0004-0000-1C00-000000000000}"/>
    <hyperlink ref="B15:M15" r:id="rId3" display="Porto Rio Casino" xr:uid="{00000000-0004-0000-1C00-000001000000}"/>
    <hyperlink ref="B30:M30" r:id="rId4" display="Mediterranee" xr:uid="{00000000-0004-0000-1C00-000002000000}"/>
  </hyperlinks>
  <printOptions horizontalCentered="1"/>
  <pageMargins left="0.28125" right="0.25" top="0.6692913385826772" bottom="0.70866141732283472" header="0.23622047244094491" footer="0.47244094488188981"/>
  <pageSetup paperSize="9" firstPageNumber="77" orientation="portrait" useFirstPageNumber="1" horizontalDpi="300" verticalDpi="300" r:id="rId5"/>
  <headerFooter scaleWithDoc="0" alignWithMargins="0">
    <oddHeader xml:space="preserve">&amp;C TARIFF 2026
 (EURO)
</oddHeader>
    <oddFooter>&amp;LAll rates are in EURO&amp;C
TARIFF 2026
&amp;RPage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2"/>
  <dimension ref="A1:L45"/>
  <sheetViews>
    <sheetView showGridLines="0" view="pageLayout" workbookViewId="0">
      <selection activeCell="C4" sqref="C4:L7"/>
    </sheetView>
  </sheetViews>
  <sheetFormatPr defaultRowHeight="12.75" x14ac:dyDescent="0.2"/>
  <cols>
    <col min="1" max="1" width="4" customWidth="1"/>
    <col min="2" max="2" width="1.5703125" customWidth="1"/>
  </cols>
  <sheetData>
    <row r="1" spans="1:12" ht="15" customHeight="1" x14ac:dyDescent="0.2">
      <c r="A1" s="354" t="s">
        <v>1084</v>
      </c>
      <c r="B1" s="354"/>
      <c r="C1" s="354"/>
      <c r="D1" s="354"/>
      <c r="E1" s="354"/>
      <c r="F1" s="354"/>
      <c r="G1" s="354"/>
      <c r="H1" s="354"/>
      <c r="I1" s="354"/>
      <c r="J1" s="354"/>
      <c r="K1" s="354"/>
    </row>
    <row r="2" spans="1:12" ht="15" customHeight="1" x14ac:dyDescent="0.2"/>
    <row r="3" spans="1:12" ht="15" customHeight="1" x14ac:dyDescent="0.2">
      <c r="A3" s="3" t="s">
        <v>671</v>
      </c>
      <c r="B3" s="3"/>
    </row>
    <row r="4" spans="1:12" x14ac:dyDescent="0.2">
      <c r="A4" s="9" t="s">
        <v>111</v>
      </c>
      <c r="B4" s="9"/>
      <c r="C4" s="358" t="s">
        <v>2236</v>
      </c>
      <c r="D4" s="358"/>
      <c r="E4" s="358"/>
      <c r="F4" s="358"/>
      <c r="G4" s="358"/>
      <c r="H4" s="358"/>
      <c r="I4" s="358"/>
      <c r="J4" s="358"/>
      <c r="K4" s="359"/>
      <c r="L4" s="359"/>
    </row>
    <row r="5" spans="1:12" x14ac:dyDescent="0.2">
      <c r="C5" s="358"/>
      <c r="D5" s="358"/>
      <c r="E5" s="358"/>
      <c r="F5" s="358"/>
      <c r="G5" s="358"/>
      <c r="H5" s="358"/>
      <c r="I5" s="358"/>
      <c r="J5" s="358"/>
      <c r="K5" s="359"/>
      <c r="L5" s="359"/>
    </row>
    <row r="6" spans="1:12" x14ac:dyDescent="0.2">
      <c r="C6" s="358"/>
      <c r="D6" s="358"/>
      <c r="E6" s="358"/>
      <c r="F6" s="358"/>
      <c r="G6" s="358"/>
      <c r="H6" s="358"/>
      <c r="I6" s="358"/>
      <c r="J6" s="358"/>
      <c r="K6" s="359"/>
      <c r="L6" s="359"/>
    </row>
    <row r="7" spans="1:12" ht="24.75" customHeight="1" x14ac:dyDescent="0.2">
      <c r="C7" s="358"/>
      <c r="D7" s="358"/>
      <c r="E7" s="358"/>
      <c r="F7" s="358"/>
      <c r="G7" s="358"/>
      <c r="H7" s="358"/>
      <c r="I7" s="358"/>
      <c r="J7" s="358"/>
      <c r="K7" s="359"/>
      <c r="L7" s="359"/>
    </row>
    <row r="8" spans="1:12" ht="6" customHeight="1" x14ac:dyDescent="0.2">
      <c r="C8" s="196"/>
      <c r="D8" s="196"/>
      <c r="E8" s="196"/>
      <c r="F8" s="196"/>
      <c r="G8" s="196"/>
      <c r="H8" s="196"/>
      <c r="I8" s="196"/>
      <c r="J8" s="196"/>
      <c r="K8" s="199"/>
      <c r="L8" s="199"/>
    </row>
    <row r="9" spans="1:12" ht="15" customHeight="1" x14ac:dyDescent="0.2">
      <c r="A9" s="3" t="s">
        <v>672</v>
      </c>
      <c r="B9" s="3"/>
    </row>
    <row r="10" spans="1:12" ht="15" customHeight="1" x14ac:dyDescent="0.2">
      <c r="A10" s="9" t="s">
        <v>111</v>
      </c>
      <c r="B10" s="9"/>
      <c r="C10" s="358" t="s">
        <v>2237</v>
      </c>
      <c r="D10" s="358"/>
      <c r="E10" s="358"/>
      <c r="F10" s="358"/>
      <c r="G10" s="358"/>
      <c r="H10" s="358"/>
      <c r="I10" s="358"/>
      <c r="J10" s="358"/>
      <c r="K10" s="358"/>
      <c r="L10" s="358"/>
    </row>
    <row r="11" spans="1:12" ht="15" customHeight="1" x14ac:dyDescent="0.2">
      <c r="C11" s="358"/>
      <c r="D11" s="358"/>
      <c r="E11" s="358"/>
      <c r="F11" s="358"/>
      <c r="G11" s="358"/>
      <c r="H11" s="358"/>
      <c r="I11" s="358"/>
      <c r="J11" s="358"/>
      <c r="K11" s="358"/>
      <c r="L11" s="358"/>
    </row>
    <row r="12" spans="1:12" ht="15" customHeight="1" x14ac:dyDescent="0.2">
      <c r="A12" s="9" t="s">
        <v>111</v>
      </c>
      <c r="B12" s="9"/>
      <c r="C12" s="358" t="s">
        <v>1110</v>
      </c>
      <c r="D12" s="358"/>
      <c r="E12" s="358"/>
      <c r="F12" s="358"/>
      <c r="G12" s="358"/>
      <c r="H12" s="358"/>
      <c r="I12" s="358"/>
      <c r="J12" s="358"/>
      <c r="K12" s="358"/>
      <c r="L12" s="358"/>
    </row>
    <row r="13" spans="1:12" ht="15" customHeight="1" x14ac:dyDescent="0.2">
      <c r="C13" s="358"/>
      <c r="D13" s="358"/>
      <c r="E13" s="358"/>
      <c r="F13" s="358"/>
      <c r="G13" s="358"/>
      <c r="H13" s="358"/>
      <c r="I13" s="358"/>
      <c r="J13" s="358"/>
      <c r="K13" s="358"/>
      <c r="L13" s="358"/>
    </row>
    <row r="14" spans="1:12" ht="13.5" customHeight="1" x14ac:dyDescent="0.2">
      <c r="C14" s="358"/>
      <c r="D14" s="358"/>
      <c r="E14" s="358"/>
      <c r="F14" s="358"/>
      <c r="G14" s="358"/>
      <c r="H14" s="358"/>
      <c r="I14" s="358"/>
      <c r="J14" s="358"/>
      <c r="K14" s="358"/>
      <c r="L14" s="358"/>
    </row>
    <row r="15" spans="1:12" ht="18" customHeight="1" x14ac:dyDescent="0.2">
      <c r="A15" s="9" t="s">
        <v>111</v>
      </c>
      <c r="B15" s="9"/>
      <c r="C15" s="202" t="s">
        <v>1547</v>
      </c>
    </row>
    <row r="16" spans="1:12" ht="24" customHeight="1" x14ac:dyDescent="0.2">
      <c r="A16" s="9" t="s">
        <v>111</v>
      </c>
      <c r="B16" s="9"/>
      <c r="C16" s="358" t="s">
        <v>1546</v>
      </c>
      <c r="D16" s="358"/>
      <c r="E16" s="358"/>
      <c r="F16" s="358"/>
      <c r="G16" s="358"/>
      <c r="H16" s="358"/>
      <c r="I16" s="358"/>
      <c r="J16" s="359"/>
      <c r="K16" s="359"/>
      <c r="L16" s="359"/>
    </row>
    <row r="17" spans="1:12" x14ac:dyDescent="0.2">
      <c r="C17" s="358"/>
      <c r="D17" s="358"/>
      <c r="E17" s="358"/>
      <c r="F17" s="358"/>
      <c r="G17" s="358"/>
      <c r="H17" s="358"/>
      <c r="I17" s="358"/>
      <c r="J17" s="359"/>
      <c r="K17" s="359"/>
      <c r="L17" s="359"/>
    </row>
    <row r="18" spans="1:12" x14ac:dyDescent="0.2">
      <c r="A18" s="9" t="s">
        <v>111</v>
      </c>
      <c r="B18" s="9"/>
      <c r="C18" s="355" t="s">
        <v>1545</v>
      </c>
      <c r="D18" s="356"/>
      <c r="E18" s="356"/>
      <c r="F18" s="356"/>
      <c r="G18" s="356"/>
      <c r="H18" s="356"/>
      <c r="I18" s="356"/>
      <c r="J18" s="356"/>
      <c r="K18" s="356"/>
      <c r="L18" s="357"/>
    </row>
    <row r="19" spans="1:12" ht="15" customHeight="1" x14ac:dyDescent="0.2">
      <c r="A19" s="9"/>
      <c r="B19" s="9"/>
      <c r="C19" s="355"/>
      <c r="D19" s="356"/>
      <c r="E19" s="356"/>
      <c r="F19" s="356"/>
      <c r="G19" s="356"/>
      <c r="H19" s="356"/>
      <c r="I19" s="356"/>
      <c r="J19" s="356"/>
      <c r="K19" s="356"/>
      <c r="L19" s="357"/>
    </row>
    <row r="20" spans="1:12" ht="8.25" customHeight="1" x14ac:dyDescent="0.2">
      <c r="A20" s="9"/>
      <c r="B20" s="9"/>
      <c r="C20" s="198"/>
      <c r="D20" s="196"/>
      <c r="E20" s="196"/>
      <c r="F20" s="196"/>
      <c r="G20" s="196"/>
      <c r="H20" s="196"/>
      <c r="I20" s="196"/>
      <c r="J20" s="196"/>
      <c r="K20" s="196"/>
      <c r="L20" s="199"/>
    </row>
    <row r="21" spans="1:12" ht="15" customHeight="1" x14ac:dyDescent="0.2">
      <c r="A21" s="197" t="s">
        <v>1313</v>
      </c>
    </row>
    <row r="22" spans="1:12" ht="15" customHeight="1" x14ac:dyDescent="0.2">
      <c r="A22" s="9"/>
      <c r="B22" s="9"/>
      <c r="C22" s="358" t="s">
        <v>1113</v>
      </c>
      <c r="D22" s="358"/>
      <c r="E22" s="358"/>
      <c r="F22" s="358"/>
      <c r="G22" s="358"/>
      <c r="H22" s="358"/>
      <c r="I22" s="358"/>
      <c r="J22" s="358"/>
      <c r="K22" s="358"/>
      <c r="L22" s="359"/>
    </row>
    <row r="23" spans="1:12" ht="144" customHeight="1" x14ac:dyDescent="0.2">
      <c r="C23" s="358"/>
      <c r="D23" s="358"/>
      <c r="E23" s="358"/>
      <c r="F23" s="358"/>
      <c r="G23" s="358"/>
      <c r="H23" s="358"/>
      <c r="I23" s="358"/>
      <c r="J23" s="358"/>
      <c r="K23" s="358"/>
      <c r="L23" s="359"/>
    </row>
    <row r="24" spans="1:12" ht="6" customHeight="1" x14ac:dyDescent="0.2">
      <c r="C24" s="200"/>
      <c r="D24" s="200"/>
      <c r="E24" s="200"/>
      <c r="F24" s="200"/>
      <c r="G24" s="200"/>
      <c r="H24" s="200"/>
      <c r="I24" s="200"/>
      <c r="J24" s="200"/>
      <c r="K24" s="200"/>
      <c r="L24" s="199"/>
    </row>
    <row r="25" spans="1:12" ht="15" customHeight="1" x14ac:dyDescent="0.2">
      <c r="A25" s="197" t="s">
        <v>1314</v>
      </c>
    </row>
    <row r="26" spans="1:12" ht="26.25" customHeight="1" x14ac:dyDescent="0.2">
      <c r="A26" s="9"/>
      <c r="B26" s="9"/>
      <c r="C26" s="358" t="s">
        <v>1315</v>
      </c>
      <c r="D26" s="358"/>
      <c r="E26" s="358"/>
      <c r="F26" s="358"/>
      <c r="G26" s="358"/>
      <c r="H26" s="358"/>
      <c r="I26" s="358"/>
      <c r="J26" s="358"/>
      <c r="K26" s="358"/>
      <c r="L26" s="358"/>
    </row>
    <row r="27" spans="1:12" ht="7.5" customHeight="1" x14ac:dyDescent="0.2"/>
    <row r="28" spans="1:12" ht="15" customHeight="1" x14ac:dyDescent="0.2">
      <c r="A28" s="197" t="s">
        <v>1316</v>
      </c>
    </row>
    <row r="29" spans="1:12" ht="15" customHeight="1" x14ac:dyDescent="0.2">
      <c r="C29" s="201" t="s">
        <v>1317</v>
      </c>
    </row>
    <row r="30" spans="1:12" ht="8.25" customHeight="1" x14ac:dyDescent="0.2"/>
    <row r="31" spans="1:12" ht="15" x14ac:dyDescent="0.2">
      <c r="A31" s="197" t="s">
        <v>1318</v>
      </c>
    </row>
    <row r="32" spans="1:12" x14ac:dyDescent="0.2">
      <c r="C32" s="360" t="s">
        <v>1544</v>
      </c>
      <c r="D32" s="358"/>
      <c r="E32" s="358"/>
      <c r="F32" s="358"/>
      <c r="G32" s="358"/>
      <c r="H32" s="358"/>
      <c r="I32" s="358"/>
      <c r="J32" s="358"/>
      <c r="K32" s="358"/>
      <c r="L32" s="358"/>
    </row>
    <row r="33" spans="3:12" x14ac:dyDescent="0.2">
      <c r="C33" s="358"/>
      <c r="D33" s="358"/>
      <c r="E33" s="358"/>
      <c r="F33" s="358"/>
      <c r="G33" s="358"/>
      <c r="H33" s="358"/>
      <c r="I33" s="358"/>
      <c r="J33" s="358"/>
      <c r="K33" s="358"/>
      <c r="L33" s="358"/>
    </row>
    <row r="34" spans="3:12" x14ac:dyDescent="0.2">
      <c r="C34" s="358"/>
      <c r="D34" s="358"/>
      <c r="E34" s="358"/>
      <c r="F34" s="358"/>
      <c r="G34" s="358"/>
      <c r="H34" s="358"/>
      <c r="I34" s="358"/>
      <c r="J34" s="358"/>
      <c r="K34" s="358"/>
      <c r="L34" s="358"/>
    </row>
    <row r="35" spans="3:12" x14ac:dyDescent="0.2">
      <c r="C35" s="358"/>
      <c r="D35" s="358"/>
      <c r="E35" s="358"/>
      <c r="F35" s="358"/>
      <c r="G35" s="358"/>
      <c r="H35" s="358"/>
      <c r="I35" s="358"/>
      <c r="J35" s="358"/>
      <c r="K35" s="358"/>
      <c r="L35" s="358"/>
    </row>
    <row r="36" spans="3:12" x14ac:dyDescent="0.2">
      <c r="C36" s="358"/>
      <c r="D36" s="358"/>
      <c r="E36" s="358"/>
      <c r="F36" s="358"/>
      <c r="G36" s="358"/>
      <c r="H36" s="358"/>
      <c r="I36" s="358"/>
      <c r="J36" s="358"/>
      <c r="K36" s="358"/>
      <c r="L36" s="358"/>
    </row>
    <row r="37" spans="3:12" x14ac:dyDescent="0.2">
      <c r="C37" s="358"/>
      <c r="D37" s="358"/>
      <c r="E37" s="358"/>
      <c r="F37" s="358"/>
      <c r="G37" s="358"/>
      <c r="H37" s="358"/>
      <c r="I37" s="358"/>
      <c r="J37" s="358"/>
      <c r="K37" s="358"/>
      <c r="L37" s="358"/>
    </row>
    <row r="38" spans="3:12" x14ac:dyDescent="0.2">
      <c r="C38" s="358"/>
      <c r="D38" s="358"/>
      <c r="E38" s="358"/>
      <c r="F38" s="358"/>
      <c r="G38" s="358"/>
      <c r="H38" s="358"/>
      <c r="I38" s="358"/>
      <c r="J38" s="358"/>
      <c r="K38" s="358"/>
      <c r="L38" s="358"/>
    </row>
    <row r="39" spans="3:12" x14ac:dyDescent="0.2">
      <c r="C39" s="358"/>
      <c r="D39" s="358"/>
      <c r="E39" s="358"/>
      <c r="F39" s="358"/>
      <c r="G39" s="358"/>
      <c r="H39" s="358"/>
      <c r="I39" s="358"/>
      <c r="J39" s="358"/>
      <c r="K39" s="358"/>
      <c r="L39" s="358"/>
    </row>
    <row r="40" spans="3:12" x14ac:dyDescent="0.2">
      <c r="C40" s="358"/>
      <c r="D40" s="358"/>
      <c r="E40" s="358"/>
      <c r="F40" s="358"/>
      <c r="G40" s="358"/>
      <c r="H40" s="358"/>
      <c r="I40" s="358"/>
      <c r="J40" s="358"/>
      <c r="K40" s="358"/>
      <c r="L40" s="358"/>
    </row>
    <row r="41" spans="3:12" x14ac:dyDescent="0.2">
      <c r="C41" s="358"/>
      <c r="D41" s="358"/>
      <c r="E41" s="358"/>
      <c r="F41" s="358"/>
      <c r="G41" s="358"/>
      <c r="H41" s="358"/>
      <c r="I41" s="358"/>
      <c r="J41" s="358"/>
      <c r="K41" s="358"/>
      <c r="L41" s="358"/>
    </row>
    <row r="42" spans="3:12" x14ac:dyDescent="0.2">
      <c r="C42" s="358"/>
      <c r="D42" s="358"/>
      <c r="E42" s="358"/>
      <c r="F42" s="358"/>
      <c r="G42" s="358"/>
      <c r="H42" s="358"/>
      <c r="I42" s="358"/>
      <c r="J42" s="358"/>
      <c r="K42" s="358"/>
      <c r="L42" s="358"/>
    </row>
    <row r="43" spans="3:12" x14ac:dyDescent="0.2">
      <c r="C43" s="358"/>
      <c r="D43" s="358"/>
      <c r="E43" s="358"/>
      <c r="F43" s="358"/>
      <c r="G43" s="358"/>
      <c r="H43" s="358"/>
      <c r="I43" s="358"/>
      <c r="J43" s="358"/>
      <c r="K43" s="358"/>
      <c r="L43" s="358"/>
    </row>
    <row r="45" spans="3:12" x14ac:dyDescent="0.2">
      <c r="L45" s="11" t="s">
        <v>670</v>
      </c>
    </row>
  </sheetData>
  <customSheetViews>
    <customSheetView guid="{95D45CB7-1E39-11D6-AFD7-008048E20DDD}" showRuler="0">
      <pageMargins left="0.75" right="0.75" top="1" bottom="1" header="0.5" footer="0.5"/>
      <pageSetup paperSize="9" orientation="portrait" horizontalDpi="4294967293" verticalDpi="0" r:id="rId1"/>
      <headerFooter alignWithMargins="0"/>
    </customSheetView>
    <customSheetView guid="{777CFE61-6F99-11D9-974B-0050BFD074B6}" showRuler="0">
      <selection activeCell="L11" sqref="L11"/>
      <pageMargins left="0.74803149606299213" right="0.74803149606299213" top="0" bottom="0" header="0.51181102362204722" footer="0.51181102362204722"/>
      <pageSetup paperSize="9" orientation="portrait" horizontalDpi="4294967293" verticalDpi="300" r:id="rId2"/>
      <headerFooter alignWithMargins="0"/>
    </customSheetView>
    <customSheetView guid="{3C76061C-A85D-4390-B9DB-73E13038638C}" showPageBreaks="1" showGridLines="0" view="pageLayout">
      <selection activeCell="G8" sqref="G8"/>
      <pageMargins left="0.28125" right="0.25" top="0.6692913385826772" bottom="0.70866141732283472" header="0.23622047244094491" footer="0.47244094488188981"/>
      <printOptions horizontalCentered="1"/>
      <pageSetup paperSize="9" orientation="portrait" horizontalDpi="300" verticalDpi="300" r:id="rId3"/>
      <headerFooter scaleWithDoc="0" alignWithMargins="0">
        <oddHeader xml:space="preserve">&amp;C TARIFF 2019
 (EURO)
</oddHeader>
        <oddFooter>&amp;LAll rates are in EURO&amp;C
TARIFF 2019
&amp;RPage &amp;P</oddFooter>
      </headerFooter>
    </customSheetView>
  </customSheetViews>
  <mergeCells count="9">
    <mergeCell ref="A1:K1"/>
    <mergeCell ref="C18:L19"/>
    <mergeCell ref="C22:L23"/>
    <mergeCell ref="C26:L26"/>
    <mergeCell ref="C32:L43"/>
    <mergeCell ref="C10:L11"/>
    <mergeCell ref="C12:L14"/>
    <mergeCell ref="C4:L7"/>
    <mergeCell ref="C16:L17"/>
  </mergeCells>
  <phoneticPr fontId="0" type="noConversion"/>
  <printOptions horizontalCentered="1"/>
  <pageMargins left="0.28125" right="0.25" top="0.6692913385826772" bottom="0.70866141732283472" header="0.23622047244094491" footer="0.47244094488188981"/>
  <pageSetup paperSize="9" orientation="portrait" horizontalDpi="300" verticalDpi="300" r:id="rId4"/>
  <headerFooter scaleWithDoc="0" alignWithMargins="0">
    <oddHeader xml:space="preserve">&amp;C TARIFF 2026
 (EURO)
</oddHeader>
    <oddFooter>&amp;LAll rates are in EURO&amp;C
TARIFF 2026
&amp;RPage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9"/>
  <dimension ref="A1:N219"/>
  <sheetViews>
    <sheetView showGridLines="0" view="pageLayout" topLeftCell="A256" zoomScaleNormal="100" workbookViewId="0">
      <selection activeCell="L114" sqref="L114"/>
    </sheetView>
  </sheetViews>
  <sheetFormatPr defaultRowHeight="12.75" x14ac:dyDescent="0.2"/>
  <cols>
    <col min="1" max="1" width="1.85546875" style="100" customWidth="1"/>
    <col min="2" max="3" width="10.7109375" style="100" customWidth="1"/>
    <col min="4" max="9" width="3.7109375" style="100" customWidth="1"/>
    <col min="10" max="14" width="10.7109375" style="100" customWidth="1"/>
    <col min="15" max="15" width="9.28515625" style="100" customWidth="1"/>
    <col min="16" max="25" width="2.7109375" style="100" customWidth="1"/>
    <col min="26" max="16384" width="9.140625" style="100"/>
  </cols>
  <sheetData>
    <row r="1" spans="1:14" ht="13.5" thickBot="1" x14ac:dyDescent="0.25">
      <c r="A1" s="101"/>
      <c r="B1" s="102"/>
      <c r="C1" s="102"/>
      <c r="D1" s="102"/>
      <c r="E1" s="103"/>
      <c r="F1" s="103"/>
      <c r="G1" s="103"/>
      <c r="H1" s="103"/>
      <c r="I1" s="103"/>
      <c r="J1" s="103"/>
      <c r="K1" s="103"/>
      <c r="L1" s="103"/>
      <c r="M1" s="103"/>
      <c r="N1" s="104"/>
    </row>
    <row r="2" spans="1:14" ht="15.75" thickBot="1" x14ac:dyDescent="0.25">
      <c r="A2" s="105"/>
      <c r="B2" s="459" t="s">
        <v>260</v>
      </c>
      <c r="C2" s="460"/>
      <c r="D2" s="460"/>
      <c r="E2" s="460"/>
      <c r="F2" s="460"/>
      <c r="G2" s="460"/>
      <c r="H2" s="460"/>
      <c r="I2" s="460"/>
      <c r="J2" s="460"/>
      <c r="K2" s="460"/>
      <c r="L2" s="460"/>
      <c r="M2" s="461"/>
      <c r="N2" s="106" t="s">
        <v>91</v>
      </c>
    </row>
    <row r="3" spans="1:14" x14ac:dyDescent="0.2">
      <c r="A3" s="105"/>
      <c r="B3" s="107" t="s">
        <v>428</v>
      </c>
      <c r="C3" s="98" t="s">
        <v>261</v>
      </c>
      <c r="D3" s="98"/>
      <c r="E3" s="99"/>
      <c r="F3" s="99"/>
      <c r="G3" s="99"/>
      <c r="H3" s="99"/>
      <c r="I3" s="99"/>
      <c r="J3" s="99"/>
      <c r="K3" s="99"/>
      <c r="L3" s="99"/>
      <c r="M3" s="99"/>
      <c r="N3" s="90"/>
    </row>
    <row r="4" spans="1:14" x14ac:dyDescent="0.2">
      <c r="A4" s="105"/>
      <c r="B4" s="107" t="s">
        <v>429</v>
      </c>
      <c r="C4" s="98" t="s">
        <v>608</v>
      </c>
      <c r="D4" s="98"/>
      <c r="E4" s="99"/>
      <c r="F4" s="99"/>
      <c r="G4" s="99"/>
      <c r="H4" s="99"/>
      <c r="I4" s="99"/>
      <c r="J4" s="99"/>
      <c r="K4" s="99"/>
      <c r="L4" s="99"/>
      <c r="M4" s="99"/>
      <c r="N4" s="90"/>
    </row>
    <row r="5" spans="1:14" x14ac:dyDescent="0.2">
      <c r="A5" s="105"/>
      <c r="B5" s="107" t="s">
        <v>427</v>
      </c>
      <c r="C5" s="455" t="s">
        <v>839</v>
      </c>
      <c r="D5" s="455"/>
      <c r="E5" s="455"/>
      <c r="F5" s="455"/>
      <c r="G5" s="455"/>
      <c r="H5" s="455"/>
      <c r="I5" s="455"/>
      <c r="J5" s="455"/>
      <c r="K5" s="455"/>
      <c r="L5" s="455"/>
      <c r="M5" s="455"/>
      <c r="N5" s="456"/>
    </row>
    <row r="6" spans="1:14" x14ac:dyDescent="0.2">
      <c r="A6" s="105"/>
      <c r="B6" s="107"/>
      <c r="C6" s="455"/>
      <c r="D6" s="455"/>
      <c r="E6" s="455"/>
      <c r="F6" s="455"/>
      <c r="G6" s="455"/>
      <c r="H6" s="455"/>
      <c r="I6" s="455"/>
      <c r="J6" s="455"/>
      <c r="K6" s="455"/>
      <c r="L6" s="455"/>
      <c r="M6" s="455"/>
      <c r="N6" s="456"/>
    </row>
    <row r="7" spans="1:14" x14ac:dyDescent="0.2">
      <c r="A7" s="105"/>
      <c r="B7" s="107"/>
      <c r="C7" s="455"/>
      <c r="D7" s="455"/>
      <c r="E7" s="455"/>
      <c r="F7" s="455"/>
      <c r="G7" s="455"/>
      <c r="H7" s="455"/>
      <c r="I7" s="455"/>
      <c r="J7" s="455"/>
      <c r="K7" s="455"/>
      <c r="L7" s="455"/>
      <c r="M7" s="455"/>
      <c r="N7" s="456"/>
    </row>
    <row r="8" spans="1:14" x14ac:dyDescent="0.2">
      <c r="A8" s="105"/>
      <c r="B8" s="107"/>
      <c r="C8" s="455"/>
      <c r="D8" s="455"/>
      <c r="E8" s="455"/>
      <c r="F8" s="455"/>
      <c r="G8" s="455"/>
      <c r="H8" s="455"/>
      <c r="I8" s="455"/>
      <c r="J8" s="455"/>
      <c r="K8" s="455"/>
      <c r="L8" s="455"/>
      <c r="M8" s="455"/>
      <c r="N8" s="456"/>
    </row>
    <row r="9" spans="1:14" x14ac:dyDescent="0.2">
      <c r="A9" s="105"/>
      <c r="B9" s="98"/>
      <c r="C9" s="455"/>
      <c r="D9" s="455"/>
      <c r="E9" s="455"/>
      <c r="F9" s="455"/>
      <c r="G9" s="455"/>
      <c r="H9" s="455"/>
      <c r="I9" s="455"/>
      <c r="J9" s="455"/>
      <c r="K9" s="455"/>
      <c r="L9" s="455"/>
      <c r="M9" s="455"/>
      <c r="N9" s="456"/>
    </row>
    <row r="10" spans="1:14" x14ac:dyDescent="0.2">
      <c r="A10" s="105"/>
      <c r="B10" s="98"/>
      <c r="C10" s="455"/>
      <c r="D10" s="455"/>
      <c r="E10" s="455"/>
      <c r="F10" s="455"/>
      <c r="G10" s="455"/>
      <c r="H10" s="455"/>
      <c r="I10" s="455"/>
      <c r="J10" s="455"/>
      <c r="K10" s="455"/>
      <c r="L10" s="455"/>
      <c r="M10" s="455"/>
      <c r="N10" s="456"/>
    </row>
    <row r="11" spans="1:14" x14ac:dyDescent="0.2">
      <c r="A11" s="105"/>
      <c r="B11" s="107" t="s">
        <v>426</v>
      </c>
      <c r="C11" s="98" t="s">
        <v>181</v>
      </c>
      <c r="D11" s="98"/>
      <c r="E11" s="99"/>
      <c r="F11" s="99"/>
      <c r="G11" s="99"/>
      <c r="H11" s="99"/>
      <c r="I11" s="99"/>
      <c r="J11" s="99"/>
      <c r="K11" s="99"/>
      <c r="L11" s="99"/>
      <c r="M11" s="99"/>
      <c r="N11" s="90"/>
    </row>
    <row r="12" spans="1:14" ht="13.5" thickBot="1" x14ac:dyDescent="0.25">
      <c r="A12" s="108"/>
      <c r="B12" s="118" t="s">
        <v>430</v>
      </c>
      <c r="C12" s="109"/>
      <c r="D12" s="109"/>
      <c r="E12" s="110"/>
      <c r="F12" s="110"/>
      <c r="G12" s="110"/>
      <c r="H12" s="110"/>
      <c r="I12" s="110"/>
      <c r="J12" s="110"/>
      <c r="K12" s="110"/>
      <c r="L12" s="110"/>
      <c r="M12" s="110"/>
      <c r="N12" s="93"/>
    </row>
    <row r="13" spans="1:14" x14ac:dyDescent="0.2">
      <c r="A13" s="101"/>
      <c r="B13" s="102" t="s">
        <v>263</v>
      </c>
      <c r="C13" s="102"/>
      <c r="D13" s="102"/>
      <c r="E13" s="103"/>
      <c r="F13" s="103"/>
      <c r="G13" s="103"/>
      <c r="H13" s="103"/>
      <c r="I13" s="103"/>
      <c r="J13" s="114" t="s">
        <v>1938</v>
      </c>
      <c r="K13" s="113" t="s">
        <v>1940</v>
      </c>
      <c r="L13" s="113"/>
      <c r="M13" s="113"/>
      <c r="N13" s="113"/>
    </row>
    <row r="14" spans="1:14" ht="13.5" thickBot="1" x14ac:dyDescent="0.25">
      <c r="A14" s="108"/>
      <c r="B14" s="109" t="s">
        <v>263</v>
      </c>
      <c r="C14" s="109"/>
      <c r="D14" s="109"/>
      <c r="E14" s="110"/>
      <c r="F14" s="110"/>
      <c r="G14" s="110"/>
      <c r="H14" s="110"/>
      <c r="I14" s="110"/>
      <c r="J14" s="112" t="s">
        <v>1939</v>
      </c>
      <c r="K14" s="94" t="s">
        <v>818</v>
      </c>
      <c r="L14" s="94" t="s">
        <v>1941</v>
      </c>
      <c r="M14" s="94"/>
      <c r="N14" s="94"/>
    </row>
    <row r="15" spans="1:14" x14ac:dyDescent="0.2">
      <c r="A15" s="101"/>
      <c r="B15" s="448" t="s">
        <v>67</v>
      </c>
      <c r="C15" s="448"/>
      <c r="D15" s="448"/>
      <c r="E15" s="103"/>
      <c r="F15" s="103" t="s">
        <v>1180</v>
      </c>
      <c r="G15" s="103" t="s">
        <v>68</v>
      </c>
      <c r="H15" s="103" t="s">
        <v>702</v>
      </c>
      <c r="I15" s="103"/>
      <c r="J15" s="89">
        <f>170/ATHENS!O1*ATHENS!O2</f>
        <v>346.9387755102041</v>
      </c>
      <c r="K15" s="89">
        <f>205/ATHENS!O1*ATHENS!O2</f>
        <v>418.36734693877554</v>
      </c>
      <c r="L15" s="89">
        <f>235/ATHENS!O1*ATHENS!O2</f>
        <v>479.59183673469391</v>
      </c>
      <c r="M15" s="113"/>
      <c r="N15" s="113"/>
    </row>
    <row r="16" spans="1:14" x14ac:dyDescent="0.2">
      <c r="A16" s="105"/>
      <c r="B16" s="443" t="s">
        <v>67</v>
      </c>
      <c r="C16" s="443"/>
      <c r="D16" s="443"/>
      <c r="E16" s="99"/>
      <c r="F16" s="99" t="s">
        <v>1181</v>
      </c>
      <c r="G16" s="99" t="s">
        <v>68</v>
      </c>
      <c r="H16" s="99" t="s">
        <v>702</v>
      </c>
      <c r="I16" s="99"/>
      <c r="J16" s="89">
        <f>85/ATHENS!O1*ATHENS!O2</f>
        <v>173.46938775510205</v>
      </c>
      <c r="K16" s="89">
        <f>102.5/ATHENS!O1*ATHENS!O2</f>
        <v>209.18367346938777</v>
      </c>
      <c r="L16" s="89">
        <f>117.5/ATHENS!O1*ATHENS!O2</f>
        <v>239.79591836734696</v>
      </c>
      <c r="M16" s="89"/>
      <c r="N16" s="89"/>
    </row>
    <row r="17" spans="1:14" ht="13.5" thickBot="1" x14ac:dyDescent="0.25">
      <c r="A17" s="108"/>
      <c r="B17" s="436" t="s">
        <v>182</v>
      </c>
      <c r="C17" s="436"/>
      <c r="D17" s="436"/>
      <c r="E17" s="110"/>
      <c r="F17" s="110" t="s">
        <v>1182</v>
      </c>
      <c r="G17" s="110" t="s">
        <v>68</v>
      </c>
      <c r="H17" s="110" t="s">
        <v>702</v>
      </c>
      <c r="I17" s="110"/>
      <c r="J17" s="94">
        <f>76.6/ATHENS!O1*ATHENS!O2</f>
        <v>156.32653061224488</v>
      </c>
      <c r="K17" s="94">
        <f>91.6/ATHENS!O1*ATHENS!O2</f>
        <v>186.93877551020407</v>
      </c>
      <c r="L17" s="94">
        <f>105/ATHENS!O1*ATHENS!O2</f>
        <v>214.28571428571428</v>
      </c>
      <c r="M17" s="94"/>
      <c r="N17" s="94"/>
    </row>
    <row r="18" spans="1:14" ht="13.5" thickBot="1" x14ac:dyDescent="0.25">
      <c r="A18" s="97"/>
      <c r="B18" s="98"/>
      <c r="C18" s="98"/>
      <c r="D18" s="98"/>
      <c r="E18" s="99"/>
      <c r="F18" s="99"/>
      <c r="G18" s="99"/>
      <c r="H18" s="99"/>
      <c r="I18" s="99"/>
      <c r="J18" s="99"/>
      <c r="K18" s="99"/>
      <c r="L18" s="99"/>
      <c r="M18" s="99"/>
      <c r="N18" s="99"/>
    </row>
    <row r="19" spans="1:14" ht="13.5" thickBot="1" x14ac:dyDescent="0.25">
      <c r="A19" s="101"/>
      <c r="B19" s="102"/>
      <c r="C19" s="102"/>
      <c r="D19" s="102"/>
      <c r="E19" s="103"/>
      <c r="F19" s="103"/>
      <c r="G19" s="103"/>
      <c r="H19" s="103"/>
      <c r="I19" s="103"/>
      <c r="J19" s="103"/>
      <c r="K19" s="103"/>
      <c r="L19" s="103"/>
      <c r="M19" s="103"/>
      <c r="N19" s="104"/>
    </row>
    <row r="20" spans="1:14" ht="15.75" thickBot="1" x14ac:dyDescent="0.25">
      <c r="A20" s="105"/>
      <c r="B20" s="459" t="s">
        <v>162</v>
      </c>
      <c r="C20" s="460"/>
      <c r="D20" s="460"/>
      <c r="E20" s="460"/>
      <c r="F20" s="460"/>
      <c r="G20" s="460"/>
      <c r="H20" s="460"/>
      <c r="I20" s="460"/>
      <c r="J20" s="460"/>
      <c r="K20" s="460"/>
      <c r="L20" s="460"/>
      <c r="M20" s="461"/>
      <c r="N20" s="106" t="s">
        <v>91</v>
      </c>
    </row>
    <row r="21" spans="1:14" x14ac:dyDescent="0.2">
      <c r="A21" s="105"/>
      <c r="B21" s="107" t="s">
        <v>428</v>
      </c>
      <c r="C21" s="98" t="s">
        <v>163</v>
      </c>
      <c r="D21" s="98"/>
      <c r="E21" s="99"/>
      <c r="F21" s="99"/>
      <c r="G21" s="99"/>
      <c r="H21" s="99"/>
      <c r="I21" s="99"/>
      <c r="J21" s="99"/>
      <c r="K21" s="99"/>
      <c r="L21" s="99"/>
      <c r="M21" s="99"/>
      <c r="N21" s="90"/>
    </row>
    <row r="22" spans="1:14" x14ac:dyDescent="0.2">
      <c r="A22" s="105"/>
      <c r="B22" s="107" t="s">
        <v>429</v>
      </c>
      <c r="C22" s="98" t="s">
        <v>1170</v>
      </c>
      <c r="D22" s="98"/>
      <c r="E22" s="99"/>
      <c r="F22" s="99"/>
      <c r="G22" s="99"/>
      <c r="H22" s="99"/>
      <c r="I22" s="99"/>
      <c r="J22" s="99"/>
      <c r="K22" s="99"/>
      <c r="L22" s="99"/>
      <c r="M22" s="99"/>
      <c r="N22" s="90"/>
    </row>
    <row r="23" spans="1:14" x14ac:dyDescent="0.2">
      <c r="A23" s="105"/>
      <c r="B23" s="107" t="s">
        <v>427</v>
      </c>
      <c r="C23" s="455" t="s">
        <v>842</v>
      </c>
      <c r="D23" s="455"/>
      <c r="E23" s="455"/>
      <c r="F23" s="455"/>
      <c r="G23" s="455"/>
      <c r="H23" s="455"/>
      <c r="I23" s="455"/>
      <c r="J23" s="455"/>
      <c r="K23" s="455"/>
      <c r="L23" s="455"/>
      <c r="M23" s="455"/>
      <c r="N23" s="456"/>
    </row>
    <row r="24" spans="1:14" x14ac:dyDescent="0.2">
      <c r="A24" s="105"/>
      <c r="B24" s="107"/>
      <c r="C24" s="455"/>
      <c r="D24" s="455"/>
      <c r="E24" s="455"/>
      <c r="F24" s="455"/>
      <c r="G24" s="455"/>
      <c r="H24" s="455"/>
      <c r="I24" s="455"/>
      <c r="J24" s="455"/>
      <c r="K24" s="455"/>
      <c r="L24" s="455"/>
      <c r="M24" s="455"/>
      <c r="N24" s="456"/>
    </row>
    <row r="25" spans="1:14" x14ac:dyDescent="0.2">
      <c r="A25" s="105"/>
      <c r="B25" s="107"/>
      <c r="C25" s="455"/>
      <c r="D25" s="455"/>
      <c r="E25" s="455"/>
      <c r="F25" s="455"/>
      <c r="G25" s="455"/>
      <c r="H25" s="455"/>
      <c r="I25" s="455"/>
      <c r="J25" s="455"/>
      <c r="K25" s="455"/>
      <c r="L25" s="455"/>
      <c r="M25" s="455"/>
      <c r="N25" s="456"/>
    </row>
    <row r="26" spans="1:14" x14ac:dyDescent="0.2">
      <c r="A26" s="105"/>
      <c r="B26" s="107"/>
      <c r="C26" s="455"/>
      <c r="D26" s="455"/>
      <c r="E26" s="455"/>
      <c r="F26" s="455"/>
      <c r="G26" s="455"/>
      <c r="H26" s="455"/>
      <c r="I26" s="455"/>
      <c r="J26" s="455"/>
      <c r="K26" s="455"/>
      <c r="L26" s="455"/>
      <c r="M26" s="455"/>
      <c r="N26" s="456"/>
    </row>
    <row r="27" spans="1:14" x14ac:dyDescent="0.2">
      <c r="A27" s="105"/>
      <c r="B27" s="107" t="s">
        <v>426</v>
      </c>
      <c r="C27" s="98" t="s">
        <v>565</v>
      </c>
      <c r="D27" s="98"/>
      <c r="E27" s="99"/>
      <c r="F27" s="99"/>
      <c r="G27" s="99"/>
      <c r="H27" s="99"/>
      <c r="I27" s="99"/>
      <c r="J27" s="99"/>
      <c r="K27" s="99"/>
      <c r="L27" s="99"/>
      <c r="M27" s="99"/>
      <c r="N27" s="90"/>
    </row>
    <row r="28" spans="1:14" ht="13.5" thickBot="1" x14ac:dyDescent="0.25">
      <c r="A28" s="108"/>
      <c r="B28" s="118" t="s">
        <v>430</v>
      </c>
      <c r="C28" s="109" t="s">
        <v>566</v>
      </c>
      <c r="D28" s="109"/>
      <c r="E28" s="110"/>
      <c r="F28" s="110"/>
      <c r="G28" s="110"/>
      <c r="H28" s="110"/>
      <c r="I28" s="110"/>
      <c r="J28" s="110"/>
      <c r="K28" s="110"/>
      <c r="L28" s="110"/>
      <c r="M28" s="110"/>
      <c r="N28" s="93"/>
    </row>
    <row r="29" spans="1:14" x14ac:dyDescent="0.2">
      <c r="A29" s="101"/>
      <c r="B29" s="102" t="s">
        <v>263</v>
      </c>
      <c r="C29" s="102"/>
      <c r="D29" s="102"/>
      <c r="E29" s="103"/>
      <c r="F29" s="103"/>
      <c r="G29" s="103"/>
      <c r="H29" s="103"/>
      <c r="I29" s="103"/>
      <c r="J29" s="114" t="s">
        <v>85</v>
      </c>
      <c r="K29" s="113" t="s">
        <v>1495</v>
      </c>
      <c r="L29" s="113" t="s">
        <v>803</v>
      </c>
      <c r="M29" s="113"/>
      <c r="N29" s="113"/>
    </row>
    <row r="30" spans="1:14" ht="13.5" thickBot="1" x14ac:dyDescent="0.25">
      <c r="A30" s="108"/>
      <c r="B30" s="109" t="s">
        <v>263</v>
      </c>
      <c r="C30" s="109"/>
      <c r="D30" s="109"/>
      <c r="E30" s="110"/>
      <c r="F30" s="110"/>
      <c r="G30" s="110"/>
      <c r="H30" s="110"/>
      <c r="I30" s="110"/>
      <c r="J30" s="112" t="s">
        <v>282</v>
      </c>
      <c r="K30" s="94" t="s">
        <v>1223</v>
      </c>
      <c r="L30" s="94" t="s">
        <v>2095</v>
      </c>
      <c r="M30" s="94" t="s">
        <v>1571</v>
      </c>
      <c r="N30" s="94"/>
    </row>
    <row r="31" spans="1:14" x14ac:dyDescent="0.2">
      <c r="A31" s="101"/>
      <c r="B31" s="448" t="s">
        <v>67</v>
      </c>
      <c r="C31" s="448"/>
      <c r="D31" s="448"/>
      <c r="E31" s="103"/>
      <c r="F31" s="103" t="s">
        <v>1180</v>
      </c>
      <c r="G31" s="103" t="s">
        <v>68</v>
      </c>
      <c r="H31" s="103" t="s">
        <v>702</v>
      </c>
      <c r="I31" s="103"/>
      <c r="J31" s="89">
        <f>144.9/ATHENS!O1*ATHENS!O2</f>
        <v>295.71428571428572</v>
      </c>
      <c r="K31" s="89">
        <f>182.7/ATHENS!O1*ATHENS!O2</f>
        <v>372.85714285714283</v>
      </c>
      <c r="L31" s="89">
        <f>248.9/ATHENS!O1*ATHENS!O2</f>
        <v>507.9591836734694</v>
      </c>
      <c r="M31" s="89">
        <f>292.5/ATHENS!O1*ATHENS!O2</f>
        <v>596.9387755102041</v>
      </c>
      <c r="N31" s="113"/>
    </row>
    <row r="32" spans="1:14" x14ac:dyDescent="0.2">
      <c r="A32" s="105"/>
      <c r="B32" s="443" t="s">
        <v>67</v>
      </c>
      <c r="C32" s="443"/>
      <c r="D32" s="443"/>
      <c r="E32" s="99"/>
      <c r="F32" s="99" t="s">
        <v>1181</v>
      </c>
      <c r="G32" s="99" t="s">
        <v>68</v>
      </c>
      <c r="H32" s="99" t="s">
        <v>702</v>
      </c>
      <c r="I32" s="99"/>
      <c r="J32" s="89">
        <f>80.5/ATHENS!O1*ATHENS!O2</f>
        <v>164.28571428571428</v>
      </c>
      <c r="K32" s="89">
        <f>101.5/ATHENS!O1*ATHENS!O2</f>
        <v>207.14285714285714</v>
      </c>
      <c r="L32" s="89">
        <f>138.5/ATHENS!O1*ATHENS!O2</f>
        <v>282.65306122448982</v>
      </c>
      <c r="M32" s="89">
        <f>162.5/ATHENS!O1*ATHENS!O2</f>
        <v>331.63265306122452</v>
      </c>
      <c r="N32" s="89"/>
    </row>
    <row r="33" spans="1:14" x14ac:dyDescent="0.2">
      <c r="A33" s="105"/>
      <c r="B33" s="443" t="s">
        <v>67</v>
      </c>
      <c r="C33" s="443"/>
      <c r="D33" s="443"/>
      <c r="E33" s="99"/>
      <c r="F33" s="99" t="s">
        <v>1182</v>
      </c>
      <c r="G33" s="99" t="s">
        <v>68</v>
      </c>
      <c r="H33" s="99" t="s">
        <v>702</v>
      </c>
      <c r="I33" s="99"/>
      <c r="J33" s="89">
        <f>72.5/ATHENS!O1*ATHENS!O2</f>
        <v>147.9591836734694</v>
      </c>
      <c r="K33" s="89">
        <f>91.5/ATHENS!O1*ATHENS!O2</f>
        <v>186.73469387755102</v>
      </c>
      <c r="L33" s="89">
        <f>124.5/ATHENS!O1*ATHENS!O2</f>
        <v>254.08163265306123</v>
      </c>
      <c r="M33" s="89">
        <f>146.5/ATHENS!O1*ATHENS!O2</f>
        <v>298.9795918367347</v>
      </c>
      <c r="N33" s="89"/>
    </row>
    <row r="34" spans="1:14" ht="13.5" thickBot="1" x14ac:dyDescent="0.25">
      <c r="A34" s="108"/>
      <c r="B34" s="436" t="s">
        <v>567</v>
      </c>
      <c r="C34" s="436"/>
      <c r="D34" s="436"/>
      <c r="E34" s="110"/>
      <c r="F34" s="110" t="s">
        <v>257</v>
      </c>
      <c r="G34" s="110" t="s">
        <v>68</v>
      </c>
      <c r="H34" s="110" t="s">
        <v>702</v>
      </c>
      <c r="I34" s="110"/>
      <c r="J34" s="94">
        <f>68.5/ATHENS!O1*ATHENS!O2</f>
        <v>139.79591836734693</v>
      </c>
      <c r="K34" s="94">
        <f>87.5/ATHENS!O1*ATHENS!O2</f>
        <v>178.57142857142858</v>
      </c>
      <c r="L34" s="94">
        <f>119.8/ATHENS!O1*ATHENS!O2</f>
        <v>244.48979591836735</v>
      </c>
      <c r="M34" s="94">
        <f>145.5/ATHENS!O1*ATHENS!O2</f>
        <v>296.9387755102041</v>
      </c>
      <c r="N34" s="94"/>
    </row>
    <row r="35" spans="1:14" x14ac:dyDescent="0.2">
      <c r="A35" s="97"/>
      <c r="B35" s="98"/>
      <c r="C35" s="98"/>
      <c r="D35" s="98"/>
      <c r="E35" s="99"/>
      <c r="F35" s="99"/>
      <c r="G35" s="99"/>
      <c r="H35" s="99"/>
      <c r="I35" s="99"/>
      <c r="J35" s="99"/>
      <c r="K35" s="99"/>
      <c r="L35" s="99"/>
      <c r="M35" s="99"/>
      <c r="N35" s="99"/>
    </row>
    <row r="36" spans="1:14" ht="13.5" thickBot="1" x14ac:dyDescent="0.25">
      <c r="A36" s="97"/>
      <c r="B36" s="98"/>
      <c r="C36" s="98"/>
      <c r="D36" s="98"/>
      <c r="E36" s="99"/>
      <c r="F36" s="99"/>
      <c r="G36" s="99"/>
      <c r="H36" s="99"/>
      <c r="I36" s="99"/>
      <c r="J36" s="99"/>
      <c r="K36" s="99"/>
      <c r="L36" s="99"/>
      <c r="M36" s="99"/>
      <c r="N36" s="99"/>
    </row>
    <row r="37" spans="1:14" ht="13.5" thickBot="1" x14ac:dyDescent="0.25">
      <c r="A37" s="101"/>
      <c r="B37" s="102"/>
      <c r="C37" s="102"/>
      <c r="D37" s="102"/>
      <c r="E37" s="103"/>
      <c r="F37" s="103"/>
      <c r="G37" s="103"/>
      <c r="H37" s="103"/>
      <c r="I37" s="103"/>
      <c r="J37" s="103"/>
      <c r="K37" s="103"/>
      <c r="L37" s="103"/>
      <c r="M37" s="103"/>
      <c r="N37" s="104"/>
    </row>
    <row r="38" spans="1:14" ht="15.75" thickBot="1" x14ac:dyDescent="0.25">
      <c r="A38" s="105"/>
      <c r="B38" s="459" t="s">
        <v>183</v>
      </c>
      <c r="C38" s="460"/>
      <c r="D38" s="460"/>
      <c r="E38" s="460"/>
      <c r="F38" s="460"/>
      <c r="G38" s="460"/>
      <c r="H38" s="460"/>
      <c r="I38" s="460"/>
      <c r="J38" s="460"/>
      <c r="K38" s="460"/>
      <c r="L38" s="460"/>
      <c r="M38" s="461"/>
      <c r="N38" s="106" t="s">
        <v>96</v>
      </c>
    </row>
    <row r="39" spans="1:14" x14ac:dyDescent="0.2">
      <c r="A39" s="105"/>
      <c r="B39" s="107" t="s">
        <v>428</v>
      </c>
      <c r="C39" s="98" t="s">
        <v>184</v>
      </c>
      <c r="D39" s="98"/>
      <c r="E39" s="99"/>
      <c r="F39" s="99"/>
      <c r="G39" s="99"/>
      <c r="H39" s="99"/>
      <c r="I39" s="99"/>
      <c r="J39" s="99"/>
      <c r="K39" s="99"/>
      <c r="L39" s="99"/>
      <c r="M39" s="99"/>
      <c r="N39" s="90"/>
    </row>
    <row r="40" spans="1:14" x14ac:dyDescent="0.2">
      <c r="A40" s="105"/>
      <c r="B40" s="107" t="s">
        <v>429</v>
      </c>
      <c r="C40" s="98" t="s">
        <v>609</v>
      </c>
      <c r="D40" s="98"/>
      <c r="E40" s="99"/>
      <c r="F40" s="99"/>
      <c r="G40" s="99"/>
      <c r="H40" s="99"/>
      <c r="I40" s="99"/>
      <c r="J40" s="99"/>
      <c r="K40" s="99"/>
      <c r="L40" s="99"/>
      <c r="M40" s="99"/>
      <c r="N40" s="90"/>
    </row>
    <row r="41" spans="1:14" x14ac:dyDescent="0.2">
      <c r="A41" s="105"/>
      <c r="B41" s="107" t="s">
        <v>427</v>
      </c>
      <c r="C41" s="455" t="s">
        <v>840</v>
      </c>
      <c r="D41" s="455"/>
      <c r="E41" s="455"/>
      <c r="F41" s="455"/>
      <c r="G41" s="455"/>
      <c r="H41" s="455"/>
      <c r="I41" s="455"/>
      <c r="J41" s="455"/>
      <c r="K41" s="455"/>
      <c r="L41" s="455"/>
      <c r="M41" s="455"/>
      <c r="N41" s="456"/>
    </row>
    <row r="42" spans="1:14" x14ac:dyDescent="0.2">
      <c r="A42" s="105"/>
      <c r="B42" s="107"/>
      <c r="C42" s="455"/>
      <c r="D42" s="455"/>
      <c r="E42" s="455"/>
      <c r="F42" s="455"/>
      <c r="G42" s="455"/>
      <c r="H42" s="455"/>
      <c r="I42" s="455"/>
      <c r="J42" s="455"/>
      <c r="K42" s="455"/>
      <c r="L42" s="455"/>
      <c r="M42" s="455"/>
      <c r="N42" s="456"/>
    </row>
    <row r="43" spans="1:14" x14ac:dyDescent="0.2">
      <c r="A43" s="105"/>
      <c r="B43" s="107"/>
      <c r="C43" s="455"/>
      <c r="D43" s="455"/>
      <c r="E43" s="455"/>
      <c r="F43" s="455"/>
      <c r="G43" s="455"/>
      <c r="H43" s="455"/>
      <c r="I43" s="455"/>
      <c r="J43" s="455"/>
      <c r="K43" s="455"/>
      <c r="L43" s="455"/>
      <c r="M43" s="455"/>
      <c r="N43" s="456"/>
    </row>
    <row r="44" spans="1:14" x14ac:dyDescent="0.2">
      <c r="A44" s="105"/>
      <c r="B44" s="98"/>
      <c r="C44" s="455"/>
      <c r="D44" s="455"/>
      <c r="E44" s="455"/>
      <c r="F44" s="455"/>
      <c r="G44" s="455"/>
      <c r="H44" s="455"/>
      <c r="I44" s="455"/>
      <c r="J44" s="455"/>
      <c r="K44" s="455"/>
      <c r="L44" s="455"/>
      <c r="M44" s="455"/>
      <c r="N44" s="456"/>
    </row>
    <row r="45" spans="1:14" x14ac:dyDescent="0.2">
      <c r="A45" s="105"/>
      <c r="B45" s="107" t="s">
        <v>426</v>
      </c>
      <c r="C45" s="98" t="s">
        <v>1211</v>
      </c>
      <c r="D45" s="98"/>
      <c r="E45" s="99"/>
      <c r="F45" s="99"/>
      <c r="G45" s="99"/>
      <c r="H45" s="99"/>
      <c r="I45" s="99"/>
      <c r="J45" s="99"/>
      <c r="K45" s="99"/>
      <c r="L45" s="99"/>
      <c r="M45" s="99"/>
      <c r="N45" s="90"/>
    </row>
    <row r="46" spans="1:14" ht="13.5" thickBot="1" x14ac:dyDescent="0.25">
      <c r="A46" s="108"/>
      <c r="B46" s="107" t="s">
        <v>430</v>
      </c>
      <c r="C46" s="109"/>
      <c r="D46" s="109"/>
      <c r="E46" s="110"/>
      <c r="F46" s="110"/>
      <c r="G46" s="110"/>
      <c r="H46" s="110"/>
      <c r="I46" s="110"/>
      <c r="J46" s="110"/>
      <c r="K46" s="110"/>
      <c r="L46" s="110"/>
      <c r="M46" s="110"/>
      <c r="N46" s="93"/>
    </row>
    <row r="47" spans="1:14" x14ac:dyDescent="0.2">
      <c r="A47" s="101"/>
      <c r="B47" s="102" t="s">
        <v>263</v>
      </c>
      <c r="C47" s="102"/>
      <c r="D47" s="102"/>
      <c r="E47" s="103"/>
      <c r="F47" s="103"/>
      <c r="G47" s="103"/>
      <c r="H47" s="103"/>
      <c r="I47" s="103"/>
      <c r="J47" s="114" t="s">
        <v>339</v>
      </c>
      <c r="K47" s="114" t="s">
        <v>279</v>
      </c>
      <c r="L47" s="114"/>
      <c r="M47" s="113"/>
      <c r="N47" s="113"/>
    </row>
    <row r="48" spans="1:14" ht="13.5" thickBot="1" x14ac:dyDescent="0.25">
      <c r="A48" s="108"/>
      <c r="B48" s="109" t="s">
        <v>263</v>
      </c>
      <c r="C48" s="109"/>
      <c r="D48" s="109"/>
      <c r="E48" s="110"/>
      <c r="F48" s="110"/>
      <c r="G48" s="110"/>
      <c r="H48" s="110"/>
      <c r="I48" s="110"/>
      <c r="J48" s="112" t="s">
        <v>1831</v>
      </c>
      <c r="K48" s="112" t="s">
        <v>1831</v>
      </c>
      <c r="L48" s="112" t="s">
        <v>514</v>
      </c>
      <c r="M48" s="94"/>
      <c r="N48" s="94"/>
    </row>
    <row r="49" spans="1:14" x14ac:dyDescent="0.2">
      <c r="A49" s="101"/>
      <c r="B49" s="448" t="s">
        <v>67</v>
      </c>
      <c r="C49" s="448"/>
      <c r="D49" s="448"/>
      <c r="E49" s="103"/>
      <c r="F49" s="103" t="s">
        <v>1180</v>
      </c>
      <c r="G49" s="103" t="s">
        <v>68</v>
      </c>
      <c r="H49" s="103" t="s">
        <v>702</v>
      </c>
      <c r="I49" s="103"/>
      <c r="J49" s="89">
        <f>70/ATHENS!O1*ATHENS!O2</f>
        <v>142.85714285714286</v>
      </c>
      <c r="K49" s="89">
        <f>90/ATHENS!O1*ATHENS!O2</f>
        <v>183.67346938775512</v>
      </c>
      <c r="L49" s="89">
        <f>128/ATHENS!O1*ATHENS!O2</f>
        <v>261.22448979591837</v>
      </c>
      <c r="M49" s="113"/>
      <c r="N49" s="113"/>
    </row>
    <row r="50" spans="1:14" x14ac:dyDescent="0.2">
      <c r="A50" s="105"/>
      <c r="B50" s="443" t="s">
        <v>67</v>
      </c>
      <c r="C50" s="443"/>
      <c r="D50" s="443"/>
      <c r="E50" s="99"/>
      <c r="F50" s="99" t="s">
        <v>1181</v>
      </c>
      <c r="G50" s="99" t="s">
        <v>68</v>
      </c>
      <c r="H50" s="99" t="s">
        <v>702</v>
      </c>
      <c r="I50" s="99"/>
      <c r="J50" s="89">
        <f>42/ATHENS!O1*ATHENS!O2</f>
        <v>85.714285714285722</v>
      </c>
      <c r="K50" s="89">
        <f>56.5/ATHENS!O1*ATHENS!O2</f>
        <v>115.30612244897959</v>
      </c>
      <c r="L50" s="89">
        <f>72/ATHENS!O1*ATHENS!O2</f>
        <v>146.9387755102041</v>
      </c>
      <c r="M50" s="89"/>
      <c r="N50" s="89"/>
    </row>
    <row r="51" spans="1:14" ht="13.5" thickBot="1" x14ac:dyDescent="0.25">
      <c r="A51" s="108"/>
      <c r="B51" s="436" t="s">
        <v>67</v>
      </c>
      <c r="C51" s="436"/>
      <c r="D51" s="436"/>
      <c r="E51" s="110"/>
      <c r="F51" s="110" t="s">
        <v>1182</v>
      </c>
      <c r="G51" s="110" t="s">
        <v>68</v>
      </c>
      <c r="H51" s="110" t="s">
        <v>702</v>
      </c>
      <c r="I51" s="110"/>
      <c r="J51" s="94">
        <f>35/ATHENS!O1*ATHENS!O2</f>
        <v>71.428571428571431</v>
      </c>
      <c r="K51" s="94">
        <f>42.6/ATHENS!O1*ATHENS!O2</f>
        <v>86.938775510204081</v>
      </c>
      <c r="L51" s="94">
        <f>58.6/ATHENS!O1*ATHENS!O2</f>
        <v>119.59183673469389</v>
      </c>
      <c r="M51" s="94"/>
      <c r="N51" s="94"/>
    </row>
    <row r="52" spans="1:14" x14ac:dyDescent="0.2">
      <c r="A52" s="97"/>
      <c r="B52" s="98"/>
      <c r="C52" s="98"/>
      <c r="D52" s="98"/>
      <c r="E52" s="99"/>
      <c r="F52" s="99"/>
      <c r="G52" s="99"/>
      <c r="H52" s="99"/>
      <c r="I52" s="99"/>
      <c r="J52" s="99"/>
      <c r="K52" s="99"/>
      <c r="L52" s="99"/>
      <c r="M52" s="99"/>
      <c r="N52" s="99"/>
    </row>
    <row r="53" spans="1:14" ht="13.5" thickBot="1" x14ac:dyDescent="0.25">
      <c r="A53" s="97"/>
      <c r="B53" s="98"/>
      <c r="C53" s="98"/>
      <c r="D53" s="98"/>
      <c r="E53" s="99"/>
      <c r="F53" s="99"/>
      <c r="G53" s="99"/>
      <c r="H53" s="99"/>
      <c r="I53" s="99"/>
      <c r="J53" s="99"/>
      <c r="K53" s="99"/>
      <c r="L53" s="99"/>
      <c r="M53" s="99"/>
      <c r="N53" s="99"/>
    </row>
    <row r="54" spans="1:14" ht="13.5" thickBot="1" x14ac:dyDescent="0.25">
      <c r="A54" s="101"/>
      <c r="B54" s="102"/>
      <c r="C54" s="102"/>
      <c r="D54" s="102"/>
      <c r="E54" s="103"/>
      <c r="F54" s="103"/>
      <c r="G54" s="103"/>
      <c r="H54" s="103"/>
      <c r="I54" s="103"/>
      <c r="J54" s="103"/>
      <c r="K54" s="103"/>
      <c r="L54" s="103"/>
      <c r="M54" s="103"/>
      <c r="N54" s="104"/>
    </row>
    <row r="55" spans="1:14" ht="15.75" thickBot="1" x14ac:dyDescent="0.25">
      <c r="A55" s="105"/>
      <c r="B55" s="459" t="s">
        <v>1212</v>
      </c>
      <c r="C55" s="460"/>
      <c r="D55" s="460"/>
      <c r="E55" s="460"/>
      <c r="F55" s="460"/>
      <c r="G55" s="460"/>
      <c r="H55" s="460"/>
      <c r="I55" s="460"/>
      <c r="J55" s="460"/>
      <c r="K55" s="460"/>
      <c r="L55" s="460"/>
      <c r="M55" s="461"/>
      <c r="N55" s="106" t="s">
        <v>96</v>
      </c>
    </row>
    <row r="56" spans="1:14" x14ac:dyDescent="0.2">
      <c r="A56" s="105"/>
      <c r="B56" s="107" t="s">
        <v>428</v>
      </c>
      <c r="C56" s="98" t="s">
        <v>1213</v>
      </c>
      <c r="D56" s="98"/>
      <c r="E56" s="99"/>
      <c r="F56" s="99"/>
      <c r="G56" s="99"/>
      <c r="H56" s="99"/>
      <c r="I56" s="99"/>
      <c r="J56" s="99"/>
      <c r="K56" s="99"/>
      <c r="L56" s="99"/>
      <c r="M56" s="99"/>
      <c r="N56" s="90"/>
    </row>
    <row r="57" spans="1:14" x14ac:dyDescent="0.2">
      <c r="A57" s="105"/>
      <c r="B57" s="107" t="s">
        <v>429</v>
      </c>
      <c r="C57" s="98" t="s">
        <v>1382</v>
      </c>
      <c r="D57" s="98"/>
      <c r="E57" s="99"/>
      <c r="F57" s="99"/>
      <c r="G57" s="99"/>
      <c r="H57" s="99"/>
      <c r="I57" s="99"/>
      <c r="J57" s="99"/>
      <c r="K57" s="99"/>
      <c r="L57" s="99"/>
      <c r="M57" s="99"/>
      <c r="N57" s="90"/>
    </row>
    <row r="58" spans="1:14" x14ac:dyDescent="0.2">
      <c r="A58" s="105"/>
      <c r="B58" s="107" t="s">
        <v>427</v>
      </c>
      <c r="C58" s="455" t="s">
        <v>841</v>
      </c>
      <c r="D58" s="455"/>
      <c r="E58" s="455"/>
      <c r="F58" s="455"/>
      <c r="G58" s="455"/>
      <c r="H58" s="455"/>
      <c r="I58" s="455"/>
      <c r="J58" s="455"/>
      <c r="K58" s="455"/>
      <c r="L58" s="455"/>
      <c r="M58" s="455"/>
      <c r="N58" s="456"/>
    </row>
    <row r="59" spans="1:14" x14ac:dyDescent="0.2">
      <c r="A59" s="105"/>
      <c r="B59" s="107"/>
      <c r="C59" s="455"/>
      <c r="D59" s="455"/>
      <c r="E59" s="455"/>
      <c r="F59" s="455"/>
      <c r="G59" s="455"/>
      <c r="H59" s="455"/>
      <c r="I59" s="455"/>
      <c r="J59" s="455"/>
      <c r="K59" s="455"/>
      <c r="L59" s="455"/>
      <c r="M59" s="455"/>
      <c r="N59" s="456"/>
    </row>
    <row r="60" spans="1:14" x14ac:dyDescent="0.2">
      <c r="A60" s="105"/>
      <c r="B60" s="98"/>
      <c r="C60" s="455"/>
      <c r="D60" s="455"/>
      <c r="E60" s="455"/>
      <c r="F60" s="455"/>
      <c r="G60" s="455"/>
      <c r="H60" s="455"/>
      <c r="I60" s="455"/>
      <c r="J60" s="455"/>
      <c r="K60" s="455"/>
      <c r="L60" s="455"/>
      <c r="M60" s="455"/>
      <c r="N60" s="456"/>
    </row>
    <row r="61" spans="1:14" x14ac:dyDescent="0.2">
      <c r="A61" s="105"/>
      <c r="B61" s="107" t="s">
        <v>426</v>
      </c>
      <c r="C61" s="98" t="s">
        <v>1454</v>
      </c>
      <c r="D61" s="98"/>
      <c r="E61" s="99"/>
      <c r="F61" s="99"/>
      <c r="G61" s="99"/>
      <c r="H61" s="99"/>
      <c r="I61" s="99"/>
      <c r="J61" s="99"/>
      <c r="K61" s="99"/>
      <c r="L61" s="99"/>
      <c r="M61" s="99"/>
      <c r="N61" s="90"/>
    </row>
    <row r="62" spans="1:14" ht="13.5" thickBot="1" x14ac:dyDescent="0.25">
      <c r="A62" s="108"/>
      <c r="B62" s="107" t="s">
        <v>430</v>
      </c>
      <c r="C62" s="109"/>
      <c r="D62" s="109"/>
      <c r="E62" s="110"/>
      <c r="F62" s="110"/>
      <c r="G62" s="110"/>
      <c r="H62" s="110"/>
      <c r="I62" s="110"/>
      <c r="J62" s="110"/>
      <c r="K62" s="110"/>
      <c r="L62" s="110"/>
      <c r="M62" s="110"/>
      <c r="N62" s="93"/>
    </row>
    <row r="63" spans="1:14" x14ac:dyDescent="0.2">
      <c r="A63" s="101"/>
      <c r="B63" s="102" t="s">
        <v>263</v>
      </c>
      <c r="C63" s="102"/>
      <c r="D63" s="102"/>
      <c r="E63" s="103"/>
      <c r="F63" s="103"/>
      <c r="G63" s="103"/>
      <c r="H63" s="103"/>
      <c r="I63" s="103"/>
      <c r="J63" s="114" t="s">
        <v>2098</v>
      </c>
      <c r="K63" s="113" t="s">
        <v>214</v>
      </c>
      <c r="L63" s="113"/>
      <c r="M63" s="113"/>
      <c r="N63" s="113"/>
    </row>
    <row r="64" spans="1:14" ht="13.5" thickBot="1" x14ac:dyDescent="0.25">
      <c r="A64" s="108"/>
      <c r="B64" s="109" t="s">
        <v>263</v>
      </c>
      <c r="C64" s="109"/>
      <c r="D64" s="109"/>
      <c r="E64" s="110"/>
      <c r="F64" s="110"/>
      <c r="G64" s="110"/>
      <c r="H64" s="110"/>
      <c r="I64" s="110"/>
      <c r="J64" s="112" t="s">
        <v>2099</v>
      </c>
      <c r="K64" s="94" t="s">
        <v>215</v>
      </c>
      <c r="L64" s="94" t="s">
        <v>742</v>
      </c>
      <c r="M64" s="94"/>
      <c r="N64" s="94"/>
    </row>
    <row r="65" spans="1:14" x14ac:dyDescent="0.2">
      <c r="A65" s="101"/>
      <c r="B65" s="448" t="s">
        <v>67</v>
      </c>
      <c r="C65" s="448"/>
      <c r="D65" s="448"/>
      <c r="E65" s="103"/>
      <c r="F65" s="103" t="s">
        <v>1180</v>
      </c>
      <c r="G65" s="103" t="s">
        <v>68</v>
      </c>
      <c r="H65" s="103" t="s">
        <v>702</v>
      </c>
      <c r="I65" s="103"/>
      <c r="J65" s="89">
        <f>49.5/ATHENS!O1*ATHENS!O2</f>
        <v>101.0204081632653</v>
      </c>
      <c r="K65" s="89">
        <f>70.75/ATHENS!O1*ATHENS!O2</f>
        <v>144.38775510204081</v>
      </c>
      <c r="L65" s="89">
        <f>100.5/ATHENS!O1*ATHENS!O2</f>
        <v>205.10204081632654</v>
      </c>
      <c r="M65" s="113"/>
      <c r="N65" s="113"/>
    </row>
    <row r="66" spans="1:14" x14ac:dyDescent="0.2">
      <c r="A66" s="105"/>
      <c r="B66" s="443" t="s">
        <v>67</v>
      </c>
      <c r="C66" s="443"/>
      <c r="D66" s="443"/>
      <c r="E66" s="99"/>
      <c r="F66" s="99" t="s">
        <v>1181</v>
      </c>
      <c r="G66" s="99" t="s">
        <v>68</v>
      </c>
      <c r="H66" s="99" t="s">
        <v>702</v>
      </c>
      <c r="I66" s="99"/>
      <c r="J66" s="89">
        <f>31.5/ATHENS!O1*ATHENS!O2</f>
        <v>64.285714285714292</v>
      </c>
      <c r="K66" s="89">
        <f>43.5/ATHENS!O1*ATHENS!O2</f>
        <v>88.775510204081641</v>
      </c>
      <c r="L66" s="89">
        <f>66.9/ATHENS!O1*ATHENS!O2</f>
        <v>136.53061224489798</v>
      </c>
      <c r="M66" s="89"/>
      <c r="N66" s="89"/>
    </row>
    <row r="67" spans="1:14" x14ac:dyDescent="0.2">
      <c r="A67" s="105"/>
      <c r="B67" s="443" t="s">
        <v>67</v>
      </c>
      <c r="C67" s="443"/>
      <c r="D67" s="443"/>
      <c r="E67" s="99"/>
      <c r="F67" s="99" t="s">
        <v>1182</v>
      </c>
      <c r="G67" s="99" t="s">
        <v>68</v>
      </c>
      <c r="H67" s="99" t="s">
        <v>702</v>
      </c>
      <c r="I67" s="99"/>
      <c r="J67" s="89">
        <f>25.7/ATHENS!O1*ATHENS!O2</f>
        <v>52.448979591836732</v>
      </c>
      <c r="K67" s="89">
        <f>37.5/ATHENS!O1*ATHENS!O2</f>
        <v>76.530612244897966</v>
      </c>
      <c r="L67" s="89">
        <f>53.5/ATHENS!O1*ATHENS!O2</f>
        <v>109.18367346938776</v>
      </c>
      <c r="M67" s="89"/>
      <c r="N67" s="89"/>
    </row>
    <row r="68" spans="1:14" ht="13.5" thickBot="1" x14ac:dyDescent="0.25">
      <c r="A68" s="108"/>
      <c r="B68" s="436" t="s">
        <v>67</v>
      </c>
      <c r="C68" s="436"/>
      <c r="D68" s="436"/>
      <c r="E68" s="110"/>
      <c r="F68" s="110" t="s">
        <v>257</v>
      </c>
      <c r="G68" s="110" t="s">
        <v>68</v>
      </c>
      <c r="H68" s="110" t="s">
        <v>702</v>
      </c>
      <c r="I68" s="110"/>
      <c r="J68" s="94">
        <f>33.5/ATHENS!O1*ATHENS!O2</f>
        <v>68.367346938775512</v>
      </c>
      <c r="K68" s="94">
        <f>44.6/ATHENS!O1*ATHENS!O2</f>
        <v>91.020408163265316</v>
      </c>
      <c r="L68" s="94">
        <f>48.5/ATHENS!O1*ATHENS!O2</f>
        <v>98.979591836734699</v>
      </c>
      <c r="M68" s="94"/>
      <c r="N68" s="94"/>
    </row>
    <row r="69" spans="1:14" x14ac:dyDescent="0.2">
      <c r="A69" s="97"/>
      <c r="B69" s="98"/>
      <c r="C69" s="98"/>
      <c r="D69" s="98"/>
      <c r="E69" s="99"/>
      <c r="F69" s="99"/>
      <c r="G69" s="99"/>
      <c r="H69" s="99"/>
      <c r="I69" s="99"/>
      <c r="J69" s="99"/>
      <c r="K69" s="99"/>
      <c r="L69" s="99"/>
      <c r="M69" s="99"/>
      <c r="N69" s="99"/>
    </row>
    <row r="70" spans="1:14" ht="13.5" thickBot="1" x14ac:dyDescent="0.25"/>
    <row r="71" spans="1:14" x14ac:dyDescent="0.2">
      <c r="A71" s="20"/>
      <c r="B71" s="21"/>
      <c r="C71" s="21"/>
      <c r="D71" s="21"/>
      <c r="E71" s="22"/>
      <c r="F71" s="22"/>
      <c r="G71" s="22"/>
      <c r="H71" s="22"/>
      <c r="I71" s="22"/>
      <c r="J71" s="22"/>
      <c r="K71" s="22"/>
      <c r="L71" s="22"/>
      <c r="M71" s="22"/>
      <c r="N71" s="23"/>
    </row>
    <row r="72" spans="1:14" ht="15" x14ac:dyDescent="0.2">
      <c r="A72" s="24"/>
      <c r="B72" s="413" t="s">
        <v>1710</v>
      </c>
      <c r="C72" s="414"/>
      <c r="D72" s="414"/>
      <c r="E72" s="414"/>
      <c r="F72" s="414"/>
      <c r="G72" s="414"/>
      <c r="H72" s="414"/>
      <c r="I72" s="414"/>
      <c r="J72" s="414"/>
      <c r="K72" s="414"/>
      <c r="L72" s="414"/>
      <c r="M72" s="415"/>
      <c r="N72" s="25" t="s">
        <v>96</v>
      </c>
    </row>
    <row r="73" spans="1:14" x14ac:dyDescent="0.2">
      <c r="A73" s="24"/>
      <c r="B73" s="26" t="s">
        <v>428</v>
      </c>
      <c r="C73" s="15" t="s">
        <v>1719</v>
      </c>
      <c r="D73" s="15"/>
      <c r="E73" s="16"/>
      <c r="F73" s="16"/>
      <c r="G73" s="16"/>
      <c r="H73" s="16"/>
      <c r="I73" s="16"/>
      <c r="J73" s="16"/>
      <c r="K73" s="16"/>
      <c r="L73" s="16"/>
      <c r="M73" s="16"/>
      <c r="N73" s="27"/>
    </row>
    <row r="74" spans="1:14" x14ac:dyDescent="0.2">
      <c r="A74" s="24"/>
      <c r="B74" s="26" t="s">
        <v>429</v>
      </c>
      <c r="C74" s="15" t="s">
        <v>1673</v>
      </c>
      <c r="D74" s="15"/>
      <c r="E74" s="16"/>
      <c r="F74" s="16"/>
      <c r="G74" s="16"/>
      <c r="H74" s="16"/>
      <c r="I74" s="16"/>
      <c r="J74" s="16"/>
      <c r="K74" s="16"/>
      <c r="L74" s="16"/>
      <c r="M74" s="16"/>
      <c r="N74" s="27"/>
    </row>
    <row r="75" spans="1:14" x14ac:dyDescent="0.2">
      <c r="A75" s="24"/>
      <c r="B75" s="26" t="s">
        <v>427</v>
      </c>
      <c r="C75" s="416" t="s">
        <v>1720</v>
      </c>
      <c r="D75" s="416"/>
      <c r="E75" s="416"/>
      <c r="F75" s="416"/>
      <c r="G75" s="416"/>
      <c r="H75" s="416"/>
      <c r="I75" s="416"/>
      <c r="J75" s="416"/>
      <c r="K75" s="416"/>
      <c r="L75" s="416"/>
      <c r="M75" s="416"/>
      <c r="N75" s="417"/>
    </row>
    <row r="76" spans="1:14" x14ac:dyDescent="0.2">
      <c r="A76" s="24"/>
      <c r="B76" s="15"/>
      <c r="C76" s="416"/>
      <c r="D76" s="416"/>
      <c r="E76" s="416"/>
      <c r="F76" s="416"/>
      <c r="G76" s="416"/>
      <c r="H76" s="416"/>
      <c r="I76" s="416"/>
      <c r="J76" s="416"/>
      <c r="K76" s="416"/>
      <c r="L76" s="416"/>
      <c r="M76" s="416"/>
      <c r="N76" s="417"/>
    </row>
    <row r="77" spans="1:14" x14ac:dyDescent="0.2">
      <c r="A77" s="24"/>
      <c r="B77" s="26" t="s">
        <v>426</v>
      </c>
      <c r="C77" s="15"/>
      <c r="D77" s="15"/>
      <c r="E77" s="16"/>
      <c r="F77" s="16"/>
      <c r="G77" s="16"/>
      <c r="H77" s="16"/>
      <c r="I77" s="16"/>
      <c r="J77" s="16"/>
      <c r="K77" s="16"/>
      <c r="L77" s="16"/>
      <c r="M77" s="16"/>
      <c r="N77" s="27"/>
    </row>
    <row r="78" spans="1:14" ht="13.5" thickBot="1" x14ac:dyDescent="0.25">
      <c r="A78" s="28"/>
      <c r="B78" s="26" t="s">
        <v>430</v>
      </c>
      <c r="C78" s="29"/>
      <c r="D78" s="29"/>
      <c r="E78" s="30"/>
      <c r="F78" s="30"/>
      <c r="G78" s="30"/>
      <c r="H78" s="30"/>
      <c r="I78" s="30"/>
      <c r="J78" s="30"/>
      <c r="K78" s="30"/>
      <c r="L78" s="30"/>
      <c r="M78" s="30"/>
      <c r="N78" s="31"/>
    </row>
    <row r="79" spans="1:14" x14ac:dyDescent="0.2">
      <c r="A79" s="24"/>
      <c r="B79" s="21" t="s">
        <v>263</v>
      </c>
      <c r="C79" s="15"/>
      <c r="D79" s="15"/>
      <c r="E79" s="16"/>
      <c r="F79" s="16"/>
      <c r="G79" s="16"/>
      <c r="H79" s="16"/>
      <c r="I79" s="16"/>
      <c r="J79" s="58" t="s">
        <v>1944</v>
      </c>
      <c r="K79" s="55" t="s">
        <v>1946</v>
      </c>
      <c r="L79" s="55"/>
      <c r="M79" s="55"/>
      <c r="N79" s="55"/>
    </row>
    <row r="80" spans="1:14" ht="13.5" thickBot="1" x14ac:dyDescent="0.25">
      <c r="A80" s="28"/>
      <c r="B80" s="29"/>
      <c r="C80" s="29"/>
      <c r="D80" s="29"/>
      <c r="E80" s="30"/>
      <c r="F80" s="30"/>
      <c r="G80" s="30"/>
      <c r="H80" s="30"/>
      <c r="I80" s="30"/>
      <c r="J80" s="44" t="s">
        <v>1945</v>
      </c>
      <c r="K80" s="36" t="s">
        <v>1947</v>
      </c>
      <c r="L80" s="36" t="s">
        <v>1948</v>
      </c>
      <c r="M80" s="36"/>
      <c r="N80" s="36"/>
    </row>
    <row r="81" spans="1:14" x14ac:dyDescent="0.2">
      <c r="A81" s="20"/>
      <c r="B81" s="412" t="s">
        <v>522</v>
      </c>
      <c r="C81" s="412"/>
      <c r="D81" s="412"/>
      <c r="E81" s="22"/>
      <c r="F81" s="22" t="s">
        <v>518</v>
      </c>
      <c r="G81" s="22" t="s">
        <v>68</v>
      </c>
      <c r="H81" s="22" t="s">
        <v>702</v>
      </c>
      <c r="I81" s="16"/>
      <c r="J81" s="66">
        <f>51/ATHENS!O1*ATHENS!O2</f>
        <v>104.08163265306122</v>
      </c>
      <c r="K81" s="66">
        <f>85/ATHENS!O1*ATHENS!O2</f>
        <v>173.46938775510205</v>
      </c>
      <c r="L81" s="40">
        <f>115/ATHENS!O1*ATHENS!O2</f>
        <v>234.69387755102042</v>
      </c>
      <c r="M81" s="38"/>
      <c r="N81" s="38"/>
    </row>
    <row r="82" spans="1:14" x14ac:dyDescent="0.2">
      <c r="A82" s="24"/>
      <c r="B82" s="411" t="s">
        <v>522</v>
      </c>
      <c r="C82" s="411"/>
      <c r="D82" s="411"/>
      <c r="E82" s="16"/>
      <c r="F82" s="16" t="s">
        <v>705</v>
      </c>
      <c r="G82" s="16" t="s">
        <v>68</v>
      </c>
      <c r="H82" s="16" t="s">
        <v>702</v>
      </c>
      <c r="I82" s="16"/>
      <c r="J82" s="66">
        <f>42.5/ATHENS!O1*ATHENS!O2</f>
        <v>86.734693877551024</v>
      </c>
      <c r="K82" s="66">
        <f>68/ATHENS!O1*ATHENS!O2</f>
        <v>138.77551020408163</v>
      </c>
      <c r="L82" s="40">
        <f>85/ATHENS!O1*ATHENS!O2</f>
        <v>173.46938775510205</v>
      </c>
      <c r="M82" s="40"/>
      <c r="N82" s="40"/>
    </row>
    <row r="83" spans="1:14" x14ac:dyDescent="0.2">
      <c r="A83" s="24"/>
      <c r="B83" s="59" t="s">
        <v>522</v>
      </c>
      <c r="C83" s="15"/>
      <c r="D83" s="15"/>
      <c r="E83" s="16"/>
      <c r="F83" s="16" t="s">
        <v>706</v>
      </c>
      <c r="G83" s="16" t="s">
        <v>68</v>
      </c>
      <c r="H83" s="16" t="s">
        <v>702</v>
      </c>
      <c r="I83" s="16"/>
      <c r="J83" s="66">
        <f>46.7/ATHENS!O1*ATHENS!O2</f>
        <v>95.306122448979593</v>
      </c>
      <c r="K83" s="66">
        <f>74.5/ATHENS!O1*ATHENS!O2</f>
        <v>152.0408163265306</v>
      </c>
      <c r="L83" s="40">
        <f>96/ATHENS!O1*ATHENS!O2</f>
        <v>195.91836734693877</v>
      </c>
      <c r="M83" s="40"/>
      <c r="N83" s="40"/>
    </row>
    <row r="84" spans="1:14" ht="13.5" thickBot="1" x14ac:dyDescent="0.25">
      <c r="A84" s="28"/>
      <c r="B84" s="418"/>
      <c r="C84" s="418"/>
      <c r="D84" s="418"/>
      <c r="E84" s="30"/>
      <c r="F84" s="80"/>
      <c r="G84" s="80"/>
      <c r="H84" s="30"/>
      <c r="I84" s="30"/>
      <c r="J84" s="67"/>
      <c r="K84" s="67"/>
      <c r="L84" s="42"/>
      <c r="M84" s="42"/>
      <c r="N84" s="42"/>
    </row>
    <row r="91" spans="1:14" ht="13.5" thickBot="1" x14ac:dyDescent="0.25">
      <c r="A91" s="97"/>
      <c r="B91" s="98"/>
      <c r="C91" s="98"/>
      <c r="D91" s="98"/>
      <c r="E91" s="99"/>
      <c r="F91" s="99"/>
      <c r="G91" s="99"/>
      <c r="H91" s="99"/>
      <c r="I91" s="99"/>
      <c r="J91" s="99"/>
      <c r="K91" s="99"/>
      <c r="L91" s="99"/>
      <c r="M91" s="99"/>
      <c r="N91" s="99"/>
    </row>
    <row r="92" spans="1:14" ht="13.5" thickBot="1" x14ac:dyDescent="0.25">
      <c r="A92" s="101"/>
      <c r="B92" s="102"/>
      <c r="C92" s="102"/>
      <c r="D92" s="102"/>
      <c r="E92" s="103"/>
      <c r="F92" s="103"/>
      <c r="G92" s="103"/>
      <c r="H92" s="103"/>
      <c r="I92" s="103"/>
      <c r="J92" s="103"/>
      <c r="K92" s="103"/>
      <c r="L92" s="103"/>
      <c r="M92" s="103"/>
      <c r="N92" s="104"/>
    </row>
    <row r="93" spans="1:14" ht="15.75" thickBot="1" x14ac:dyDescent="0.25">
      <c r="A93" s="105"/>
      <c r="B93" s="459" t="s">
        <v>568</v>
      </c>
      <c r="C93" s="460"/>
      <c r="D93" s="460"/>
      <c r="E93" s="460"/>
      <c r="F93" s="460"/>
      <c r="G93" s="460"/>
      <c r="H93" s="460"/>
      <c r="I93" s="460"/>
      <c r="J93" s="460"/>
      <c r="K93" s="460"/>
      <c r="L93" s="460"/>
      <c r="M93" s="461"/>
      <c r="N93" s="106" t="s">
        <v>664</v>
      </c>
    </row>
    <row r="94" spans="1:14" x14ac:dyDescent="0.2">
      <c r="A94" s="105"/>
      <c r="B94" s="107" t="s">
        <v>428</v>
      </c>
      <c r="C94" s="98" t="s">
        <v>569</v>
      </c>
      <c r="D94" s="98"/>
      <c r="E94" s="99"/>
      <c r="F94" s="99"/>
      <c r="G94" s="99"/>
      <c r="H94" s="99"/>
      <c r="I94" s="99"/>
      <c r="J94" s="99"/>
      <c r="K94" s="99"/>
      <c r="L94" s="99"/>
      <c r="M94" s="99"/>
      <c r="N94" s="90"/>
    </row>
    <row r="95" spans="1:14" x14ac:dyDescent="0.2">
      <c r="A95" s="105"/>
      <c r="B95" s="107" t="s">
        <v>429</v>
      </c>
      <c r="C95" s="98" t="s">
        <v>1157</v>
      </c>
      <c r="D95" s="98"/>
      <c r="E95" s="99"/>
      <c r="F95" s="99"/>
      <c r="G95" s="99"/>
      <c r="H95" s="99"/>
      <c r="I95" s="99"/>
      <c r="J95" s="99"/>
      <c r="K95" s="99"/>
      <c r="L95" s="99"/>
      <c r="M95" s="99"/>
      <c r="N95" s="90"/>
    </row>
    <row r="96" spans="1:14" x14ac:dyDescent="0.2">
      <c r="A96" s="105"/>
      <c r="B96" s="107" t="s">
        <v>427</v>
      </c>
      <c r="C96" s="455" t="s">
        <v>843</v>
      </c>
      <c r="D96" s="455"/>
      <c r="E96" s="455"/>
      <c r="F96" s="455"/>
      <c r="G96" s="455"/>
      <c r="H96" s="455"/>
      <c r="I96" s="455"/>
      <c r="J96" s="455"/>
      <c r="K96" s="455"/>
      <c r="L96" s="455"/>
      <c r="M96" s="455"/>
      <c r="N96" s="456"/>
    </row>
    <row r="97" spans="1:14" x14ac:dyDescent="0.2">
      <c r="A97" s="105"/>
      <c r="B97" s="98"/>
      <c r="C97" s="455"/>
      <c r="D97" s="455"/>
      <c r="E97" s="455"/>
      <c r="F97" s="455"/>
      <c r="G97" s="455"/>
      <c r="H97" s="455"/>
      <c r="I97" s="455"/>
      <c r="J97" s="455"/>
      <c r="K97" s="455"/>
      <c r="L97" s="455"/>
      <c r="M97" s="455"/>
      <c r="N97" s="456"/>
    </row>
    <row r="98" spans="1:14" ht="13.5" thickBot="1" x14ac:dyDescent="0.25">
      <c r="A98" s="105"/>
      <c r="B98" s="107" t="s">
        <v>426</v>
      </c>
      <c r="C98" s="98" t="s">
        <v>1216</v>
      </c>
      <c r="D98" s="98"/>
      <c r="E98" s="99"/>
      <c r="F98" s="99"/>
      <c r="G98" s="99"/>
      <c r="H98" s="99"/>
      <c r="I98" s="99"/>
      <c r="J98" s="99"/>
      <c r="K98" s="99"/>
      <c r="L98" s="99"/>
      <c r="M98" s="99"/>
      <c r="N98" s="90"/>
    </row>
    <row r="99" spans="1:14" x14ac:dyDescent="0.2">
      <c r="A99" s="101"/>
      <c r="B99" s="102" t="s">
        <v>263</v>
      </c>
      <c r="C99" s="102"/>
      <c r="D99" s="102"/>
      <c r="E99" s="103"/>
      <c r="F99" s="103"/>
      <c r="G99" s="103"/>
      <c r="H99" s="103"/>
      <c r="I99" s="103"/>
      <c r="J99" s="114" t="s">
        <v>216</v>
      </c>
      <c r="K99" s="113" t="s">
        <v>2100</v>
      </c>
      <c r="L99" s="113"/>
      <c r="M99" s="113"/>
      <c r="N99" s="113"/>
    </row>
    <row r="100" spans="1:14" ht="13.5" thickBot="1" x14ac:dyDescent="0.25">
      <c r="A100" s="108"/>
      <c r="B100" s="109"/>
      <c r="C100" s="109"/>
      <c r="D100" s="109"/>
      <c r="E100" s="110"/>
      <c r="F100" s="110"/>
      <c r="G100" s="110"/>
      <c r="H100" s="110"/>
      <c r="I100" s="110"/>
      <c r="J100" s="112" t="s">
        <v>217</v>
      </c>
      <c r="K100" s="94" t="s">
        <v>218</v>
      </c>
      <c r="L100" s="94" t="s">
        <v>1956</v>
      </c>
      <c r="M100" s="94"/>
      <c r="N100" s="94"/>
    </row>
    <row r="101" spans="1:14" x14ac:dyDescent="0.2">
      <c r="A101" s="101"/>
      <c r="B101" s="448" t="s">
        <v>67</v>
      </c>
      <c r="C101" s="448"/>
      <c r="D101" s="448"/>
      <c r="E101" s="103"/>
      <c r="F101" s="103" t="s">
        <v>1180</v>
      </c>
      <c r="G101" s="103" t="s">
        <v>68</v>
      </c>
      <c r="H101" s="103" t="s">
        <v>702</v>
      </c>
      <c r="I101" s="103"/>
      <c r="J101" s="89">
        <f>37.8/ATHENS!O1*ATHENS!O2</f>
        <v>77.142857142857139</v>
      </c>
      <c r="K101" s="89">
        <f>43.9/ATHENS!O1*ATHENS!O2</f>
        <v>89.591836734693871</v>
      </c>
      <c r="L101" s="89">
        <f>69.5/ATHENS!O1*ATHENS!O2</f>
        <v>141.83673469387756</v>
      </c>
      <c r="M101" s="113"/>
      <c r="N101" s="113"/>
    </row>
    <row r="102" spans="1:14" x14ac:dyDescent="0.2">
      <c r="A102" s="105"/>
      <c r="B102" s="443" t="s">
        <v>67</v>
      </c>
      <c r="C102" s="443"/>
      <c r="D102" s="443"/>
      <c r="E102" s="99"/>
      <c r="F102" s="99" t="s">
        <v>1181</v>
      </c>
      <c r="G102" s="99" t="s">
        <v>68</v>
      </c>
      <c r="H102" s="99" t="s">
        <v>702</v>
      </c>
      <c r="I102" s="99"/>
      <c r="J102" s="89">
        <f>23.5/ATHENS!O1*ATHENS!O2</f>
        <v>47.95918367346939</v>
      </c>
      <c r="K102" s="89">
        <f>27.5/ATHENS!O1*ATHENS!O2</f>
        <v>56.122448979591837</v>
      </c>
      <c r="L102" s="89">
        <f>45.5/ATHENS!O1*ATHENS!O2</f>
        <v>92.857142857142861</v>
      </c>
      <c r="M102" s="89"/>
      <c r="N102" s="89"/>
    </row>
    <row r="103" spans="1:14" x14ac:dyDescent="0.2">
      <c r="A103" s="105"/>
      <c r="B103" s="98" t="s">
        <v>67</v>
      </c>
      <c r="C103" s="98"/>
      <c r="D103" s="98"/>
      <c r="E103" s="99"/>
      <c r="F103" s="99" t="s">
        <v>1182</v>
      </c>
      <c r="G103" s="99" t="s">
        <v>68</v>
      </c>
      <c r="H103" s="99" t="s">
        <v>702</v>
      </c>
      <c r="I103" s="99"/>
      <c r="J103" s="89">
        <f>19.8/ATHENS!O1*ATHENS!O2</f>
        <v>40.408163265306122</v>
      </c>
      <c r="K103" s="89">
        <f>24.5/ATHENS!O1*ATHENS!O2</f>
        <v>50</v>
      </c>
      <c r="L103" s="89">
        <f>38.9/ATHENS!O1*ATHENS!O2</f>
        <v>79.387755102040813</v>
      </c>
      <c r="M103" s="89"/>
      <c r="N103" s="89"/>
    </row>
    <row r="104" spans="1:14" ht="13.5" thickBot="1" x14ac:dyDescent="0.25">
      <c r="A104" s="108"/>
      <c r="B104" s="436" t="s">
        <v>67</v>
      </c>
      <c r="C104" s="436"/>
      <c r="D104" s="436"/>
      <c r="E104" s="110"/>
      <c r="F104" s="110" t="s">
        <v>257</v>
      </c>
      <c r="G104" s="110" t="s">
        <v>68</v>
      </c>
      <c r="H104" s="110" t="s">
        <v>702</v>
      </c>
      <c r="I104" s="110"/>
      <c r="J104" s="94">
        <f>17.5/ATHENS!O1*ATHENS!O2</f>
        <v>35.714285714285715</v>
      </c>
      <c r="K104" s="94">
        <f>21.9/ATHENS!O1*ATHENS!O2</f>
        <v>44.693877551020407</v>
      </c>
      <c r="L104" s="94">
        <f>35.5/ATHENS!O1*ATHENS!O2</f>
        <v>72.448979591836732</v>
      </c>
      <c r="M104" s="94"/>
      <c r="N104" s="94"/>
    </row>
    <row r="105" spans="1:14" ht="13.5" thickBot="1" x14ac:dyDescent="0.25">
      <c r="A105" s="97"/>
      <c r="B105" s="98"/>
      <c r="C105" s="98"/>
      <c r="D105" s="98"/>
      <c r="E105" s="99"/>
      <c r="F105" s="99"/>
      <c r="G105" s="99"/>
      <c r="H105" s="99"/>
      <c r="I105" s="99"/>
      <c r="J105" s="99"/>
      <c r="K105" s="99"/>
      <c r="L105" s="99"/>
      <c r="M105" s="99"/>
      <c r="N105" s="99"/>
    </row>
    <row r="106" spans="1:14" ht="13.5" thickBot="1" x14ac:dyDescent="0.25">
      <c r="A106" s="101"/>
      <c r="B106" s="102"/>
      <c r="C106" s="102"/>
      <c r="D106" s="102"/>
      <c r="E106" s="103"/>
      <c r="F106" s="103"/>
      <c r="G106" s="103"/>
      <c r="H106" s="103"/>
      <c r="I106" s="103"/>
      <c r="J106" s="103"/>
      <c r="K106" s="103"/>
      <c r="L106" s="103"/>
      <c r="M106" s="103"/>
      <c r="N106" s="104"/>
    </row>
    <row r="107" spans="1:14" ht="15.75" thickBot="1" x14ac:dyDescent="0.25">
      <c r="A107" s="105"/>
      <c r="B107" s="459" t="s">
        <v>1249</v>
      </c>
      <c r="C107" s="460"/>
      <c r="D107" s="460"/>
      <c r="E107" s="460"/>
      <c r="F107" s="460"/>
      <c r="G107" s="460"/>
      <c r="H107" s="460"/>
      <c r="I107" s="460"/>
      <c r="J107" s="460"/>
      <c r="K107" s="460"/>
      <c r="L107" s="460"/>
      <c r="M107" s="461"/>
      <c r="N107" s="106" t="s">
        <v>664</v>
      </c>
    </row>
    <row r="108" spans="1:14" x14ac:dyDescent="0.2">
      <c r="A108" s="105"/>
      <c r="B108" s="107" t="s">
        <v>428</v>
      </c>
      <c r="C108" s="98" t="s">
        <v>1217</v>
      </c>
      <c r="D108" s="98"/>
      <c r="E108" s="99"/>
      <c r="F108" s="99"/>
      <c r="G108" s="99"/>
      <c r="H108" s="99"/>
      <c r="I108" s="99"/>
      <c r="J108" s="99"/>
      <c r="K108" s="99"/>
      <c r="L108" s="99"/>
      <c r="M108" s="99"/>
      <c r="N108" s="90"/>
    </row>
    <row r="109" spans="1:14" x14ac:dyDescent="0.2">
      <c r="A109" s="105"/>
      <c r="B109" s="107" t="s">
        <v>429</v>
      </c>
      <c r="C109" s="98" t="s">
        <v>286</v>
      </c>
      <c r="D109" s="98"/>
      <c r="E109" s="99"/>
      <c r="F109" s="99"/>
      <c r="G109" s="99"/>
      <c r="H109" s="99"/>
      <c r="I109" s="99"/>
      <c r="J109" s="99"/>
      <c r="K109" s="99"/>
      <c r="L109" s="99"/>
      <c r="M109" s="99"/>
      <c r="N109" s="90"/>
    </row>
    <row r="110" spans="1:14" x14ac:dyDescent="0.2">
      <c r="A110" s="105"/>
      <c r="B110" s="107" t="s">
        <v>427</v>
      </c>
      <c r="C110" s="455" t="s">
        <v>844</v>
      </c>
      <c r="D110" s="455"/>
      <c r="E110" s="455"/>
      <c r="F110" s="455"/>
      <c r="G110" s="455"/>
      <c r="H110" s="455"/>
      <c r="I110" s="455"/>
      <c r="J110" s="455"/>
      <c r="K110" s="455"/>
      <c r="L110" s="455"/>
      <c r="M110" s="455"/>
      <c r="N110" s="456"/>
    </row>
    <row r="111" spans="1:14" x14ac:dyDescent="0.2">
      <c r="A111" s="105"/>
      <c r="B111" s="107"/>
      <c r="C111" s="455"/>
      <c r="D111" s="455"/>
      <c r="E111" s="455"/>
      <c r="F111" s="455"/>
      <c r="G111" s="455"/>
      <c r="H111" s="455"/>
      <c r="I111" s="455"/>
      <c r="J111" s="455"/>
      <c r="K111" s="455"/>
      <c r="L111" s="455"/>
      <c r="M111" s="455"/>
      <c r="N111" s="456"/>
    </row>
    <row r="112" spans="1:14" x14ac:dyDescent="0.2">
      <c r="A112" s="105"/>
      <c r="B112" s="98"/>
      <c r="C112" s="455"/>
      <c r="D112" s="455"/>
      <c r="E112" s="455"/>
      <c r="F112" s="455"/>
      <c r="G112" s="455"/>
      <c r="H112" s="455"/>
      <c r="I112" s="455"/>
      <c r="J112" s="455"/>
      <c r="K112" s="455"/>
      <c r="L112" s="455"/>
      <c r="M112" s="455"/>
      <c r="N112" s="456"/>
    </row>
    <row r="113" spans="1:14" ht="13.5" thickBot="1" x14ac:dyDescent="0.25">
      <c r="A113" s="105"/>
      <c r="B113" s="107" t="s">
        <v>426</v>
      </c>
      <c r="C113" s="98" t="s">
        <v>1245</v>
      </c>
      <c r="D113" s="98"/>
      <c r="E113" s="99"/>
      <c r="F113" s="99"/>
      <c r="G113" s="99"/>
      <c r="H113" s="99"/>
      <c r="I113" s="99"/>
      <c r="J113" s="99"/>
      <c r="K113" s="99"/>
      <c r="L113" s="99"/>
      <c r="M113" s="99"/>
      <c r="N113" s="90"/>
    </row>
    <row r="114" spans="1:14" x14ac:dyDescent="0.2">
      <c r="A114" s="101"/>
      <c r="B114" s="102" t="s">
        <v>263</v>
      </c>
      <c r="C114" s="102"/>
      <c r="D114" s="102"/>
      <c r="E114" s="103"/>
      <c r="F114" s="103"/>
      <c r="G114" s="103"/>
      <c r="H114" s="103"/>
      <c r="I114" s="103"/>
      <c r="J114" s="113"/>
      <c r="K114" s="113" t="s">
        <v>2096</v>
      </c>
      <c r="L114" s="113"/>
      <c r="M114" s="113"/>
      <c r="N114" s="113"/>
    </row>
    <row r="115" spans="1:14" ht="13.5" thickBot="1" x14ac:dyDescent="0.25">
      <c r="A115" s="108"/>
      <c r="B115" s="109" t="s">
        <v>263</v>
      </c>
      <c r="C115" s="109"/>
      <c r="D115" s="109"/>
      <c r="E115" s="110"/>
      <c r="F115" s="110"/>
      <c r="G115" s="110"/>
      <c r="H115" s="110"/>
      <c r="I115" s="110"/>
      <c r="J115" s="94" t="s">
        <v>1424</v>
      </c>
      <c r="K115" s="94" t="s">
        <v>2097</v>
      </c>
      <c r="L115" s="94" t="s">
        <v>434</v>
      </c>
      <c r="M115" s="94"/>
      <c r="N115" s="94"/>
    </row>
    <row r="116" spans="1:14" x14ac:dyDescent="0.2">
      <c r="A116" s="101"/>
      <c r="B116" s="448" t="s">
        <v>67</v>
      </c>
      <c r="C116" s="448"/>
      <c r="D116" s="448"/>
      <c r="E116" s="103"/>
      <c r="F116" s="103" t="s">
        <v>1180</v>
      </c>
      <c r="G116" s="103" t="s">
        <v>68</v>
      </c>
      <c r="H116" s="103" t="s">
        <v>702</v>
      </c>
      <c r="I116" s="103"/>
      <c r="J116" s="89">
        <f>53.5/ATHENS!O1*ATHENS!O2</f>
        <v>109.18367346938776</v>
      </c>
      <c r="K116" s="89">
        <f>85.5/ATHENS!O1*ATHENS!O2</f>
        <v>174.48979591836735</v>
      </c>
      <c r="L116" s="89">
        <f>155.6/ATHENS!O1*ATHENS!O2</f>
        <v>317.55102040816325</v>
      </c>
      <c r="M116" s="113"/>
      <c r="N116" s="113"/>
    </row>
    <row r="117" spans="1:14" x14ac:dyDescent="0.2">
      <c r="A117" s="105"/>
      <c r="B117" s="443" t="s">
        <v>67</v>
      </c>
      <c r="C117" s="443"/>
      <c r="D117" s="443"/>
      <c r="E117" s="99"/>
      <c r="F117" s="99" t="s">
        <v>1181</v>
      </c>
      <c r="G117" s="99" t="s">
        <v>68</v>
      </c>
      <c r="H117" s="99" t="s">
        <v>702</v>
      </c>
      <c r="I117" s="99"/>
      <c r="J117" s="89">
        <f>29.8/ATHENS!O1*ATHENS!O2</f>
        <v>60.816326530612244</v>
      </c>
      <c r="K117" s="89">
        <f>45.5/ATHENS!O1*ATHENS!O2</f>
        <v>92.857142857142861</v>
      </c>
      <c r="L117" s="89">
        <f>80.6/ATHENS!O1*ATHENS!O2</f>
        <v>164.48979591836735</v>
      </c>
      <c r="M117" s="89"/>
      <c r="N117" s="89"/>
    </row>
    <row r="118" spans="1:14" x14ac:dyDescent="0.2">
      <c r="A118" s="105"/>
      <c r="B118" s="443" t="s">
        <v>67</v>
      </c>
      <c r="C118" s="443"/>
      <c r="D118" s="443"/>
      <c r="E118" s="99"/>
      <c r="F118" s="99" t="s">
        <v>1182</v>
      </c>
      <c r="G118" s="99" t="s">
        <v>68</v>
      </c>
      <c r="H118" s="99" t="s">
        <v>702</v>
      </c>
      <c r="I118" s="99"/>
      <c r="J118" s="89">
        <f>26.5/ATHENS!O1*ATHENS!O2</f>
        <v>54.081632653061227</v>
      </c>
      <c r="K118" s="89">
        <f>40.5/ATHENS!O1*ATHENS!O2</f>
        <v>82.653061224489804</v>
      </c>
      <c r="L118" s="89">
        <f>71.8/ATHENS!O1*ATHENS!O2</f>
        <v>146.53061224489795</v>
      </c>
      <c r="M118" s="89"/>
      <c r="N118" s="89"/>
    </row>
    <row r="119" spans="1:14" ht="13.5" thickBot="1" x14ac:dyDescent="0.25">
      <c r="A119" s="105"/>
      <c r="B119" s="443" t="s">
        <v>67</v>
      </c>
      <c r="C119" s="443"/>
      <c r="D119" s="443"/>
      <c r="E119" s="99"/>
      <c r="F119" s="99" t="s">
        <v>257</v>
      </c>
      <c r="G119" s="99" t="s">
        <v>68</v>
      </c>
      <c r="H119" s="99" t="s">
        <v>702</v>
      </c>
      <c r="I119" s="99"/>
      <c r="J119" s="89">
        <f>26.5/ATHENS!O1*ATHENS!O2</f>
        <v>54.081632653061227</v>
      </c>
      <c r="K119" s="89">
        <f>37.5/ATHENS!O1*ATHENS!O2</f>
        <v>76.530612244897966</v>
      </c>
      <c r="L119" s="89">
        <f>59.7/ATHENS!O1*ATHENS!O2</f>
        <v>121.83673469387756</v>
      </c>
      <c r="M119" s="89"/>
      <c r="N119" s="89"/>
    </row>
    <row r="120" spans="1:14" ht="13.5" thickBot="1" x14ac:dyDescent="0.25">
      <c r="A120" s="119"/>
      <c r="B120" s="120" t="s">
        <v>1117</v>
      </c>
      <c r="C120" s="120"/>
      <c r="D120" s="120"/>
      <c r="E120" s="121"/>
      <c r="F120" s="121"/>
      <c r="G120" s="121"/>
      <c r="H120" s="121"/>
      <c r="I120" s="121"/>
      <c r="J120" s="121"/>
      <c r="K120" s="121"/>
      <c r="L120" s="121"/>
      <c r="M120" s="121"/>
      <c r="N120" s="122"/>
    </row>
    <row r="121" spans="1:14" ht="13.5" thickBot="1" x14ac:dyDescent="0.25">
      <c r="A121" s="97"/>
      <c r="B121" s="98"/>
      <c r="C121" s="98"/>
      <c r="D121" s="98"/>
      <c r="E121" s="99"/>
      <c r="F121" s="99"/>
      <c r="G121" s="99"/>
      <c r="H121" s="99"/>
      <c r="I121" s="99"/>
      <c r="J121" s="99"/>
      <c r="K121" s="99"/>
      <c r="L121" s="99"/>
      <c r="M121" s="99"/>
      <c r="N121" s="99"/>
    </row>
    <row r="122" spans="1:14" ht="13.5" thickBot="1" x14ac:dyDescent="0.25">
      <c r="A122" s="101"/>
      <c r="B122" s="102"/>
      <c r="C122" s="102"/>
      <c r="D122" s="102"/>
      <c r="E122" s="103"/>
      <c r="F122" s="103"/>
      <c r="G122" s="103"/>
      <c r="H122" s="103"/>
      <c r="I122" s="103"/>
      <c r="J122" s="103"/>
      <c r="K122" s="103"/>
      <c r="L122" s="103"/>
      <c r="M122" s="103"/>
      <c r="N122" s="104"/>
    </row>
    <row r="123" spans="1:14" ht="15.75" thickBot="1" x14ac:dyDescent="0.25">
      <c r="A123" s="105"/>
      <c r="B123" s="459" t="s">
        <v>478</v>
      </c>
      <c r="C123" s="460"/>
      <c r="D123" s="460"/>
      <c r="E123" s="460"/>
      <c r="F123" s="460"/>
      <c r="G123" s="460"/>
      <c r="H123" s="460"/>
      <c r="I123" s="460"/>
      <c r="J123" s="460"/>
      <c r="K123" s="460"/>
      <c r="L123" s="460"/>
      <c r="M123" s="461"/>
      <c r="N123" s="106" t="s">
        <v>664</v>
      </c>
    </row>
    <row r="124" spans="1:14" x14ac:dyDescent="0.2">
      <c r="A124" s="105"/>
      <c r="B124" s="107" t="s">
        <v>428</v>
      </c>
      <c r="C124" s="98" t="s">
        <v>569</v>
      </c>
      <c r="D124" s="98"/>
      <c r="E124" s="99"/>
      <c r="F124" s="99"/>
      <c r="G124" s="99"/>
      <c r="H124" s="99"/>
      <c r="I124" s="99"/>
      <c r="J124" s="99"/>
      <c r="K124" s="99"/>
      <c r="L124" s="99"/>
      <c r="M124" s="99"/>
      <c r="N124" s="90"/>
    </row>
    <row r="125" spans="1:14" x14ac:dyDescent="0.2">
      <c r="A125" s="105"/>
      <c r="B125" s="107" t="s">
        <v>429</v>
      </c>
      <c r="C125" s="98" t="s">
        <v>1218</v>
      </c>
      <c r="D125" s="98"/>
      <c r="E125" s="99"/>
      <c r="F125" s="99"/>
      <c r="G125" s="99"/>
      <c r="H125" s="99"/>
      <c r="I125" s="99"/>
      <c r="J125" s="99"/>
      <c r="K125" s="99"/>
      <c r="L125" s="99"/>
      <c r="M125" s="99"/>
      <c r="N125" s="90"/>
    </row>
    <row r="126" spans="1:14" x14ac:dyDescent="0.2">
      <c r="A126" s="105"/>
      <c r="B126" s="107" t="s">
        <v>427</v>
      </c>
      <c r="C126" s="455" t="s">
        <v>845</v>
      </c>
      <c r="D126" s="455"/>
      <c r="E126" s="455"/>
      <c r="F126" s="455"/>
      <c r="G126" s="455"/>
      <c r="H126" s="455"/>
      <c r="I126" s="455"/>
      <c r="J126" s="455"/>
      <c r="K126" s="455"/>
      <c r="L126" s="455"/>
      <c r="M126" s="455"/>
      <c r="N126" s="456"/>
    </row>
    <row r="127" spans="1:14" x14ac:dyDescent="0.2">
      <c r="A127" s="105"/>
      <c r="B127" s="107"/>
      <c r="C127" s="455"/>
      <c r="D127" s="455"/>
      <c r="E127" s="455"/>
      <c r="F127" s="455"/>
      <c r="G127" s="455"/>
      <c r="H127" s="455"/>
      <c r="I127" s="455"/>
      <c r="J127" s="455"/>
      <c r="K127" s="455"/>
      <c r="L127" s="455"/>
      <c r="M127" s="455"/>
      <c r="N127" s="456"/>
    </row>
    <row r="128" spans="1:14" x14ac:dyDescent="0.2">
      <c r="A128" s="105"/>
      <c r="B128" s="107"/>
      <c r="C128" s="455"/>
      <c r="D128" s="455"/>
      <c r="E128" s="455"/>
      <c r="F128" s="455"/>
      <c r="G128" s="455"/>
      <c r="H128" s="455"/>
      <c r="I128" s="455"/>
      <c r="J128" s="455"/>
      <c r="K128" s="455"/>
      <c r="L128" s="455"/>
      <c r="M128" s="455"/>
      <c r="N128" s="456"/>
    </row>
    <row r="129" spans="1:14" ht="13.5" thickBot="1" x14ac:dyDescent="0.25">
      <c r="A129" s="105"/>
      <c r="B129" s="107" t="s">
        <v>426</v>
      </c>
      <c r="C129" s="98" t="s">
        <v>479</v>
      </c>
      <c r="D129" s="98"/>
      <c r="E129" s="99"/>
      <c r="F129" s="99"/>
      <c r="G129" s="99"/>
      <c r="H129" s="99"/>
      <c r="I129" s="99"/>
      <c r="J129" s="99"/>
      <c r="K129" s="99"/>
      <c r="L129" s="99"/>
      <c r="M129" s="99"/>
      <c r="N129" s="90"/>
    </row>
    <row r="130" spans="1:14" x14ac:dyDescent="0.2">
      <c r="A130" s="101"/>
      <c r="B130" s="102" t="s">
        <v>263</v>
      </c>
      <c r="C130" s="102"/>
      <c r="D130" s="102"/>
      <c r="E130" s="103"/>
      <c r="F130" s="103"/>
      <c r="G130" s="103"/>
      <c r="H130" s="103"/>
      <c r="I130" s="103"/>
      <c r="J130" s="114" t="s">
        <v>219</v>
      </c>
      <c r="K130" s="113" t="s">
        <v>279</v>
      </c>
      <c r="L130" s="113" t="s">
        <v>74</v>
      </c>
      <c r="M130" s="113"/>
      <c r="N130" s="113"/>
    </row>
    <row r="131" spans="1:14" ht="13.5" thickBot="1" x14ac:dyDescent="0.25">
      <c r="A131" s="108"/>
      <c r="B131" s="109"/>
      <c r="C131" s="109"/>
      <c r="D131" s="109"/>
      <c r="E131" s="110"/>
      <c r="F131" s="110"/>
      <c r="G131" s="110"/>
      <c r="H131" s="110"/>
      <c r="I131" s="110"/>
      <c r="J131" s="112" t="s">
        <v>72</v>
      </c>
      <c r="K131" s="94" t="s">
        <v>73</v>
      </c>
      <c r="L131" s="94" t="s">
        <v>398</v>
      </c>
      <c r="M131" s="94" t="s">
        <v>437</v>
      </c>
      <c r="N131" s="94"/>
    </row>
    <row r="132" spans="1:14" x14ac:dyDescent="0.2">
      <c r="A132" s="101"/>
      <c r="B132" s="448" t="s">
        <v>67</v>
      </c>
      <c r="C132" s="448"/>
      <c r="D132" s="448"/>
      <c r="E132" s="103"/>
      <c r="F132" s="103" t="s">
        <v>1180</v>
      </c>
      <c r="G132" s="103" t="s">
        <v>68</v>
      </c>
      <c r="H132" s="103" t="s">
        <v>702</v>
      </c>
      <c r="I132" s="103"/>
      <c r="J132" s="89">
        <f>35.5/ATHENS!O1*ATHENS!O2</f>
        <v>72.448979591836732</v>
      </c>
      <c r="K132" s="89">
        <f>46.5/ATHENS!O1*ATHENS!O2</f>
        <v>94.897959183673464</v>
      </c>
      <c r="L132" s="89">
        <f>63.7/ATHENS!O1*ATHENS!O2</f>
        <v>130</v>
      </c>
      <c r="M132" s="89">
        <f>95.5/ATHENS!O1*ATHENS!O2</f>
        <v>194.89795918367346</v>
      </c>
      <c r="N132" s="113"/>
    </row>
    <row r="133" spans="1:14" x14ac:dyDescent="0.2">
      <c r="A133" s="105"/>
      <c r="B133" s="443" t="s">
        <v>67</v>
      </c>
      <c r="C133" s="443"/>
      <c r="D133" s="443"/>
      <c r="E133" s="99"/>
      <c r="F133" s="99" t="s">
        <v>1181</v>
      </c>
      <c r="G133" s="99" t="s">
        <v>68</v>
      </c>
      <c r="H133" s="99" t="s">
        <v>702</v>
      </c>
      <c r="I133" s="99"/>
      <c r="J133" s="89">
        <f>21.7/ATHENS!O1*ATHENS!O2</f>
        <v>44.285714285714285</v>
      </c>
      <c r="K133" s="89">
        <f>30.6/ATHENS!O1*ATHENS!O2</f>
        <v>62.448979591836739</v>
      </c>
      <c r="L133" s="89">
        <f>37.5/ATHENS!O1*ATHENS!O2</f>
        <v>76.530612244897966</v>
      </c>
      <c r="M133" s="89">
        <f>53.5/ATHENS!O1*ATHENS!O2</f>
        <v>109.18367346938776</v>
      </c>
      <c r="N133" s="89"/>
    </row>
    <row r="134" spans="1:14" ht="13.5" thickBot="1" x14ac:dyDescent="0.25">
      <c r="A134" s="108"/>
      <c r="B134" s="436" t="s">
        <v>67</v>
      </c>
      <c r="C134" s="436"/>
      <c r="D134" s="436"/>
      <c r="E134" s="110"/>
      <c r="F134" s="110" t="s">
        <v>1182</v>
      </c>
      <c r="G134" s="110" t="s">
        <v>68</v>
      </c>
      <c r="H134" s="110" t="s">
        <v>702</v>
      </c>
      <c r="I134" s="110"/>
      <c r="J134" s="94">
        <f>19.5/ATHENS!O1*ATHENS!O2</f>
        <v>39.795918367346943</v>
      </c>
      <c r="K134" s="94">
        <f>25.93/ATHENS!O1*ATHENS!O2</f>
        <v>52.918367346938773</v>
      </c>
      <c r="L134" s="94">
        <f>31.5/ATHENS!O1*ATHENS!O2</f>
        <v>64.285714285714292</v>
      </c>
      <c r="M134" s="94">
        <f>45/ATHENS!O1*ATHENS!O2</f>
        <v>91.83673469387756</v>
      </c>
      <c r="N134" s="94"/>
    </row>
    <row r="135" spans="1:14" x14ac:dyDescent="0.2">
      <c r="A135" s="97"/>
      <c r="B135" s="98"/>
      <c r="C135" s="98"/>
      <c r="D135" s="98"/>
      <c r="E135" s="99"/>
      <c r="F135" s="99"/>
      <c r="G135" s="99"/>
      <c r="H135" s="99"/>
      <c r="I135" s="99"/>
      <c r="J135" s="99"/>
      <c r="K135" s="99"/>
      <c r="L135" s="99"/>
      <c r="M135" s="99"/>
      <c r="N135" s="99"/>
    </row>
    <row r="136" spans="1:14" x14ac:dyDescent="0.2">
      <c r="A136" s="97"/>
      <c r="B136" s="98"/>
      <c r="C136" s="98"/>
      <c r="D136" s="98"/>
      <c r="E136" s="99"/>
      <c r="F136" s="99"/>
      <c r="G136" s="99"/>
      <c r="H136" s="99"/>
      <c r="I136" s="99"/>
      <c r="J136" s="99"/>
      <c r="K136" s="99"/>
      <c r="L136" s="99"/>
      <c r="M136" s="99"/>
      <c r="N136" s="99"/>
    </row>
    <row r="137" spans="1:14" x14ac:dyDescent="0.2">
      <c r="A137" s="97"/>
      <c r="B137" s="98"/>
      <c r="C137" s="98"/>
      <c r="D137" s="98"/>
      <c r="E137" s="99"/>
      <c r="F137" s="99"/>
      <c r="G137" s="99"/>
      <c r="H137" s="99"/>
      <c r="I137" s="99"/>
      <c r="J137" s="99"/>
      <c r="K137" s="99"/>
      <c r="L137" s="99"/>
      <c r="M137" s="99"/>
      <c r="N137" s="99"/>
    </row>
    <row r="138" spans="1:14" x14ac:dyDescent="0.2">
      <c r="A138" s="97"/>
      <c r="B138" s="98"/>
      <c r="C138" s="98"/>
      <c r="D138" s="98"/>
      <c r="E138" s="99"/>
      <c r="F138" s="99"/>
      <c r="G138" s="99"/>
      <c r="H138" s="99"/>
      <c r="I138" s="99"/>
      <c r="J138" s="99"/>
      <c r="K138" s="99"/>
      <c r="L138" s="99"/>
      <c r="M138" s="99"/>
      <c r="N138" s="99"/>
    </row>
    <row r="139" spans="1:14" x14ac:dyDescent="0.2">
      <c r="A139" s="97"/>
      <c r="B139" s="98"/>
      <c r="C139" s="98"/>
      <c r="D139" s="98"/>
      <c r="E139" s="99"/>
      <c r="F139" s="99"/>
      <c r="G139" s="99"/>
      <c r="H139" s="99"/>
      <c r="I139" s="99"/>
      <c r="J139" s="99"/>
      <c r="K139" s="99"/>
      <c r="L139" s="99"/>
      <c r="M139" s="99"/>
      <c r="N139" s="99"/>
    </row>
    <row r="140" spans="1:14" x14ac:dyDescent="0.2">
      <c r="A140" s="97"/>
      <c r="B140" s="98"/>
      <c r="C140" s="98"/>
      <c r="D140" s="98"/>
      <c r="E140" s="99"/>
      <c r="F140" s="99"/>
      <c r="G140" s="99"/>
      <c r="H140" s="99"/>
      <c r="I140" s="99"/>
      <c r="J140" s="99"/>
      <c r="K140" s="99"/>
      <c r="L140" s="99"/>
      <c r="M140" s="99"/>
      <c r="N140" s="99"/>
    </row>
    <row r="141" spans="1:14" x14ac:dyDescent="0.2">
      <c r="A141" s="97"/>
      <c r="B141" s="98"/>
      <c r="C141" s="98"/>
      <c r="D141" s="98"/>
      <c r="E141" s="99"/>
      <c r="F141" s="99"/>
      <c r="G141" s="99"/>
      <c r="H141" s="99"/>
      <c r="I141" s="99"/>
      <c r="J141" s="99"/>
      <c r="K141" s="99"/>
      <c r="L141" s="99"/>
      <c r="M141" s="99"/>
      <c r="N141" s="99"/>
    </row>
    <row r="142" spans="1:14" x14ac:dyDescent="0.2">
      <c r="A142" s="97"/>
      <c r="B142" s="98"/>
      <c r="C142" s="98"/>
      <c r="D142" s="98"/>
      <c r="E142" s="99"/>
      <c r="F142" s="99"/>
      <c r="G142" s="99"/>
      <c r="H142" s="99"/>
      <c r="I142" s="99"/>
      <c r="J142" s="99"/>
      <c r="K142" s="99"/>
      <c r="L142" s="99"/>
      <c r="M142" s="99"/>
      <c r="N142" s="99"/>
    </row>
    <row r="143" spans="1:14" x14ac:dyDescent="0.2">
      <c r="A143" s="97"/>
      <c r="B143" s="98"/>
      <c r="C143" s="98"/>
      <c r="D143" s="98"/>
      <c r="E143" s="99"/>
      <c r="F143" s="99"/>
      <c r="G143" s="99"/>
      <c r="H143" s="99"/>
      <c r="I143" s="99"/>
      <c r="J143" s="99"/>
      <c r="K143" s="99"/>
      <c r="L143" s="99"/>
      <c r="M143" s="99"/>
      <c r="N143" s="99"/>
    </row>
    <row r="144" spans="1:14" x14ac:dyDescent="0.2">
      <c r="A144" s="97"/>
      <c r="B144" s="98"/>
      <c r="C144" s="98"/>
      <c r="D144" s="98"/>
      <c r="E144" s="99"/>
      <c r="F144" s="99"/>
      <c r="G144" s="99"/>
      <c r="H144" s="99"/>
      <c r="I144" s="99"/>
      <c r="J144" s="99"/>
      <c r="K144" s="99"/>
      <c r="L144" s="99"/>
      <c r="M144" s="99"/>
      <c r="N144" s="99"/>
    </row>
    <row r="145" spans="1:14" x14ac:dyDescent="0.2">
      <c r="A145" s="97"/>
      <c r="B145" s="98"/>
      <c r="C145" s="98"/>
      <c r="D145" s="98"/>
      <c r="E145" s="99"/>
      <c r="F145" s="99"/>
      <c r="G145" s="99"/>
      <c r="H145" s="99"/>
      <c r="I145" s="99"/>
      <c r="J145" s="99"/>
      <c r="K145" s="99"/>
      <c r="L145" s="99"/>
      <c r="M145" s="99"/>
      <c r="N145" s="99"/>
    </row>
    <row r="146" spans="1:14" x14ac:dyDescent="0.2">
      <c r="A146" s="97"/>
      <c r="B146" s="98"/>
      <c r="C146" s="98"/>
      <c r="D146" s="98"/>
      <c r="E146" s="99"/>
      <c r="F146" s="99"/>
      <c r="G146" s="99"/>
      <c r="H146" s="99"/>
      <c r="I146" s="99"/>
      <c r="J146" s="99"/>
      <c r="K146" s="99"/>
      <c r="L146" s="99"/>
      <c r="M146" s="99"/>
      <c r="N146" s="99"/>
    </row>
    <row r="147" spans="1:14" x14ac:dyDescent="0.2">
      <c r="A147" s="97"/>
      <c r="B147" s="98"/>
      <c r="C147" s="98"/>
      <c r="D147" s="98"/>
      <c r="E147" s="99"/>
      <c r="F147" s="99"/>
      <c r="G147" s="99"/>
      <c r="H147" s="99"/>
      <c r="I147" s="99"/>
      <c r="J147" s="99"/>
      <c r="K147" s="99"/>
      <c r="L147" s="99"/>
      <c r="M147" s="99"/>
      <c r="N147" s="99"/>
    </row>
    <row r="148" spans="1:14" x14ac:dyDescent="0.2">
      <c r="A148" s="97"/>
      <c r="B148" s="98"/>
      <c r="C148" s="98"/>
      <c r="D148" s="98"/>
      <c r="E148" s="99"/>
      <c r="F148" s="99"/>
      <c r="G148" s="99"/>
      <c r="H148" s="99"/>
      <c r="I148" s="99"/>
      <c r="J148" s="99"/>
      <c r="K148" s="99"/>
      <c r="L148" s="99"/>
      <c r="M148" s="99"/>
      <c r="N148" s="99"/>
    </row>
    <row r="149" spans="1:14" x14ac:dyDescent="0.2">
      <c r="A149" s="97"/>
      <c r="B149" s="98"/>
      <c r="C149" s="98"/>
      <c r="D149" s="98"/>
      <c r="E149" s="99"/>
      <c r="F149" s="99"/>
      <c r="G149" s="99"/>
      <c r="H149" s="99"/>
      <c r="I149" s="99"/>
      <c r="J149" s="99"/>
      <c r="K149" s="99"/>
      <c r="L149" s="99"/>
      <c r="M149" s="99"/>
      <c r="N149" s="99"/>
    </row>
    <row r="150" spans="1:14" ht="13.5" thickBot="1" x14ac:dyDescent="0.25">
      <c r="A150" s="97"/>
      <c r="B150" s="98"/>
      <c r="C150" s="98"/>
      <c r="D150" s="98"/>
      <c r="E150" s="99"/>
      <c r="F150" s="99"/>
      <c r="G150" s="99"/>
      <c r="H150" s="99"/>
      <c r="I150" s="99"/>
      <c r="J150" s="99"/>
      <c r="K150" s="99"/>
      <c r="L150" s="99"/>
      <c r="M150" s="99"/>
      <c r="N150" s="99"/>
    </row>
    <row r="151" spans="1:14" x14ac:dyDescent="0.2">
      <c r="A151" s="20"/>
      <c r="B151" s="21"/>
      <c r="C151" s="21"/>
      <c r="D151" s="21"/>
      <c r="E151" s="22"/>
      <c r="F151" s="22"/>
      <c r="G151" s="22"/>
      <c r="H151" s="22"/>
      <c r="I151" s="22"/>
      <c r="J151" s="22"/>
      <c r="K151" s="22"/>
      <c r="L151" s="22"/>
      <c r="M151" s="22"/>
      <c r="N151" s="23"/>
    </row>
    <row r="152" spans="1:14" ht="15" x14ac:dyDescent="0.2">
      <c r="A152" s="24"/>
      <c r="B152" s="413" t="s">
        <v>1707</v>
      </c>
      <c r="C152" s="414"/>
      <c r="D152" s="414"/>
      <c r="E152" s="414"/>
      <c r="F152" s="414"/>
      <c r="G152" s="414"/>
      <c r="H152" s="414"/>
      <c r="I152" s="414"/>
      <c r="J152" s="414"/>
      <c r="K152" s="414"/>
      <c r="L152" s="414"/>
      <c r="M152" s="415"/>
      <c r="N152" s="25" t="s">
        <v>664</v>
      </c>
    </row>
    <row r="153" spans="1:14" x14ac:dyDescent="0.2">
      <c r="A153" s="24"/>
      <c r="B153" s="26" t="s">
        <v>428</v>
      </c>
      <c r="C153" s="15"/>
      <c r="D153" s="15"/>
      <c r="E153" s="16"/>
      <c r="F153" s="16"/>
      <c r="G153" s="16"/>
      <c r="H153" s="16"/>
      <c r="I153" s="16"/>
      <c r="J153" s="16"/>
      <c r="K153" s="16"/>
      <c r="L153" s="16"/>
      <c r="M153" s="16"/>
      <c r="N153" s="27"/>
    </row>
    <row r="154" spans="1:14" x14ac:dyDescent="0.2">
      <c r="A154" s="24"/>
      <c r="B154" s="26" t="s">
        <v>429</v>
      </c>
      <c r="C154" s="15" t="s">
        <v>1673</v>
      </c>
      <c r="D154" s="15"/>
      <c r="E154" s="16"/>
      <c r="F154" s="16"/>
      <c r="G154" s="16"/>
      <c r="H154" s="16"/>
      <c r="I154" s="16"/>
      <c r="J154" s="16"/>
      <c r="K154" s="16"/>
      <c r="L154" s="16"/>
      <c r="M154" s="16"/>
      <c r="N154" s="27"/>
    </row>
    <row r="155" spans="1:14" x14ac:dyDescent="0.2">
      <c r="A155" s="24"/>
      <c r="B155" s="26" t="s">
        <v>427</v>
      </c>
      <c r="C155" s="416" t="s">
        <v>1721</v>
      </c>
      <c r="D155" s="416"/>
      <c r="E155" s="416"/>
      <c r="F155" s="416"/>
      <c r="G155" s="416"/>
      <c r="H155" s="416"/>
      <c r="I155" s="416"/>
      <c r="J155" s="416"/>
      <c r="K155" s="416"/>
      <c r="L155" s="416"/>
      <c r="M155" s="416"/>
      <c r="N155" s="417"/>
    </row>
    <row r="156" spans="1:14" x14ac:dyDescent="0.2">
      <c r="A156" s="24"/>
      <c r="B156" s="15"/>
      <c r="C156" s="416"/>
      <c r="D156" s="416"/>
      <c r="E156" s="416"/>
      <c r="F156" s="416"/>
      <c r="G156" s="416"/>
      <c r="H156" s="416"/>
      <c r="I156" s="416"/>
      <c r="J156" s="416"/>
      <c r="K156" s="416"/>
      <c r="L156" s="416"/>
      <c r="M156" s="416"/>
      <c r="N156" s="417"/>
    </row>
    <row r="157" spans="1:14" x14ac:dyDescent="0.2">
      <c r="A157" s="24"/>
      <c r="B157" s="26" t="s">
        <v>426</v>
      </c>
      <c r="C157" s="15"/>
      <c r="D157" s="15"/>
      <c r="E157" s="16"/>
      <c r="F157" s="16"/>
      <c r="G157" s="16"/>
      <c r="H157" s="16"/>
      <c r="I157" s="16"/>
      <c r="J157" s="16"/>
      <c r="K157" s="16"/>
      <c r="L157" s="16"/>
      <c r="M157" s="16"/>
      <c r="N157" s="27"/>
    </row>
    <row r="158" spans="1:14" ht="13.5" thickBot="1" x14ac:dyDescent="0.25">
      <c r="A158" s="28"/>
      <c r="B158" s="26" t="s">
        <v>430</v>
      </c>
      <c r="C158" s="29"/>
      <c r="D158" s="29"/>
      <c r="E158" s="30"/>
      <c r="F158" s="30"/>
      <c r="G158" s="30"/>
      <c r="H158" s="30"/>
      <c r="I158" s="30"/>
      <c r="J158" s="30"/>
      <c r="K158" s="30"/>
      <c r="L158" s="30"/>
      <c r="M158" s="30"/>
      <c r="N158" s="31"/>
    </row>
    <row r="159" spans="1:14" x14ac:dyDescent="0.2">
      <c r="A159" s="24"/>
      <c r="B159" s="21" t="s">
        <v>263</v>
      </c>
      <c r="C159" s="15"/>
      <c r="D159" s="15"/>
      <c r="E159" s="16"/>
      <c r="F159" s="16"/>
      <c r="G159" s="16"/>
      <c r="H159" s="16"/>
      <c r="I159" s="16"/>
      <c r="J159" s="58" t="s">
        <v>339</v>
      </c>
      <c r="K159" s="55" t="s">
        <v>279</v>
      </c>
      <c r="L159" s="55" t="s">
        <v>770</v>
      </c>
      <c r="M159" s="55"/>
      <c r="N159" s="55"/>
    </row>
    <row r="160" spans="1:14" ht="13.5" thickBot="1" x14ac:dyDescent="0.25">
      <c r="A160" s="28"/>
      <c r="B160" s="29"/>
      <c r="C160" s="29"/>
      <c r="D160" s="29"/>
      <c r="E160" s="30"/>
      <c r="F160" s="30"/>
      <c r="G160" s="30"/>
      <c r="H160" s="30"/>
      <c r="I160" s="30"/>
      <c r="J160" s="44" t="s">
        <v>481</v>
      </c>
      <c r="K160" s="36" t="s">
        <v>832</v>
      </c>
      <c r="L160" s="36" t="s">
        <v>1386</v>
      </c>
      <c r="M160" s="36" t="s">
        <v>1829</v>
      </c>
      <c r="N160" s="36"/>
    </row>
    <row r="161" spans="1:14" x14ac:dyDescent="0.2">
      <c r="A161" s="20"/>
      <c r="B161" s="412" t="s">
        <v>67</v>
      </c>
      <c r="C161" s="412"/>
      <c r="D161" s="412"/>
      <c r="E161" s="22"/>
      <c r="F161" s="22" t="s">
        <v>1180</v>
      </c>
      <c r="G161" s="22" t="s">
        <v>68</v>
      </c>
      <c r="H161" s="22" t="s">
        <v>702</v>
      </c>
      <c r="I161" s="16"/>
      <c r="J161" s="66">
        <f>27/ATHENS!O1*ATHENS!O2</f>
        <v>55.102040816326529</v>
      </c>
      <c r="K161" s="66">
        <f>33/ATHENS!O1*ATHENS!O2</f>
        <v>67.34693877551021</v>
      </c>
      <c r="L161" s="40">
        <f>45/ATHENS!O1*ATHENS!O2</f>
        <v>91.83673469387756</v>
      </c>
      <c r="M161" s="38">
        <f>62/ATHENS!O1*ATHENS!O2</f>
        <v>126.53061224489797</v>
      </c>
      <c r="N161" s="38"/>
    </row>
    <row r="162" spans="1:14" x14ac:dyDescent="0.2">
      <c r="A162" s="24"/>
      <c r="B162" s="411" t="s">
        <v>67</v>
      </c>
      <c r="C162" s="411"/>
      <c r="D162" s="411"/>
      <c r="E162" s="16"/>
      <c r="F162" s="16" t="s">
        <v>1181</v>
      </c>
      <c r="G162" s="16" t="s">
        <v>68</v>
      </c>
      <c r="H162" s="16" t="s">
        <v>702</v>
      </c>
      <c r="I162" s="16"/>
      <c r="J162" s="66">
        <f>18/ATHENS!O1*ATHENS!O2</f>
        <v>36.734693877551024</v>
      </c>
      <c r="K162" s="66">
        <f>21/ATHENS!O1*ATHENS!O2</f>
        <v>42.857142857142861</v>
      </c>
      <c r="L162" s="40">
        <f>29/ATHENS!O1*ATHENS!O2</f>
        <v>59.183673469387756</v>
      </c>
      <c r="M162" s="40">
        <f>39/ATHENS!O1*ATHENS!O2</f>
        <v>79.591836734693885</v>
      </c>
      <c r="N162" s="40"/>
    </row>
    <row r="163" spans="1:14" x14ac:dyDescent="0.2">
      <c r="A163" s="24"/>
      <c r="B163" s="59" t="s">
        <v>67</v>
      </c>
      <c r="C163" s="15"/>
      <c r="D163" s="15"/>
      <c r="E163" s="16"/>
      <c r="F163" s="16" t="s">
        <v>1182</v>
      </c>
      <c r="G163" s="16" t="s">
        <v>68</v>
      </c>
      <c r="H163" s="16" t="s">
        <v>702</v>
      </c>
      <c r="I163" s="16"/>
      <c r="J163" s="66">
        <f>16.5/ATHENS!O1*ATHENS!O2</f>
        <v>33.673469387755105</v>
      </c>
      <c r="K163" s="66">
        <f>21/ATHENS!O1*ATHENS!O2</f>
        <v>42.857142857142861</v>
      </c>
      <c r="L163" s="40">
        <f>25/ATHENS!O1*ATHENS!O2</f>
        <v>51.020408163265309</v>
      </c>
      <c r="M163" s="40">
        <f>35/ATHENS!O1*ATHENS!O2</f>
        <v>71.428571428571431</v>
      </c>
      <c r="N163" s="40"/>
    </row>
    <row r="164" spans="1:14" ht="13.5" thickBot="1" x14ac:dyDescent="0.25">
      <c r="A164" s="28"/>
      <c r="B164" s="418" t="s">
        <v>902</v>
      </c>
      <c r="C164" s="418"/>
      <c r="D164" s="418"/>
      <c r="E164" s="30"/>
      <c r="F164" s="80"/>
      <c r="G164" s="80"/>
      <c r="H164" s="30" t="s">
        <v>702</v>
      </c>
      <c r="I164" s="30"/>
      <c r="J164" s="67">
        <f>12/ATHENS!O1*ATHENS!O2</f>
        <v>24.489795918367346</v>
      </c>
      <c r="K164" s="67">
        <f>12/ATHENS!O1*ATHENS!O2</f>
        <v>24.489795918367346</v>
      </c>
      <c r="L164" s="42">
        <f>12/ATHENS!O1*ATHENS!O2</f>
        <v>24.489795918367346</v>
      </c>
      <c r="M164" s="42">
        <f>12/ATHENS!O1*ATHENS!O2</f>
        <v>24.489795918367346</v>
      </c>
      <c r="N164" s="42"/>
    </row>
    <row r="165" spans="1:14" x14ac:dyDescent="0.2">
      <c r="A165" s="97"/>
      <c r="B165" s="98"/>
      <c r="C165" s="98"/>
      <c r="D165" s="98"/>
      <c r="E165" s="99"/>
      <c r="F165" s="99"/>
      <c r="G165" s="99"/>
      <c r="H165" s="99"/>
      <c r="I165" s="99"/>
      <c r="J165" s="99"/>
      <c r="K165" s="99"/>
      <c r="L165" s="99"/>
      <c r="M165" s="99"/>
      <c r="N165" s="99"/>
    </row>
    <row r="166" spans="1:14" ht="13.5" thickBot="1" x14ac:dyDescent="0.25">
      <c r="A166" s="97"/>
      <c r="B166" s="98"/>
      <c r="C166" s="98"/>
      <c r="D166" s="98"/>
      <c r="E166" s="99"/>
      <c r="F166" s="99"/>
      <c r="G166" s="99"/>
      <c r="H166" s="99"/>
      <c r="I166" s="99"/>
      <c r="J166" s="99"/>
      <c r="K166" s="99"/>
      <c r="L166" s="99"/>
      <c r="M166" s="99"/>
      <c r="N166" s="99"/>
    </row>
    <row r="167" spans="1:14" x14ac:dyDescent="0.2">
      <c r="A167" s="20"/>
      <c r="B167" s="21"/>
      <c r="C167" s="21"/>
      <c r="D167" s="21"/>
      <c r="E167" s="22"/>
      <c r="F167" s="22"/>
      <c r="G167" s="22"/>
      <c r="H167" s="22"/>
      <c r="I167" s="22"/>
      <c r="J167" s="22"/>
      <c r="K167" s="22"/>
      <c r="L167" s="22"/>
      <c r="M167" s="22"/>
      <c r="N167" s="23"/>
    </row>
    <row r="168" spans="1:14" ht="15" x14ac:dyDescent="0.2">
      <c r="A168" s="24"/>
      <c r="B168" s="413" t="s">
        <v>1708</v>
      </c>
      <c r="C168" s="414"/>
      <c r="D168" s="414"/>
      <c r="E168" s="414"/>
      <c r="F168" s="414"/>
      <c r="G168" s="414"/>
      <c r="H168" s="414"/>
      <c r="I168" s="414"/>
      <c r="J168" s="414"/>
      <c r="K168" s="414"/>
      <c r="L168" s="414"/>
      <c r="M168" s="415"/>
      <c r="N168" s="25" t="s">
        <v>664</v>
      </c>
    </row>
    <row r="169" spans="1:14" x14ac:dyDescent="0.2">
      <c r="A169" s="24"/>
      <c r="B169" s="26" t="s">
        <v>428</v>
      </c>
      <c r="C169" s="15" t="s">
        <v>1722</v>
      </c>
      <c r="D169" s="15"/>
      <c r="E169" s="16"/>
      <c r="F169" s="16"/>
      <c r="G169" s="16"/>
      <c r="H169" s="16"/>
      <c r="I169" s="16"/>
      <c r="J169" s="16"/>
      <c r="K169" s="16"/>
      <c r="L169" s="16"/>
      <c r="M169" s="16"/>
      <c r="N169" s="27"/>
    </row>
    <row r="170" spans="1:14" x14ac:dyDescent="0.2">
      <c r="A170" s="24"/>
      <c r="B170" s="26" t="s">
        <v>429</v>
      </c>
      <c r="C170" s="15" t="s">
        <v>1673</v>
      </c>
      <c r="D170" s="15"/>
      <c r="E170" s="16"/>
      <c r="F170" s="16"/>
      <c r="G170" s="16"/>
      <c r="H170" s="16"/>
      <c r="I170" s="16"/>
      <c r="J170" s="16"/>
      <c r="K170" s="16"/>
      <c r="L170" s="16"/>
      <c r="M170" s="16"/>
      <c r="N170" s="27"/>
    </row>
    <row r="171" spans="1:14" x14ac:dyDescent="0.2">
      <c r="A171" s="24"/>
      <c r="B171" s="26" t="s">
        <v>427</v>
      </c>
      <c r="C171" s="416" t="s">
        <v>1723</v>
      </c>
      <c r="D171" s="416"/>
      <c r="E171" s="416"/>
      <c r="F171" s="416"/>
      <c r="G171" s="416"/>
      <c r="H171" s="416"/>
      <c r="I171" s="416"/>
      <c r="J171" s="416"/>
      <c r="K171" s="416"/>
      <c r="L171" s="416"/>
      <c r="M171" s="416"/>
      <c r="N171" s="417"/>
    </row>
    <row r="172" spans="1:14" x14ac:dyDescent="0.2">
      <c r="A172" s="24"/>
      <c r="B172" s="15"/>
      <c r="C172" s="416"/>
      <c r="D172" s="416"/>
      <c r="E172" s="416"/>
      <c r="F172" s="416"/>
      <c r="G172" s="416"/>
      <c r="H172" s="416"/>
      <c r="I172" s="416"/>
      <c r="J172" s="416"/>
      <c r="K172" s="416"/>
      <c r="L172" s="416"/>
      <c r="M172" s="416"/>
      <c r="N172" s="417"/>
    </row>
    <row r="173" spans="1:14" x14ac:dyDescent="0.2">
      <c r="A173" s="24"/>
      <c r="B173" s="26" t="s">
        <v>426</v>
      </c>
      <c r="C173" s="15" t="s">
        <v>1722</v>
      </c>
      <c r="D173" s="15"/>
      <c r="E173" s="16"/>
      <c r="F173" s="16"/>
      <c r="G173" s="16"/>
      <c r="H173" s="16"/>
      <c r="I173" s="16"/>
      <c r="J173" s="16"/>
      <c r="K173" s="16"/>
      <c r="L173" s="16"/>
      <c r="M173" s="16"/>
      <c r="N173" s="27"/>
    </row>
    <row r="174" spans="1:14" ht="13.5" thickBot="1" x14ac:dyDescent="0.25">
      <c r="A174" s="28"/>
      <c r="B174" s="26" t="s">
        <v>430</v>
      </c>
      <c r="C174" s="29"/>
      <c r="D174" s="29"/>
      <c r="E174" s="30"/>
      <c r="F174" s="30"/>
      <c r="G174" s="30"/>
      <c r="H174" s="30"/>
      <c r="I174" s="30"/>
      <c r="J174" s="30"/>
      <c r="K174" s="30"/>
      <c r="L174" s="30"/>
      <c r="M174" s="30"/>
      <c r="N174" s="31"/>
    </row>
    <row r="175" spans="1:14" x14ac:dyDescent="0.2">
      <c r="A175" s="24"/>
      <c r="B175" s="21" t="s">
        <v>263</v>
      </c>
      <c r="C175" s="15"/>
      <c r="D175" s="15"/>
      <c r="E175" s="16"/>
      <c r="F175" s="16"/>
      <c r="G175" s="16"/>
      <c r="H175" s="16"/>
      <c r="I175" s="16"/>
      <c r="J175" s="58"/>
      <c r="K175" s="55"/>
      <c r="L175" s="55"/>
      <c r="M175" s="55"/>
      <c r="N175" s="55"/>
    </row>
    <row r="176" spans="1:14" ht="13.5" thickBot="1" x14ac:dyDescent="0.25">
      <c r="A176" s="28"/>
      <c r="B176" s="29"/>
      <c r="C176" s="29"/>
      <c r="D176" s="29"/>
      <c r="E176" s="30"/>
      <c r="F176" s="30"/>
      <c r="G176" s="30"/>
      <c r="H176" s="30"/>
      <c r="I176" s="30"/>
      <c r="J176" s="44" t="s">
        <v>229</v>
      </c>
      <c r="K176" s="36"/>
      <c r="L176" s="36"/>
      <c r="M176" s="36"/>
      <c r="N176" s="36"/>
    </row>
    <row r="177" spans="1:14" x14ac:dyDescent="0.2">
      <c r="A177" s="20"/>
      <c r="B177" s="412" t="s">
        <v>67</v>
      </c>
      <c r="C177" s="412"/>
      <c r="D177" s="412"/>
      <c r="E177" s="22"/>
      <c r="F177" s="22" t="s">
        <v>1180</v>
      </c>
      <c r="G177" s="22" t="s">
        <v>68</v>
      </c>
      <c r="H177" s="22" t="s">
        <v>702</v>
      </c>
      <c r="I177" s="16"/>
      <c r="J177" s="66">
        <f>40/ATHENS!O1*ATHENS!O2</f>
        <v>81.632653061224488</v>
      </c>
      <c r="K177" s="66"/>
      <c r="L177" s="40"/>
      <c r="M177" s="38"/>
      <c r="N177" s="38"/>
    </row>
    <row r="178" spans="1:14" x14ac:dyDescent="0.2">
      <c r="A178" s="24"/>
      <c r="B178" s="411" t="s">
        <v>67</v>
      </c>
      <c r="C178" s="411"/>
      <c r="D178" s="411"/>
      <c r="E178" s="16"/>
      <c r="F178" s="16" t="s">
        <v>1181</v>
      </c>
      <c r="G178" s="16" t="s">
        <v>68</v>
      </c>
      <c r="H178" s="16" t="s">
        <v>702</v>
      </c>
      <c r="I178" s="16"/>
      <c r="J178" s="66">
        <f>25/ATHENS!O1*ATHENS!O2</f>
        <v>51.020408163265309</v>
      </c>
      <c r="K178" s="66"/>
      <c r="L178" s="40"/>
      <c r="M178" s="40"/>
      <c r="N178" s="40"/>
    </row>
    <row r="179" spans="1:14" x14ac:dyDescent="0.2">
      <c r="A179" s="24"/>
      <c r="B179" s="59" t="s">
        <v>67</v>
      </c>
      <c r="C179" s="15"/>
      <c r="D179" s="15"/>
      <c r="E179" s="16"/>
      <c r="F179" s="16" t="s">
        <v>1182</v>
      </c>
      <c r="G179" s="16" t="s">
        <v>68</v>
      </c>
      <c r="H179" s="16" t="s">
        <v>702</v>
      </c>
      <c r="I179" s="16"/>
      <c r="J179" s="66">
        <f>23.5/ATHENS!O1*ATHENS!O2</f>
        <v>47.95918367346939</v>
      </c>
      <c r="K179" s="66"/>
      <c r="L179" s="40"/>
      <c r="M179" s="40"/>
      <c r="N179" s="40"/>
    </row>
    <row r="180" spans="1:14" ht="13.5" thickBot="1" x14ac:dyDescent="0.25">
      <c r="A180" s="28"/>
      <c r="B180" s="418"/>
      <c r="C180" s="418"/>
      <c r="D180" s="418"/>
      <c r="E180" s="30"/>
      <c r="F180" s="80"/>
      <c r="G180" s="80"/>
      <c r="H180" s="30"/>
      <c r="I180" s="30"/>
      <c r="J180" s="67"/>
      <c r="K180" s="67"/>
      <c r="L180" s="42"/>
      <c r="M180" s="42"/>
      <c r="N180" s="42"/>
    </row>
    <row r="181" spans="1:14" ht="13.5" thickBot="1" x14ac:dyDescent="0.25">
      <c r="A181" s="97"/>
      <c r="B181" s="98"/>
      <c r="C181" s="98"/>
      <c r="D181" s="98"/>
      <c r="E181" s="99"/>
      <c r="F181" s="99"/>
      <c r="G181" s="99"/>
      <c r="H181" s="99"/>
      <c r="I181" s="99"/>
      <c r="J181" s="99"/>
      <c r="K181" s="99"/>
      <c r="L181" s="99"/>
      <c r="M181" s="99"/>
      <c r="N181" s="99"/>
    </row>
    <row r="182" spans="1:14" x14ac:dyDescent="0.2">
      <c r="A182" s="20"/>
      <c r="B182" s="21"/>
      <c r="C182" s="21"/>
      <c r="D182" s="21"/>
      <c r="E182" s="22"/>
      <c r="F182" s="22"/>
      <c r="G182" s="22"/>
      <c r="H182" s="22"/>
      <c r="I182" s="22"/>
      <c r="J182" s="22"/>
      <c r="K182" s="22"/>
      <c r="L182" s="22"/>
      <c r="M182" s="22"/>
      <c r="N182" s="23"/>
    </row>
    <row r="183" spans="1:14" ht="15" x14ac:dyDescent="0.2">
      <c r="A183" s="24"/>
      <c r="B183" s="413" t="s">
        <v>1709</v>
      </c>
      <c r="C183" s="414"/>
      <c r="D183" s="414"/>
      <c r="E183" s="414"/>
      <c r="F183" s="414"/>
      <c r="G183" s="414"/>
      <c r="H183" s="414"/>
      <c r="I183" s="414"/>
      <c r="J183" s="414"/>
      <c r="K183" s="414"/>
      <c r="L183" s="414"/>
      <c r="M183" s="415"/>
      <c r="N183" s="25" t="s">
        <v>664</v>
      </c>
    </row>
    <row r="184" spans="1:14" x14ac:dyDescent="0.2">
      <c r="A184" s="24"/>
      <c r="B184" s="26" t="s">
        <v>428</v>
      </c>
      <c r="C184" s="15" t="s">
        <v>1724</v>
      </c>
      <c r="D184" s="15"/>
      <c r="E184" s="16"/>
      <c r="F184" s="16"/>
      <c r="G184" s="16"/>
      <c r="H184" s="16"/>
      <c r="I184" s="16"/>
      <c r="J184" s="16"/>
      <c r="K184" s="16"/>
      <c r="L184" s="16"/>
      <c r="M184" s="16"/>
      <c r="N184" s="27"/>
    </row>
    <row r="185" spans="1:14" x14ac:dyDescent="0.2">
      <c r="A185" s="24"/>
      <c r="B185" s="26" t="s">
        <v>429</v>
      </c>
      <c r="C185" s="15" t="s">
        <v>1673</v>
      </c>
      <c r="D185" s="15"/>
      <c r="E185" s="16"/>
      <c r="F185" s="16"/>
      <c r="G185" s="16"/>
      <c r="H185" s="16"/>
      <c r="I185" s="16"/>
      <c r="J185" s="16"/>
      <c r="K185" s="16"/>
      <c r="L185" s="16"/>
      <c r="M185" s="16"/>
      <c r="N185" s="27"/>
    </row>
    <row r="186" spans="1:14" x14ac:dyDescent="0.2">
      <c r="A186" s="24"/>
      <c r="B186" s="26" t="s">
        <v>427</v>
      </c>
      <c r="C186" s="416" t="s">
        <v>1725</v>
      </c>
      <c r="D186" s="416"/>
      <c r="E186" s="416"/>
      <c r="F186" s="416"/>
      <c r="G186" s="416"/>
      <c r="H186" s="416"/>
      <c r="I186" s="416"/>
      <c r="J186" s="416"/>
      <c r="K186" s="416"/>
      <c r="L186" s="416"/>
      <c r="M186" s="416"/>
      <c r="N186" s="417"/>
    </row>
    <row r="187" spans="1:14" x14ac:dyDescent="0.2">
      <c r="A187" s="24"/>
      <c r="B187" s="15"/>
      <c r="C187" s="416"/>
      <c r="D187" s="416"/>
      <c r="E187" s="416"/>
      <c r="F187" s="416"/>
      <c r="G187" s="416"/>
      <c r="H187" s="416"/>
      <c r="I187" s="416"/>
      <c r="J187" s="416"/>
      <c r="K187" s="416"/>
      <c r="L187" s="416"/>
      <c r="M187" s="416"/>
      <c r="N187" s="417"/>
    </row>
    <row r="188" spans="1:14" x14ac:dyDescent="0.2">
      <c r="A188" s="24"/>
      <c r="B188" s="26" t="s">
        <v>426</v>
      </c>
      <c r="C188" s="15"/>
      <c r="D188" s="15"/>
      <c r="E188" s="16"/>
      <c r="F188" s="16"/>
      <c r="G188" s="16"/>
      <c r="H188" s="16"/>
      <c r="I188" s="16"/>
      <c r="J188" s="16"/>
      <c r="K188" s="16"/>
      <c r="L188" s="16"/>
      <c r="M188" s="16"/>
      <c r="N188" s="27"/>
    </row>
    <row r="189" spans="1:14" ht="13.5" thickBot="1" x14ac:dyDescent="0.25">
      <c r="A189" s="28"/>
      <c r="B189" s="26" t="s">
        <v>430</v>
      </c>
      <c r="C189" s="29"/>
      <c r="D189" s="29"/>
      <c r="E189" s="30"/>
      <c r="F189" s="30"/>
      <c r="G189" s="30"/>
      <c r="H189" s="30"/>
      <c r="I189" s="30"/>
      <c r="J189" s="30"/>
      <c r="K189" s="30"/>
      <c r="L189" s="30"/>
      <c r="M189" s="30"/>
      <c r="N189" s="31"/>
    </row>
    <row r="190" spans="1:14" x14ac:dyDescent="0.2">
      <c r="A190" s="24"/>
      <c r="B190" s="21" t="s">
        <v>263</v>
      </c>
      <c r="C190" s="15"/>
      <c r="D190" s="15"/>
      <c r="E190" s="16"/>
      <c r="F190" s="16"/>
      <c r="G190" s="16"/>
      <c r="H190" s="16"/>
      <c r="I190" s="16"/>
      <c r="J190" s="58" t="s">
        <v>758</v>
      </c>
      <c r="K190" s="55" t="s">
        <v>279</v>
      </c>
      <c r="L190" s="55" t="s">
        <v>1942</v>
      </c>
      <c r="M190" s="55"/>
      <c r="N190" s="55"/>
    </row>
    <row r="191" spans="1:14" ht="13.5" thickBot="1" x14ac:dyDescent="0.25">
      <c r="A191" s="28"/>
      <c r="B191" s="29"/>
      <c r="C191" s="29"/>
      <c r="D191" s="29"/>
      <c r="E191" s="30"/>
      <c r="F191" s="30"/>
      <c r="G191" s="30"/>
      <c r="H191" s="30"/>
      <c r="I191" s="30"/>
      <c r="J191" s="44" t="s">
        <v>481</v>
      </c>
      <c r="K191" s="36" t="s">
        <v>341</v>
      </c>
      <c r="L191" s="36" t="s">
        <v>520</v>
      </c>
      <c r="M191" s="36" t="s">
        <v>1943</v>
      </c>
      <c r="N191" s="36"/>
    </row>
    <row r="192" spans="1:14" x14ac:dyDescent="0.2">
      <c r="A192" s="20"/>
      <c r="B192" s="412" t="s">
        <v>67</v>
      </c>
      <c r="C192" s="412"/>
      <c r="D192" s="412"/>
      <c r="E192" s="22"/>
      <c r="F192" s="22" t="s">
        <v>1180</v>
      </c>
      <c r="G192" s="22" t="s">
        <v>68</v>
      </c>
      <c r="H192" s="22" t="s">
        <v>702</v>
      </c>
      <c r="I192" s="16"/>
      <c r="J192" s="66">
        <f>50/ATHENS!O1*ATHENS!O2</f>
        <v>102.04081632653062</v>
      </c>
      <c r="K192" s="66">
        <f>60/ATHENS!O1*ATHENS!O2</f>
        <v>122.44897959183673</v>
      </c>
      <c r="L192" s="40">
        <f>95/ATHENS!O1*ATHENS!O2</f>
        <v>193.87755102040816</v>
      </c>
      <c r="M192" s="38">
        <f>115/ATHENS!O1*ATHENS!O2</f>
        <v>234.69387755102042</v>
      </c>
      <c r="N192" s="38"/>
    </row>
    <row r="193" spans="1:14" x14ac:dyDescent="0.2">
      <c r="A193" s="24"/>
      <c r="B193" s="411" t="s">
        <v>67</v>
      </c>
      <c r="C193" s="411"/>
      <c r="D193" s="411"/>
      <c r="E193" s="16"/>
      <c r="F193" s="16" t="s">
        <v>1181</v>
      </c>
      <c r="G193" s="16" t="s">
        <v>68</v>
      </c>
      <c r="H193" s="16" t="s">
        <v>702</v>
      </c>
      <c r="I193" s="16"/>
      <c r="J193" s="66">
        <f>30/ATHENS!O1*ATHENS!O2</f>
        <v>61.224489795918366</v>
      </c>
      <c r="K193" s="66">
        <f>35/ATHENS!O1*ATHENS!O2</f>
        <v>71.428571428571431</v>
      </c>
      <c r="L193" s="40">
        <f>53/ATHENS!O1*ATHENS!O2</f>
        <v>108.16326530612245</v>
      </c>
      <c r="M193" s="40">
        <f>63/ATHENS!O1*ATHENS!O2</f>
        <v>128.57142857142858</v>
      </c>
      <c r="N193" s="40"/>
    </row>
    <row r="194" spans="1:14" x14ac:dyDescent="0.2">
      <c r="A194" s="24"/>
      <c r="B194" s="59" t="s">
        <v>67</v>
      </c>
      <c r="C194" s="15"/>
      <c r="D194" s="15"/>
      <c r="E194" s="16"/>
      <c r="F194" s="16" t="s">
        <v>1182</v>
      </c>
      <c r="G194" s="16" t="s">
        <v>68</v>
      </c>
      <c r="H194" s="16" t="s">
        <v>702</v>
      </c>
      <c r="I194" s="16"/>
      <c r="J194" s="66">
        <f>23.5/ATHENS!O1*ATHENS!O2</f>
        <v>47.95918367346939</v>
      </c>
      <c r="K194" s="66">
        <f>26.6/ATHENS!O1*ATHENS!O2</f>
        <v>54.285714285714292</v>
      </c>
      <c r="L194" s="40">
        <f>42/ATHENS!O1*ATHENS!O2</f>
        <v>85.714285714285722</v>
      </c>
      <c r="M194" s="40">
        <f>49/ATHENS!O1*ATHENS!O2</f>
        <v>100</v>
      </c>
      <c r="N194" s="40"/>
    </row>
    <row r="195" spans="1:14" ht="13.5" thickBot="1" x14ac:dyDescent="0.25">
      <c r="A195" s="28"/>
      <c r="B195" s="418"/>
      <c r="C195" s="418"/>
      <c r="D195" s="418"/>
      <c r="E195" s="30"/>
      <c r="F195" s="80"/>
      <c r="G195" s="80"/>
      <c r="H195" s="30"/>
      <c r="I195" s="30"/>
      <c r="J195" s="67"/>
      <c r="K195" s="67"/>
      <c r="L195" s="42"/>
      <c r="M195" s="42"/>
      <c r="N195" s="42"/>
    </row>
    <row r="196" spans="1:14" x14ac:dyDescent="0.2">
      <c r="A196" s="14"/>
      <c r="B196" s="15"/>
      <c r="C196" s="15"/>
      <c r="D196" s="15"/>
      <c r="E196" s="16"/>
      <c r="F196" s="59"/>
      <c r="G196" s="59"/>
      <c r="H196" s="16"/>
      <c r="I196" s="16"/>
      <c r="J196" s="68"/>
      <c r="K196" s="68"/>
      <c r="L196" s="47"/>
      <c r="M196" s="47"/>
      <c r="N196" s="47"/>
    </row>
    <row r="197" spans="1:14" x14ac:dyDescent="0.2">
      <c r="A197" s="14"/>
      <c r="B197" s="15"/>
      <c r="C197" s="15"/>
      <c r="D197" s="15"/>
      <c r="E197" s="16"/>
      <c r="F197" s="59"/>
      <c r="G197" s="59"/>
      <c r="H197" s="16"/>
      <c r="I197" s="16"/>
      <c r="J197" s="68"/>
      <c r="K197" s="68"/>
      <c r="L197" s="47"/>
      <c r="M197" s="47"/>
      <c r="N197" s="47"/>
    </row>
    <row r="198" spans="1:14" x14ac:dyDescent="0.2">
      <c r="A198" s="14"/>
      <c r="B198" s="15"/>
      <c r="C198" s="15"/>
      <c r="D198" s="15"/>
      <c r="E198" s="16"/>
      <c r="F198" s="59"/>
      <c r="G198" s="59"/>
      <c r="H198" s="16"/>
      <c r="I198" s="16"/>
      <c r="J198" s="68"/>
      <c r="K198" s="68"/>
      <c r="L198" s="47"/>
      <c r="M198" s="47"/>
      <c r="N198" s="47"/>
    </row>
    <row r="199" spans="1:14" x14ac:dyDescent="0.2">
      <c r="A199" s="14"/>
      <c r="B199" s="15"/>
      <c r="C199" s="15"/>
      <c r="D199" s="15"/>
      <c r="E199" s="16"/>
      <c r="F199" s="59"/>
      <c r="G199" s="59"/>
      <c r="H199" s="16"/>
      <c r="I199" s="16"/>
      <c r="J199" s="68"/>
      <c r="K199" s="68"/>
      <c r="L199" s="47"/>
      <c r="M199" s="47"/>
      <c r="N199" s="47"/>
    </row>
    <row r="200" spans="1:14" x14ac:dyDescent="0.2">
      <c r="A200" s="14"/>
      <c r="B200" s="15"/>
      <c r="C200" s="15"/>
      <c r="D200" s="15"/>
      <c r="E200" s="16"/>
      <c r="F200" s="59"/>
      <c r="G200" s="59"/>
      <c r="H200" s="16"/>
      <c r="I200" s="16"/>
      <c r="J200" s="68"/>
      <c r="K200" s="68"/>
      <c r="L200" s="47"/>
      <c r="M200" s="47"/>
      <c r="N200" s="47"/>
    </row>
    <row r="201" spans="1:14" x14ac:dyDescent="0.2">
      <c r="A201" s="14"/>
      <c r="B201" s="15"/>
      <c r="C201" s="15"/>
      <c r="D201" s="15"/>
      <c r="E201" s="16"/>
      <c r="F201" s="59"/>
      <c r="G201" s="59"/>
      <c r="H201" s="16"/>
      <c r="I201" s="16"/>
      <c r="J201" s="68"/>
      <c r="K201" s="68"/>
      <c r="L201" s="47"/>
      <c r="M201" s="47"/>
      <c r="N201" s="47"/>
    </row>
    <row r="202" spans="1:14" x14ac:dyDescent="0.2">
      <c r="A202" s="14"/>
      <c r="B202" s="15"/>
      <c r="C202" s="15"/>
      <c r="D202" s="15"/>
      <c r="E202" s="16"/>
      <c r="F202" s="59"/>
      <c r="G202" s="59"/>
      <c r="H202" s="16"/>
      <c r="I202" s="16"/>
      <c r="J202" s="68"/>
      <c r="K202" s="68"/>
      <c r="L202" s="47"/>
      <c r="M202" s="47"/>
      <c r="N202" s="47"/>
    </row>
    <row r="203" spans="1:14" x14ac:dyDescent="0.2">
      <c r="A203" s="14"/>
      <c r="B203" s="15"/>
      <c r="C203" s="15"/>
      <c r="D203" s="15"/>
      <c r="E203" s="16"/>
      <c r="F203" s="59"/>
      <c r="G203" s="59"/>
      <c r="H203" s="16"/>
      <c r="I203" s="16"/>
      <c r="J203" s="68"/>
      <c r="K203" s="68"/>
      <c r="L203" s="47"/>
      <c r="M203" s="47"/>
      <c r="N203" s="47"/>
    </row>
    <row r="204" spans="1:14" x14ac:dyDescent="0.2">
      <c r="A204" s="14"/>
      <c r="B204" s="15"/>
      <c r="C204" s="15"/>
      <c r="D204" s="15"/>
      <c r="E204" s="16"/>
      <c r="F204" s="59"/>
      <c r="G204" s="59"/>
      <c r="H204" s="16"/>
      <c r="I204" s="16"/>
      <c r="J204" s="68"/>
      <c r="K204" s="68"/>
      <c r="L204" s="47"/>
      <c r="M204" s="47"/>
      <c r="N204" s="47"/>
    </row>
    <row r="205" spans="1:14" x14ac:dyDescent="0.2">
      <c r="A205" s="14"/>
      <c r="B205" s="15"/>
      <c r="C205" s="15"/>
      <c r="D205" s="15"/>
      <c r="E205" s="16"/>
      <c r="F205" s="59"/>
      <c r="G205" s="59"/>
      <c r="H205" s="16"/>
      <c r="I205" s="16"/>
      <c r="J205" s="68"/>
      <c r="K205" s="68"/>
      <c r="L205" s="47"/>
      <c r="M205" s="47"/>
      <c r="N205" s="47"/>
    </row>
    <row r="206" spans="1:14" x14ac:dyDescent="0.2">
      <c r="A206" s="14"/>
      <c r="B206" s="15"/>
      <c r="C206" s="15"/>
      <c r="D206" s="15"/>
      <c r="E206" s="16"/>
      <c r="F206" s="59"/>
      <c r="G206" s="59"/>
      <c r="H206" s="16"/>
      <c r="I206" s="16"/>
      <c r="J206" s="68"/>
      <c r="K206" s="68"/>
      <c r="L206" s="47"/>
      <c r="M206" s="47"/>
      <c r="N206" s="47"/>
    </row>
    <row r="207" spans="1:14" ht="13.5" thickBot="1" x14ac:dyDescent="0.25">
      <c r="A207" s="97"/>
      <c r="B207" s="98"/>
      <c r="C207" s="98"/>
      <c r="D207" s="98"/>
      <c r="E207" s="99"/>
      <c r="F207" s="99"/>
      <c r="G207" s="99"/>
      <c r="H207" s="99"/>
      <c r="I207" s="99"/>
      <c r="J207" s="99"/>
      <c r="K207" s="99"/>
      <c r="L207" s="99"/>
      <c r="M207" s="99"/>
      <c r="N207" s="99"/>
    </row>
    <row r="208" spans="1:14" ht="13.5" thickBot="1" x14ac:dyDescent="0.25">
      <c r="A208" s="101"/>
      <c r="B208" s="102"/>
      <c r="C208" s="102"/>
      <c r="D208" s="102"/>
      <c r="E208" s="103"/>
      <c r="F208" s="103"/>
      <c r="G208" s="103"/>
      <c r="H208" s="103"/>
      <c r="I208" s="103"/>
      <c r="J208" s="103"/>
      <c r="K208" s="103"/>
      <c r="L208" s="103"/>
      <c r="M208" s="103"/>
      <c r="N208" s="104"/>
    </row>
    <row r="209" spans="1:14" ht="15.75" thickBot="1" x14ac:dyDescent="0.25">
      <c r="A209" s="105"/>
      <c r="B209" s="459" t="s">
        <v>1349</v>
      </c>
      <c r="C209" s="460"/>
      <c r="D209" s="460"/>
      <c r="E209" s="460"/>
      <c r="F209" s="460"/>
      <c r="G209" s="460"/>
      <c r="H209" s="460"/>
      <c r="I209" s="460"/>
      <c r="J209" s="460"/>
      <c r="K209" s="460"/>
      <c r="L209" s="460"/>
      <c r="M209" s="461"/>
      <c r="N209" s="106" t="s">
        <v>684</v>
      </c>
    </row>
    <row r="210" spans="1:14" x14ac:dyDescent="0.2">
      <c r="A210" s="105"/>
      <c r="B210" s="107" t="s">
        <v>428</v>
      </c>
      <c r="C210" s="98" t="s">
        <v>569</v>
      </c>
      <c r="D210" s="98"/>
      <c r="E210" s="99"/>
      <c r="F210" s="99"/>
      <c r="G210" s="99"/>
      <c r="H210" s="99"/>
      <c r="I210" s="99"/>
      <c r="J210" s="99"/>
      <c r="K210" s="99"/>
      <c r="L210" s="99"/>
      <c r="M210" s="99"/>
      <c r="N210" s="90"/>
    </row>
    <row r="211" spans="1:14" x14ac:dyDescent="0.2">
      <c r="A211" s="105"/>
      <c r="B211" s="107" t="s">
        <v>429</v>
      </c>
      <c r="C211" s="98" t="s">
        <v>730</v>
      </c>
      <c r="D211" s="98"/>
      <c r="E211" s="99"/>
      <c r="F211" s="99"/>
      <c r="G211" s="99"/>
      <c r="H211" s="99"/>
      <c r="I211" s="99"/>
      <c r="J211" s="99"/>
      <c r="K211" s="99"/>
      <c r="L211" s="99"/>
      <c r="M211" s="99"/>
      <c r="N211" s="90"/>
    </row>
    <row r="212" spans="1:14" x14ac:dyDescent="0.2">
      <c r="A212" s="105"/>
      <c r="B212" s="107" t="s">
        <v>427</v>
      </c>
      <c r="C212" s="455" t="s">
        <v>846</v>
      </c>
      <c r="D212" s="455"/>
      <c r="E212" s="455"/>
      <c r="F212" s="455"/>
      <c r="G212" s="455"/>
      <c r="H212" s="455"/>
      <c r="I212" s="455"/>
      <c r="J212" s="455"/>
      <c r="K212" s="455"/>
      <c r="L212" s="455"/>
      <c r="M212" s="455"/>
      <c r="N212" s="456"/>
    </row>
    <row r="213" spans="1:14" x14ac:dyDescent="0.2">
      <c r="A213" s="105"/>
      <c r="B213" s="98"/>
      <c r="C213" s="455"/>
      <c r="D213" s="455"/>
      <c r="E213" s="455"/>
      <c r="F213" s="455"/>
      <c r="G213" s="455"/>
      <c r="H213" s="455"/>
      <c r="I213" s="455"/>
      <c r="J213" s="455"/>
      <c r="K213" s="455"/>
      <c r="L213" s="455"/>
      <c r="M213" s="455"/>
      <c r="N213" s="456"/>
    </row>
    <row r="214" spans="1:14" ht="13.5" thickBot="1" x14ac:dyDescent="0.25">
      <c r="A214" s="105"/>
      <c r="B214" s="107" t="s">
        <v>426</v>
      </c>
      <c r="C214" s="98" t="s">
        <v>363</v>
      </c>
      <c r="D214" s="98"/>
      <c r="E214" s="99"/>
      <c r="F214" s="99"/>
      <c r="G214" s="99"/>
      <c r="H214" s="99"/>
      <c r="I214" s="99"/>
      <c r="J214" s="99"/>
      <c r="K214" s="99"/>
      <c r="L214" s="99"/>
      <c r="M214" s="99"/>
      <c r="N214" s="90"/>
    </row>
    <row r="215" spans="1:14" x14ac:dyDescent="0.2">
      <c r="A215" s="101"/>
      <c r="B215" s="102" t="s">
        <v>263</v>
      </c>
      <c r="C215" s="102"/>
      <c r="D215" s="102"/>
      <c r="E215" s="103"/>
      <c r="F215" s="103"/>
      <c r="G215" s="103"/>
      <c r="H215" s="103"/>
      <c r="I215" s="103"/>
      <c r="J215" s="114" t="s">
        <v>1590</v>
      </c>
      <c r="K215" s="113" t="s">
        <v>1555</v>
      </c>
      <c r="L215" s="113"/>
      <c r="M215" s="113"/>
      <c r="N215" s="113"/>
    </row>
    <row r="216" spans="1:14" ht="13.5" thickBot="1" x14ac:dyDescent="0.25">
      <c r="A216" s="108"/>
      <c r="B216" s="109"/>
      <c r="C216" s="109"/>
      <c r="D216" s="109"/>
      <c r="E216" s="110"/>
      <c r="F216" s="110"/>
      <c r="G216" s="110"/>
      <c r="H216" s="110"/>
      <c r="I216" s="110"/>
      <c r="J216" s="112" t="s">
        <v>1591</v>
      </c>
      <c r="K216" s="94" t="s">
        <v>1592</v>
      </c>
      <c r="L216" s="94" t="s">
        <v>1593</v>
      </c>
      <c r="M216" s="94" t="s">
        <v>1594</v>
      </c>
      <c r="N216" s="94" t="s">
        <v>1595</v>
      </c>
    </row>
    <row r="217" spans="1:14" x14ac:dyDescent="0.2">
      <c r="A217" s="101"/>
      <c r="B217" s="448" t="s">
        <v>67</v>
      </c>
      <c r="C217" s="448"/>
      <c r="D217" s="448"/>
      <c r="E217" s="103"/>
      <c r="F217" s="103" t="s">
        <v>1180</v>
      </c>
      <c r="G217" s="103" t="s">
        <v>68</v>
      </c>
      <c r="H217" s="103" t="s">
        <v>702</v>
      </c>
      <c r="I217" s="103"/>
      <c r="J217" s="89">
        <f>35.5/ATHENS!O1*ATHENS!O2</f>
        <v>72.448979591836732</v>
      </c>
      <c r="K217" s="89">
        <f>38/ATHENS!O1*ATHENS!O2</f>
        <v>77.551020408163268</v>
      </c>
      <c r="L217" s="89">
        <f>46.15/ATHENS!O1*ATHENS!O2</f>
        <v>94.183673469387756</v>
      </c>
      <c r="M217" s="113">
        <f>64.08/ATHENS!O1*ATHENS!O2</f>
        <v>130.77551020408163</v>
      </c>
      <c r="N217" s="113">
        <f>89.22/ATHENS!O1*ATHENS!O2</f>
        <v>182.08163265306123</v>
      </c>
    </row>
    <row r="218" spans="1:14" x14ac:dyDescent="0.2">
      <c r="A218" s="105"/>
      <c r="B218" s="443" t="s">
        <v>67</v>
      </c>
      <c r="C218" s="443"/>
      <c r="D218" s="443"/>
      <c r="E218" s="99"/>
      <c r="F218" s="99" t="s">
        <v>1181</v>
      </c>
      <c r="G218" s="99" t="s">
        <v>68</v>
      </c>
      <c r="H218" s="99" t="s">
        <v>702</v>
      </c>
      <c r="I218" s="99"/>
      <c r="J218" s="89">
        <f>21.5/ATHENS!O1*ATHENS!O2</f>
        <v>43.877551020408163</v>
      </c>
      <c r="K218" s="89">
        <f>23.88/ATHENS!O1*ATHENS!O2</f>
        <v>48.734693877551017</v>
      </c>
      <c r="L218" s="89">
        <f>29.67/ATHENS!O1*ATHENS!O2</f>
        <v>60.551020408163268</v>
      </c>
      <c r="M218" s="89">
        <f>35.35/ATHENS!O1*ATHENS!O2</f>
        <v>72.142857142857153</v>
      </c>
      <c r="N218" s="89">
        <f>46.83/ATHENS!O1*ATHENS!O2</f>
        <v>95.571428571428569</v>
      </c>
    </row>
    <row r="219" spans="1:14" ht="13.5" thickBot="1" x14ac:dyDescent="0.25">
      <c r="A219" s="108"/>
      <c r="B219" s="436" t="s">
        <v>67</v>
      </c>
      <c r="C219" s="436"/>
      <c r="D219" s="436"/>
      <c r="E219" s="110"/>
      <c r="F219" s="110" t="s">
        <v>1182</v>
      </c>
      <c r="G219" s="110" t="s">
        <v>68</v>
      </c>
      <c r="H219" s="110" t="s">
        <v>702</v>
      </c>
      <c r="I219" s="110"/>
      <c r="J219" s="94">
        <f>19.3/ATHENS!O1*ATHENS!O2</f>
        <v>39.387755102040821</v>
      </c>
      <c r="K219" s="94">
        <f>21.25/ATHENS!O1*ATHENS!O2</f>
        <v>43.367346938775512</v>
      </c>
      <c r="L219" s="94">
        <f>26.11/ATHENS!O1*ATHENS!O2</f>
        <v>53.285714285714285</v>
      </c>
      <c r="M219" s="94">
        <f>30.5/ATHENS!O1*ATHENS!O2</f>
        <v>62.244897959183675</v>
      </c>
      <c r="N219" s="94">
        <f>41.05/ATHENS!O1*ATHENS!O2</f>
        <v>83.775510204081627</v>
      </c>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view="pageLayout" topLeftCell="A256">
      <selection activeCell="M51" sqref="M51"/>
      <rowBreaks count="2" manualBreakCount="2">
        <brk id="53" max="16383" man="1"/>
        <brk id="91" max="16383" man="1"/>
      </rowBreaks>
      <pageMargins left="0.28125" right="0.25" top="0.6692913385826772" bottom="0.70866141732283472" header="0.23622047244094491" footer="0.47244094488188981"/>
      <printOptions horizontalCentered="1"/>
      <pageSetup paperSize="9" firstPageNumber="79"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63">
    <mergeCell ref="B72:M72"/>
    <mergeCell ref="C75:N76"/>
    <mergeCell ref="B81:D81"/>
    <mergeCell ref="B82:D82"/>
    <mergeCell ref="B84:D84"/>
    <mergeCell ref="B183:M183"/>
    <mergeCell ref="C186:N187"/>
    <mergeCell ref="B192:D192"/>
    <mergeCell ref="B193:D193"/>
    <mergeCell ref="B195:D195"/>
    <mergeCell ref="B168:M168"/>
    <mergeCell ref="C171:N172"/>
    <mergeCell ref="B177:D177"/>
    <mergeCell ref="B178:D178"/>
    <mergeCell ref="B180:D180"/>
    <mergeCell ref="B152:M152"/>
    <mergeCell ref="C155:N156"/>
    <mergeCell ref="B161:D161"/>
    <mergeCell ref="B162:D162"/>
    <mergeCell ref="B164:D164"/>
    <mergeCell ref="B219:D219"/>
    <mergeCell ref="B218:D218"/>
    <mergeCell ref="B209:M209"/>
    <mergeCell ref="C212:N213"/>
    <mergeCell ref="B217:D217"/>
    <mergeCell ref="B107:M107"/>
    <mergeCell ref="B134:D134"/>
    <mergeCell ref="B133:D133"/>
    <mergeCell ref="B119:D119"/>
    <mergeCell ref="B132:D132"/>
    <mergeCell ref="C110:N112"/>
    <mergeCell ref="B116:D116"/>
    <mergeCell ref="B117:D117"/>
    <mergeCell ref="B118:D118"/>
    <mergeCell ref="B123:M123"/>
    <mergeCell ref="C126:N128"/>
    <mergeCell ref="B104:D104"/>
    <mergeCell ref="B93:M93"/>
    <mergeCell ref="C96:N97"/>
    <mergeCell ref="B101:D101"/>
    <mergeCell ref="B102:D102"/>
    <mergeCell ref="B67:D67"/>
    <mergeCell ref="C58:N60"/>
    <mergeCell ref="B68:D68"/>
    <mergeCell ref="B49:D49"/>
    <mergeCell ref="B17:D17"/>
    <mergeCell ref="B50:D50"/>
    <mergeCell ref="B51:D51"/>
    <mergeCell ref="C23:N26"/>
    <mergeCell ref="B31:D31"/>
    <mergeCell ref="B20:M20"/>
    <mergeCell ref="B32:D32"/>
    <mergeCell ref="B33:D33"/>
    <mergeCell ref="B34:D34"/>
    <mergeCell ref="B65:D65"/>
    <mergeCell ref="B66:D66"/>
    <mergeCell ref="B2:M2"/>
    <mergeCell ref="C5:N10"/>
    <mergeCell ref="B15:D15"/>
    <mergeCell ref="B55:M55"/>
    <mergeCell ref="C41:N44"/>
    <mergeCell ref="B16:D16"/>
    <mergeCell ref="B38:M38"/>
  </mergeCells>
  <phoneticPr fontId="0" type="noConversion"/>
  <hyperlinks>
    <hyperlink ref="B2:M2" r:id="rId3" display="Astir of Paros" xr:uid="{00000000-0004-0000-1D00-000000000000}"/>
    <hyperlink ref="B20:M20" r:id="rId4" display="Yria" xr:uid="{00000000-0004-0000-1D00-000001000000}"/>
    <hyperlink ref="B38:M38" r:id="rId5" display="Holiday Sun" xr:uid="{00000000-0004-0000-1D00-000002000000}"/>
    <hyperlink ref="B55:M55" r:id="rId6" display="Narges" xr:uid="{00000000-0004-0000-1D00-000003000000}"/>
    <hyperlink ref="B93:M93" r:id="rId7" display="Aegeon" xr:uid="{00000000-0004-0000-1D00-000004000000}"/>
    <hyperlink ref="B107:M107" r:id="rId8" display="Contaratos Beach" xr:uid="{00000000-0004-0000-1D00-000005000000}"/>
    <hyperlink ref="B123:M123" r:id="rId9" display="Eri" xr:uid="{00000000-0004-0000-1D00-000006000000}"/>
    <hyperlink ref="B209:M209" r:id="rId10" display="Paros Bay" xr:uid="{00000000-0004-0000-1D00-000007000000}"/>
    <hyperlink ref="B72:M72" r:id="rId11" display="Senia" xr:uid="{00000000-0004-0000-1D00-000008000000}"/>
    <hyperlink ref="B152:M152" r:id="rId12" display="High Mill" xr:uid="{00000000-0004-0000-1D00-000009000000}"/>
    <hyperlink ref="B168:M168" r:id="rId13" display="Oasis" xr:uid="{00000000-0004-0000-1D00-00000A000000}"/>
  </hyperlinks>
  <printOptions horizontalCentered="1"/>
  <pageMargins left="0.28125" right="0.25" top="0.6692913385826772" bottom="0.70866141732283472" header="0.23622047244094491" footer="0.47244094488188981"/>
  <pageSetup paperSize="9" firstPageNumber="79" orientation="portrait" useFirstPageNumber="1" horizontalDpi="300" verticalDpi="300" r:id="rId14"/>
  <headerFooter scaleWithDoc="0" alignWithMargins="0">
    <oddHeader xml:space="preserve">&amp;C TARIFF 2026
 (EURO)
</oddHeader>
    <oddFooter>&amp;LAll rates are in EURO&amp;C
TARIFF 2026
&amp;RPage &amp;P</oddFooter>
  </headerFooter>
  <rowBreaks count="2" manualBreakCount="2">
    <brk id="53" max="16383" man="1"/>
    <brk id="9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N32"/>
  <sheetViews>
    <sheetView showGridLines="0" view="pageLayout" topLeftCell="A37" workbookViewId="0">
      <selection activeCell="L114" sqref="L114"/>
    </sheetView>
  </sheetViews>
  <sheetFormatPr defaultRowHeight="12.75" x14ac:dyDescent="0.2"/>
  <cols>
    <col min="1" max="1" width="1.85546875" style="125" customWidth="1"/>
    <col min="2" max="3" width="10.7109375" style="125" customWidth="1"/>
    <col min="4" max="9" width="3.7109375" style="125" customWidth="1"/>
    <col min="10" max="14" width="10.7109375" style="125" customWidth="1"/>
    <col min="15" max="16384" width="9.140625" style="125"/>
  </cols>
  <sheetData>
    <row r="1" spans="1:14" ht="13.5" thickBot="1" x14ac:dyDescent="0.25">
      <c r="A1" s="97"/>
      <c r="B1" s="98"/>
      <c r="C1" s="98"/>
      <c r="D1" s="98"/>
      <c r="E1" s="99"/>
      <c r="F1" s="99"/>
      <c r="G1" s="99"/>
      <c r="H1" s="99"/>
      <c r="I1" s="99"/>
      <c r="J1" s="99"/>
      <c r="K1" s="99"/>
      <c r="L1" s="99"/>
      <c r="M1" s="99"/>
      <c r="N1" s="99"/>
    </row>
    <row r="2" spans="1:14" ht="13.5" thickBot="1" x14ac:dyDescent="0.25">
      <c r="A2" s="101"/>
      <c r="B2" s="102"/>
      <c r="C2" s="102"/>
      <c r="D2" s="102"/>
      <c r="E2" s="103"/>
      <c r="F2" s="103"/>
      <c r="G2" s="103"/>
      <c r="H2" s="103"/>
      <c r="I2" s="103"/>
      <c r="J2" s="103"/>
      <c r="K2" s="103"/>
      <c r="L2" s="103"/>
      <c r="M2" s="103"/>
      <c r="N2" s="104"/>
    </row>
    <row r="3" spans="1:14" ht="15.75" thickBot="1" x14ac:dyDescent="0.25">
      <c r="A3" s="105"/>
      <c r="B3" s="459" t="s">
        <v>496</v>
      </c>
      <c r="C3" s="460"/>
      <c r="D3" s="460"/>
      <c r="E3" s="460"/>
      <c r="F3" s="460"/>
      <c r="G3" s="460"/>
      <c r="H3" s="460"/>
      <c r="I3" s="460"/>
      <c r="J3" s="460"/>
      <c r="K3" s="460"/>
      <c r="L3" s="460"/>
      <c r="M3" s="461"/>
      <c r="N3" s="106" t="s">
        <v>1102</v>
      </c>
    </row>
    <row r="4" spans="1:14" x14ac:dyDescent="0.2">
      <c r="A4" s="105"/>
      <c r="B4" s="107" t="s">
        <v>428</v>
      </c>
      <c r="C4" s="98" t="s">
        <v>497</v>
      </c>
      <c r="D4" s="98"/>
      <c r="E4" s="99"/>
      <c r="F4" s="99"/>
      <c r="G4" s="99"/>
      <c r="H4" s="99"/>
      <c r="I4" s="99"/>
      <c r="J4" s="99"/>
      <c r="K4" s="99"/>
      <c r="L4" s="99"/>
      <c r="M4" s="99"/>
      <c r="N4" s="90"/>
    </row>
    <row r="5" spans="1:14" x14ac:dyDescent="0.2">
      <c r="A5" s="105"/>
      <c r="B5" s="107" t="s">
        <v>429</v>
      </c>
      <c r="C5" s="98" t="s">
        <v>150</v>
      </c>
      <c r="D5" s="98"/>
      <c r="E5" s="99"/>
      <c r="F5" s="99"/>
      <c r="G5" s="99"/>
      <c r="H5" s="99"/>
      <c r="I5" s="99"/>
      <c r="J5" s="99"/>
      <c r="K5" s="99"/>
      <c r="L5" s="99"/>
      <c r="M5" s="99"/>
      <c r="N5" s="90"/>
    </row>
    <row r="6" spans="1:14" x14ac:dyDescent="0.2">
      <c r="A6" s="105"/>
      <c r="B6" s="107" t="s">
        <v>427</v>
      </c>
      <c r="C6" s="444" t="s">
        <v>847</v>
      </c>
      <c r="D6" s="444"/>
      <c r="E6" s="444"/>
      <c r="F6" s="444"/>
      <c r="G6" s="444"/>
      <c r="H6" s="444"/>
      <c r="I6" s="444"/>
      <c r="J6" s="444"/>
      <c r="K6" s="444"/>
      <c r="L6" s="444"/>
      <c r="M6" s="444"/>
      <c r="N6" s="445"/>
    </row>
    <row r="7" spans="1:14" x14ac:dyDescent="0.2">
      <c r="A7" s="105"/>
      <c r="B7" s="107"/>
      <c r="C7" s="444"/>
      <c r="D7" s="444"/>
      <c r="E7" s="444"/>
      <c r="F7" s="444"/>
      <c r="G7" s="444"/>
      <c r="H7" s="444"/>
      <c r="I7" s="444"/>
      <c r="J7" s="444"/>
      <c r="K7" s="444"/>
      <c r="L7" s="444"/>
      <c r="M7" s="444"/>
      <c r="N7" s="445"/>
    </row>
    <row r="8" spans="1:14" x14ac:dyDescent="0.2">
      <c r="A8" s="105"/>
      <c r="B8" s="98"/>
      <c r="C8" s="444"/>
      <c r="D8" s="444"/>
      <c r="E8" s="444"/>
      <c r="F8" s="444"/>
      <c r="G8" s="444"/>
      <c r="H8" s="444"/>
      <c r="I8" s="444"/>
      <c r="J8" s="444"/>
      <c r="K8" s="444"/>
      <c r="L8" s="444"/>
      <c r="M8" s="444"/>
      <c r="N8" s="445"/>
    </row>
    <row r="9" spans="1:14" x14ac:dyDescent="0.2">
      <c r="A9" s="105"/>
      <c r="B9" s="107" t="s">
        <v>426</v>
      </c>
      <c r="C9" s="98"/>
      <c r="D9" s="98"/>
      <c r="E9" s="99"/>
      <c r="F9" s="99"/>
      <c r="G9" s="99"/>
      <c r="H9" s="98"/>
      <c r="I9" s="99"/>
      <c r="J9" s="98"/>
      <c r="K9" s="99"/>
      <c r="L9" s="99"/>
      <c r="M9" s="99"/>
      <c r="N9" s="90"/>
    </row>
    <row r="10" spans="1:14" ht="13.5" thickBot="1" x14ac:dyDescent="0.25">
      <c r="A10" s="108"/>
      <c r="B10" s="107" t="s">
        <v>430</v>
      </c>
      <c r="C10" s="109"/>
      <c r="D10" s="109"/>
      <c r="E10" s="110"/>
      <c r="F10" s="110"/>
      <c r="G10" s="110"/>
      <c r="H10" s="110"/>
      <c r="I10" s="110"/>
      <c r="J10" s="110"/>
      <c r="K10" s="110"/>
      <c r="L10" s="110"/>
      <c r="M10" s="110"/>
      <c r="N10" s="93"/>
    </row>
    <row r="11" spans="1:14" x14ac:dyDescent="0.2">
      <c r="A11" s="101"/>
      <c r="B11" s="102" t="s">
        <v>263</v>
      </c>
      <c r="C11" s="102"/>
      <c r="D11" s="102"/>
      <c r="E11" s="103"/>
      <c r="F11" s="103"/>
      <c r="G11" s="103"/>
      <c r="H11" s="103"/>
      <c r="I11" s="103"/>
      <c r="J11" s="114" t="s">
        <v>776</v>
      </c>
      <c r="K11" s="113" t="s">
        <v>279</v>
      </c>
      <c r="L11" s="113"/>
      <c r="M11" s="113"/>
      <c r="N11" s="113"/>
    </row>
    <row r="12" spans="1:14" ht="13.5" thickBot="1" x14ac:dyDescent="0.25">
      <c r="A12" s="108"/>
      <c r="B12" s="109" t="s">
        <v>263</v>
      </c>
      <c r="C12" s="109"/>
      <c r="D12" s="109"/>
      <c r="E12" s="110"/>
      <c r="F12" s="110"/>
      <c r="G12" s="110"/>
      <c r="H12" s="110"/>
      <c r="I12" s="110"/>
      <c r="J12" s="112" t="s">
        <v>341</v>
      </c>
      <c r="K12" s="94" t="s">
        <v>520</v>
      </c>
      <c r="L12" s="94" t="s">
        <v>1341</v>
      </c>
      <c r="M12" s="94" t="s">
        <v>123</v>
      </c>
      <c r="N12" s="94"/>
    </row>
    <row r="13" spans="1:14" x14ac:dyDescent="0.2">
      <c r="A13" s="105"/>
      <c r="B13" s="98" t="s">
        <v>67</v>
      </c>
      <c r="C13" s="98"/>
      <c r="D13" s="98"/>
      <c r="E13" s="99"/>
      <c r="F13" s="99" t="s">
        <v>1180</v>
      </c>
      <c r="G13" s="99" t="s">
        <v>68</v>
      </c>
      <c r="H13" s="99" t="s">
        <v>702</v>
      </c>
      <c r="I13" s="99"/>
      <c r="J13" s="89">
        <f>48/ATHENS!O1*ATHENS!O2</f>
        <v>97.959183673469383</v>
      </c>
      <c r="K13" s="89">
        <f>64/ATHENS!O1*ATHENS!O2</f>
        <v>130.61224489795919</v>
      </c>
      <c r="L13" s="89">
        <f>82/ATHENS!O1*ATHENS!O2</f>
        <v>167.34693877551021</v>
      </c>
      <c r="M13" s="89" t="s">
        <v>864</v>
      </c>
      <c r="N13" s="89"/>
    </row>
    <row r="14" spans="1:14" x14ac:dyDescent="0.2">
      <c r="A14" s="105"/>
      <c r="B14" s="443" t="s">
        <v>67</v>
      </c>
      <c r="C14" s="443"/>
      <c r="D14" s="443"/>
      <c r="E14" s="99"/>
      <c r="F14" s="99" t="s">
        <v>1181</v>
      </c>
      <c r="G14" s="99" t="s">
        <v>68</v>
      </c>
      <c r="H14" s="99" t="s">
        <v>702</v>
      </c>
      <c r="I14" s="99"/>
      <c r="J14" s="89">
        <f>27.5/ATHENS!O1*ATHENS!O2</f>
        <v>56.122448979591837</v>
      </c>
      <c r="K14" s="89">
        <f>34/ATHENS!O1*ATHENS!O2</f>
        <v>69.387755102040813</v>
      </c>
      <c r="L14" s="89">
        <f>46/ATHENS!O1*ATHENS!O2</f>
        <v>93.877551020408163</v>
      </c>
      <c r="M14" s="89">
        <f>76/ATHENS!O1*ATHENS!O2</f>
        <v>155.10204081632654</v>
      </c>
      <c r="N14" s="89"/>
    </row>
    <row r="15" spans="1:14" ht="13.5" thickBot="1" x14ac:dyDescent="0.25">
      <c r="A15" s="108"/>
      <c r="B15" s="436" t="s">
        <v>67</v>
      </c>
      <c r="C15" s="436"/>
      <c r="D15" s="436"/>
      <c r="E15" s="110"/>
      <c r="F15" s="110" t="s">
        <v>1182</v>
      </c>
      <c r="G15" s="110" t="s">
        <v>68</v>
      </c>
      <c r="H15" s="110" t="s">
        <v>702</v>
      </c>
      <c r="I15" s="110"/>
      <c r="J15" s="94">
        <f>23.6/ATHENS!O1*ATHENS!O2</f>
        <v>48.163265306122454</v>
      </c>
      <c r="K15" s="94">
        <f>29.5/ATHENS!O1*ATHENS!O2</f>
        <v>60.204081632653065</v>
      </c>
      <c r="L15" s="94">
        <f>40/ATHENS!O1*ATHENS!O2</f>
        <v>81.632653061224488</v>
      </c>
      <c r="M15" s="94">
        <f>66/ATHENS!O1*ATHENS!O2</f>
        <v>134.69387755102042</v>
      </c>
      <c r="N15" s="94"/>
    </row>
    <row r="16" spans="1:14" x14ac:dyDescent="0.2">
      <c r="A16" s="97"/>
      <c r="B16" s="98"/>
      <c r="C16" s="98"/>
      <c r="D16" s="98"/>
      <c r="E16" s="99"/>
      <c r="F16" s="99"/>
      <c r="G16" s="99"/>
      <c r="H16" s="99"/>
      <c r="I16" s="99"/>
      <c r="J16" s="99"/>
      <c r="K16" s="99"/>
      <c r="L16" s="99"/>
      <c r="M16" s="99"/>
      <c r="N16" s="99"/>
    </row>
    <row r="17" spans="1:14" ht="13.5" thickBot="1" x14ac:dyDescent="0.25">
      <c r="A17" s="97"/>
      <c r="B17" s="98"/>
      <c r="C17" s="98"/>
      <c r="D17" s="98"/>
      <c r="E17" s="99"/>
      <c r="F17" s="99"/>
      <c r="G17" s="99"/>
      <c r="H17" s="99"/>
      <c r="I17" s="99"/>
      <c r="J17" s="99"/>
      <c r="K17" s="99"/>
      <c r="L17" s="99"/>
      <c r="M17" s="99"/>
      <c r="N17" s="99"/>
    </row>
    <row r="18" spans="1:14" ht="13.5" thickBot="1" x14ac:dyDescent="0.25">
      <c r="A18" s="101"/>
      <c r="B18" s="102"/>
      <c r="C18" s="102"/>
      <c r="D18" s="102"/>
      <c r="E18" s="103"/>
      <c r="F18" s="103"/>
      <c r="G18" s="103"/>
      <c r="H18" s="103"/>
      <c r="I18" s="103"/>
      <c r="J18" s="103"/>
      <c r="K18" s="103"/>
      <c r="L18" s="103"/>
      <c r="M18" s="103"/>
      <c r="N18" s="104"/>
    </row>
    <row r="19" spans="1:14" ht="15.75" thickBot="1" x14ac:dyDescent="0.25">
      <c r="A19" s="105"/>
      <c r="B19" s="459" t="s">
        <v>498</v>
      </c>
      <c r="C19" s="460"/>
      <c r="D19" s="460"/>
      <c r="E19" s="460"/>
      <c r="F19" s="460"/>
      <c r="G19" s="460"/>
      <c r="H19" s="460"/>
      <c r="I19" s="460"/>
      <c r="J19" s="460"/>
      <c r="K19" s="460"/>
      <c r="L19" s="460"/>
      <c r="M19" s="461"/>
      <c r="N19" s="106" t="s">
        <v>1102</v>
      </c>
    </row>
    <row r="20" spans="1:14" x14ac:dyDescent="0.2">
      <c r="A20" s="105"/>
      <c r="B20" s="107" t="s">
        <v>428</v>
      </c>
      <c r="C20" s="98" t="s">
        <v>497</v>
      </c>
      <c r="D20" s="98"/>
      <c r="E20" s="99"/>
      <c r="F20" s="99"/>
      <c r="G20" s="99"/>
      <c r="H20" s="99"/>
      <c r="I20" s="99"/>
      <c r="J20" s="99"/>
      <c r="K20" s="99"/>
      <c r="L20" s="99"/>
      <c r="M20" s="99"/>
      <c r="N20" s="90"/>
    </row>
    <row r="21" spans="1:14" x14ac:dyDescent="0.2">
      <c r="A21" s="105"/>
      <c r="B21" s="107" t="s">
        <v>429</v>
      </c>
      <c r="C21" s="98" t="s">
        <v>151</v>
      </c>
      <c r="D21" s="98"/>
      <c r="E21" s="99"/>
      <c r="F21" s="99"/>
      <c r="G21" s="99"/>
      <c r="H21" s="99"/>
      <c r="I21" s="99"/>
      <c r="J21" s="99"/>
      <c r="K21" s="99"/>
      <c r="L21" s="99"/>
      <c r="M21" s="99"/>
      <c r="N21" s="90"/>
    </row>
    <row r="22" spans="1:14" x14ac:dyDescent="0.2">
      <c r="A22" s="105"/>
      <c r="B22" s="107" t="s">
        <v>427</v>
      </c>
      <c r="C22" s="444" t="s">
        <v>848</v>
      </c>
      <c r="D22" s="444"/>
      <c r="E22" s="444"/>
      <c r="F22" s="444"/>
      <c r="G22" s="444"/>
      <c r="H22" s="444"/>
      <c r="I22" s="444"/>
      <c r="J22" s="444"/>
      <c r="K22" s="444"/>
      <c r="L22" s="444"/>
      <c r="M22" s="444"/>
      <c r="N22" s="445"/>
    </row>
    <row r="23" spans="1:14" x14ac:dyDescent="0.2">
      <c r="A23" s="105"/>
      <c r="B23" s="98"/>
      <c r="C23" s="444"/>
      <c r="D23" s="444"/>
      <c r="E23" s="444"/>
      <c r="F23" s="444"/>
      <c r="G23" s="444"/>
      <c r="H23" s="444"/>
      <c r="I23" s="444"/>
      <c r="J23" s="444"/>
      <c r="K23" s="444"/>
      <c r="L23" s="444"/>
      <c r="M23" s="444"/>
      <c r="N23" s="445"/>
    </row>
    <row r="24" spans="1:14" x14ac:dyDescent="0.2">
      <c r="A24" s="105"/>
      <c r="B24" s="107" t="s">
        <v>426</v>
      </c>
      <c r="C24" s="98"/>
      <c r="D24" s="98"/>
      <c r="E24" s="99"/>
      <c r="F24" s="99"/>
      <c r="G24" s="99"/>
      <c r="H24" s="98"/>
      <c r="I24" s="99"/>
      <c r="J24" s="98"/>
      <c r="K24" s="99"/>
      <c r="L24" s="99"/>
      <c r="M24" s="99"/>
      <c r="N24" s="90"/>
    </row>
    <row r="25" spans="1:14" ht="13.5" thickBot="1" x14ac:dyDescent="0.25">
      <c r="A25" s="108"/>
      <c r="B25" s="107" t="s">
        <v>430</v>
      </c>
      <c r="C25" s="109"/>
      <c r="D25" s="109"/>
      <c r="E25" s="110"/>
      <c r="F25" s="110"/>
      <c r="G25" s="110"/>
      <c r="H25" s="110"/>
      <c r="I25" s="110"/>
      <c r="J25" s="110"/>
      <c r="K25" s="110"/>
      <c r="L25" s="110"/>
      <c r="M25" s="110"/>
      <c r="N25" s="93"/>
    </row>
    <row r="26" spans="1:14" x14ac:dyDescent="0.2">
      <c r="A26" s="101"/>
      <c r="B26" s="102" t="s">
        <v>263</v>
      </c>
      <c r="C26" s="102"/>
      <c r="D26" s="102"/>
      <c r="E26" s="103"/>
      <c r="F26" s="103"/>
      <c r="G26" s="103"/>
      <c r="H26" s="103"/>
      <c r="I26" s="103"/>
      <c r="J26" s="113" t="s">
        <v>1922</v>
      </c>
      <c r="L26" s="113"/>
      <c r="M26" s="113"/>
      <c r="N26" s="113"/>
    </row>
    <row r="27" spans="1:14" x14ac:dyDescent="0.2">
      <c r="A27" s="105"/>
      <c r="B27" s="98" t="s">
        <v>263</v>
      </c>
      <c r="C27" s="98"/>
      <c r="D27" s="98"/>
      <c r="E27" s="99"/>
      <c r="F27" s="99"/>
      <c r="G27" s="99"/>
      <c r="H27" s="99"/>
      <c r="I27" s="99"/>
      <c r="J27" s="125" t="s">
        <v>1797</v>
      </c>
      <c r="K27" s="111" t="s">
        <v>281</v>
      </c>
      <c r="L27" s="89"/>
      <c r="M27" s="89"/>
      <c r="N27" s="89"/>
    </row>
    <row r="28" spans="1:14" ht="13.5" thickBot="1" x14ac:dyDescent="0.25">
      <c r="A28" s="108"/>
      <c r="B28" s="98" t="s">
        <v>263</v>
      </c>
      <c r="C28" s="109"/>
      <c r="D28" s="109"/>
      <c r="E28" s="110"/>
      <c r="F28" s="110"/>
      <c r="G28" s="110"/>
      <c r="H28" s="110"/>
      <c r="I28" s="110"/>
      <c r="J28" s="125" t="s">
        <v>832</v>
      </c>
      <c r="K28" s="112" t="s">
        <v>481</v>
      </c>
      <c r="L28" s="94" t="s">
        <v>1923</v>
      </c>
      <c r="M28" s="94"/>
      <c r="N28" s="94"/>
    </row>
    <row r="29" spans="1:14" x14ac:dyDescent="0.2">
      <c r="A29" s="101"/>
      <c r="B29" s="448" t="s">
        <v>67</v>
      </c>
      <c r="C29" s="448"/>
      <c r="D29" s="448"/>
      <c r="E29" s="103"/>
      <c r="F29" s="103" t="s">
        <v>1180</v>
      </c>
      <c r="G29" s="103" t="s">
        <v>68</v>
      </c>
      <c r="H29" s="103" t="s">
        <v>702</v>
      </c>
      <c r="I29" s="103"/>
      <c r="J29" s="113">
        <f>56/ATHENS!O1*ATHENS!O2</f>
        <v>114.28571428571429</v>
      </c>
      <c r="K29" s="113">
        <f>44/ATHENS!O1*ATHENS!O2</f>
        <v>89.795918367346943</v>
      </c>
      <c r="L29" s="113">
        <f>84/ATHENS!O1*ATHENS!O2</f>
        <v>171.42857142857144</v>
      </c>
      <c r="M29" s="113"/>
      <c r="N29" s="113"/>
    </row>
    <row r="30" spans="1:14" x14ac:dyDescent="0.2">
      <c r="A30" s="105"/>
      <c r="B30" s="443" t="s">
        <v>67</v>
      </c>
      <c r="C30" s="443"/>
      <c r="D30" s="443"/>
      <c r="E30" s="99"/>
      <c r="F30" s="99" t="s">
        <v>1181</v>
      </c>
      <c r="G30" s="99" t="s">
        <v>68</v>
      </c>
      <c r="H30" s="99" t="s">
        <v>702</v>
      </c>
      <c r="I30" s="99"/>
      <c r="J30" s="89">
        <f>38/ATHENS!O1*ATHENS!O2</f>
        <v>77.551020408163268</v>
      </c>
      <c r="K30" s="89">
        <f>28/ATHENS!O1*ATHENS!O2</f>
        <v>57.142857142857146</v>
      </c>
      <c r="L30" s="89">
        <f>56/ATHENS!O1*ATHENS!O2</f>
        <v>114.28571428571429</v>
      </c>
      <c r="M30" s="89"/>
      <c r="N30" s="89"/>
    </row>
    <row r="31" spans="1:14" ht="13.5" thickBot="1" x14ac:dyDescent="0.25">
      <c r="A31" s="108"/>
      <c r="B31" s="436" t="s">
        <v>67</v>
      </c>
      <c r="C31" s="436"/>
      <c r="D31" s="436"/>
      <c r="E31" s="110"/>
      <c r="F31" s="110" t="s">
        <v>1182</v>
      </c>
      <c r="G31" s="110" t="s">
        <v>68</v>
      </c>
      <c r="H31" s="110" t="s">
        <v>702</v>
      </c>
      <c r="I31" s="110"/>
      <c r="J31" s="94">
        <f>30.6/ATHENS!O1*ATHENS!O2</f>
        <v>62.448979591836739</v>
      </c>
      <c r="K31" s="94">
        <f>22.6/ATHENS!O1*ATHENS!O2</f>
        <v>46.122448979591837</v>
      </c>
      <c r="L31" s="94">
        <f>45.5/ATHENS!O1*ATHENS!O2</f>
        <v>92.857142857142861</v>
      </c>
      <c r="M31" s="94"/>
      <c r="N31" s="94"/>
    </row>
    <row r="32" spans="1:14" x14ac:dyDescent="0.2">
      <c r="A32" s="97"/>
      <c r="B32" s="98"/>
      <c r="C32" s="98"/>
      <c r="D32" s="98"/>
      <c r="E32" s="99"/>
      <c r="F32" s="99"/>
      <c r="G32" s="99"/>
      <c r="H32" s="99"/>
      <c r="I32" s="99"/>
      <c r="J32" s="99"/>
      <c r="K32" s="99"/>
      <c r="L32" s="99"/>
      <c r="M32" s="99"/>
      <c r="N32" s="99"/>
    </row>
  </sheetData>
  <customSheetViews>
    <customSheetView guid="{3C76061C-A85D-4390-B9DB-73E13038638C}" showPageBreaks="1" showGridLines="0" view="pageLayout" topLeftCell="A37">
      <selection activeCell="M51" sqref="M51"/>
      <pageMargins left="0.28125" right="0.25" top="0.6692913385826772" bottom="0.70866141732283472" header="0.23622047244094491" footer="0.47244094488188981"/>
      <printOptions horizontalCentered="1"/>
      <pageSetup paperSize="9" firstPageNumber="82"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9">
    <mergeCell ref="B3:M3"/>
    <mergeCell ref="C6:N8"/>
    <mergeCell ref="B14:D14"/>
    <mergeCell ref="B15:D15"/>
    <mergeCell ref="B31:D31"/>
    <mergeCell ref="B19:M19"/>
    <mergeCell ref="C22:N23"/>
    <mergeCell ref="B29:D29"/>
    <mergeCell ref="B30:D30"/>
  </mergeCells>
  <phoneticPr fontId="17" type="noConversion"/>
  <hyperlinks>
    <hyperlink ref="B3:M3" r:id="rId2" display="Patmos Paradise" xr:uid="{00000000-0004-0000-1E00-000000000000}"/>
    <hyperlink ref="B19:M19" r:id="rId3" display="Skala" xr:uid="{00000000-0004-0000-1E00-000001000000}"/>
  </hyperlinks>
  <printOptions horizontalCentered="1"/>
  <pageMargins left="0.28125" right="0.25" top="0.6692913385826772" bottom="0.70866141732283472" header="0.23622047244094491" footer="0.47244094488188981"/>
  <pageSetup paperSize="9" firstPageNumber="82" orientation="portrait" useFirstPageNumber="1" horizontalDpi="300" verticalDpi="300" r:id="rId4"/>
  <headerFooter scaleWithDoc="0" alignWithMargins="0">
    <oddHeader xml:space="preserve">&amp;C TARIFF 2026
 (EURO)
</oddHeader>
    <oddFooter>&amp;LAll rates are in EURO&amp;C
TARIFF 2026
&amp;RPage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N31"/>
  <sheetViews>
    <sheetView showGridLines="0" view="pageLayout" topLeftCell="A40" workbookViewId="0">
      <selection activeCell="L114" sqref="L114"/>
    </sheetView>
  </sheetViews>
  <sheetFormatPr defaultRowHeight="12.75" x14ac:dyDescent="0.2"/>
  <cols>
    <col min="1" max="1" width="1.85546875" style="125" customWidth="1"/>
    <col min="2" max="3" width="10.7109375" style="125" customWidth="1"/>
    <col min="4" max="9" width="3.7109375" style="125" customWidth="1"/>
    <col min="10" max="14" width="10.7109375" style="125" customWidth="1"/>
    <col min="15" max="16384" width="9.140625" style="125"/>
  </cols>
  <sheetData>
    <row r="1" spans="1:14" ht="13.5" thickBot="1" x14ac:dyDescent="0.25">
      <c r="A1" s="101"/>
      <c r="B1" s="102"/>
      <c r="C1" s="102"/>
      <c r="D1" s="102"/>
      <c r="E1" s="103"/>
      <c r="F1" s="103"/>
      <c r="G1" s="103"/>
      <c r="H1" s="103"/>
      <c r="I1" s="103"/>
      <c r="J1" s="103"/>
      <c r="K1" s="103"/>
      <c r="L1" s="103"/>
      <c r="M1" s="103"/>
      <c r="N1" s="104"/>
    </row>
    <row r="2" spans="1:14" ht="15.75" thickBot="1" x14ac:dyDescent="0.25">
      <c r="A2" s="105"/>
      <c r="B2" s="459" t="s">
        <v>499</v>
      </c>
      <c r="C2" s="460"/>
      <c r="D2" s="460"/>
      <c r="E2" s="460"/>
      <c r="F2" s="460"/>
      <c r="G2" s="460"/>
      <c r="H2" s="460"/>
      <c r="I2" s="460"/>
      <c r="J2" s="460"/>
      <c r="K2" s="460"/>
      <c r="L2" s="460"/>
      <c r="M2" s="461"/>
      <c r="N2" s="106" t="s">
        <v>1103</v>
      </c>
    </row>
    <row r="3" spans="1:14" x14ac:dyDescent="0.2">
      <c r="A3" s="105"/>
      <c r="B3" s="107" t="s">
        <v>428</v>
      </c>
      <c r="C3" s="98" t="s">
        <v>500</v>
      </c>
      <c r="D3" s="98"/>
      <c r="E3" s="99"/>
      <c r="F3" s="99"/>
      <c r="G3" s="99"/>
      <c r="H3" s="99"/>
      <c r="I3" s="99"/>
      <c r="J3" s="99"/>
      <c r="K3" s="99"/>
      <c r="L3" s="99"/>
      <c r="M3" s="99"/>
      <c r="N3" s="90"/>
    </row>
    <row r="4" spans="1:14" x14ac:dyDescent="0.2">
      <c r="A4" s="105"/>
      <c r="B4" s="107" t="s">
        <v>429</v>
      </c>
      <c r="C4" s="98" t="s">
        <v>152</v>
      </c>
      <c r="D4" s="98"/>
      <c r="E4" s="99"/>
      <c r="F4" s="99"/>
      <c r="G4" s="99"/>
      <c r="H4" s="99"/>
      <c r="I4" s="99"/>
      <c r="J4" s="99"/>
      <c r="K4" s="99"/>
      <c r="L4" s="99"/>
      <c r="M4" s="99"/>
      <c r="N4" s="90"/>
    </row>
    <row r="5" spans="1:14" x14ac:dyDescent="0.2">
      <c r="A5" s="105"/>
      <c r="B5" s="107" t="s">
        <v>427</v>
      </c>
      <c r="C5" s="444" t="s">
        <v>849</v>
      </c>
      <c r="D5" s="444"/>
      <c r="E5" s="444"/>
      <c r="F5" s="444"/>
      <c r="G5" s="444"/>
      <c r="H5" s="444"/>
      <c r="I5" s="444"/>
      <c r="J5" s="444"/>
      <c r="K5" s="444"/>
      <c r="L5" s="444"/>
      <c r="M5" s="444"/>
      <c r="N5" s="445"/>
    </row>
    <row r="6" spans="1:14" x14ac:dyDescent="0.2">
      <c r="A6" s="105"/>
      <c r="B6" s="107"/>
      <c r="C6" s="444"/>
      <c r="D6" s="444"/>
      <c r="E6" s="444"/>
      <c r="F6" s="444"/>
      <c r="G6" s="444"/>
      <c r="H6" s="444"/>
      <c r="I6" s="444"/>
      <c r="J6" s="444"/>
      <c r="K6" s="444"/>
      <c r="L6" s="444"/>
      <c r="M6" s="444"/>
      <c r="N6" s="445"/>
    </row>
    <row r="7" spans="1:14" x14ac:dyDescent="0.2">
      <c r="A7" s="105"/>
      <c r="B7" s="107"/>
      <c r="C7" s="444"/>
      <c r="D7" s="444"/>
      <c r="E7" s="444"/>
      <c r="F7" s="444"/>
      <c r="G7" s="444"/>
      <c r="H7" s="444"/>
      <c r="I7" s="444"/>
      <c r="J7" s="444"/>
      <c r="K7" s="444"/>
      <c r="L7" s="444"/>
      <c r="M7" s="444"/>
      <c r="N7" s="445"/>
    </row>
    <row r="8" spans="1:14" x14ac:dyDescent="0.2">
      <c r="A8" s="105"/>
      <c r="B8" s="107"/>
      <c r="C8" s="444"/>
      <c r="D8" s="444"/>
      <c r="E8" s="444"/>
      <c r="F8" s="444"/>
      <c r="G8" s="444"/>
      <c r="H8" s="444"/>
      <c r="I8" s="444"/>
      <c r="J8" s="444"/>
      <c r="K8" s="444"/>
      <c r="L8" s="444"/>
      <c r="M8" s="444"/>
      <c r="N8" s="445"/>
    </row>
    <row r="9" spans="1:14" ht="13.5" thickBot="1" x14ac:dyDescent="0.25">
      <c r="A9" s="105"/>
      <c r="B9" s="98"/>
      <c r="C9" s="444"/>
      <c r="D9" s="444"/>
      <c r="E9" s="444"/>
      <c r="F9" s="444"/>
      <c r="G9" s="444"/>
      <c r="H9" s="444"/>
      <c r="I9" s="444"/>
      <c r="J9" s="444"/>
      <c r="K9" s="444"/>
      <c r="L9" s="444"/>
      <c r="M9" s="444"/>
      <c r="N9" s="445"/>
    </row>
    <row r="10" spans="1:14" x14ac:dyDescent="0.2">
      <c r="A10" s="105"/>
      <c r="B10" s="98" t="s">
        <v>1893</v>
      </c>
      <c r="C10" s="98"/>
      <c r="D10" s="98"/>
      <c r="E10" s="99"/>
      <c r="F10" s="99"/>
      <c r="G10" s="99"/>
      <c r="H10" s="99"/>
      <c r="I10" s="99"/>
      <c r="J10" s="111" t="s">
        <v>1596</v>
      </c>
      <c r="K10" s="113" t="s">
        <v>1960</v>
      </c>
      <c r="L10" s="89" t="s">
        <v>1962</v>
      </c>
      <c r="M10" s="89"/>
      <c r="N10" s="89"/>
    </row>
    <row r="11" spans="1:14" x14ac:dyDescent="0.2">
      <c r="A11" s="105"/>
      <c r="B11" s="98"/>
      <c r="C11" s="98"/>
      <c r="D11" s="98"/>
      <c r="E11" s="99"/>
      <c r="F11" s="99"/>
      <c r="G11" s="99"/>
      <c r="H11" s="99"/>
      <c r="I11" s="99"/>
      <c r="J11" s="111" t="s">
        <v>1963</v>
      </c>
      <c r="K11" s="89" t="s">
        <v>1961</v>
      </c>
      <c r="L11" s="89" t="s">
        <v>1890</v>
      </c>
      <c r="M11" s="89"/>
      <c r="N11" s="89"/>
    </row>
    <row r="12" spans="1:14" ht="13.5" thickBot="1" x14ac:dyDescent="0.25">
      <c r="A12" s="108"/>
      <c r="B12" s="98"/>
      <c r="C12" s="109"/>
      <c r="D12" s="109"/>
      <c r="E12" s="110"/>
      <c r="F12" s="110"/>
      <c r="G12" s="110"/>
      <c r="H12" s="110"/>
      <c r="I12" s="110"/>
      <c r="J12" s="112" t="s">
        <v>754</v>
      </c>
      <c r="K12" s="89" t="s">
        <v>520</v>
      </c>
      <c r="L12" s="94" t="s">
        <v>524</v>
      </c>
      <c r="M12" s="94"/>
      <c r="N12" s="94"/>
    </row>
    <row r="13" spans="1:14" x14ac:dyDescent="0.2">
      <c r="A13" s="101"/>
      <c r="B13" s="448" t="s">
        <v>67</v>
      </c>
      <c r="C13" s="448"/>
      <c r="D13" s="448"/>
      <c r="E13" s="103"/>
      <c r="F13" s="103" t="s">
        <v>1180</v>
      </c>
      <c r="G13" s="103" t="s">
        <v>68</v>
      </c>
      <c r="H13" s="103" t="s">
        <v>702</v>
      </c>
      <c r="I13" s="103"/>
      <c r="J13" s="113">
        <f>90/ATHENS!O1*ATHENS!O2</f>
        <v>183.67346938775512</v>
      </c>
      <c r="K13" s="113">
        <f>150/ATHENS!O1*ATHENS!O2</f>
        <v>306.12244897959187</v>
      </c>
      <c r="L13" s="113">
        <f>210/ATHENS!O1*ATHENS!O2</f>
        <v>428.57142857142856</v>
      </c>
      <c r="M13" s="113"/>
      <c r="N13" s="113"/>
    </row>
    <row r="14" spans="1:14" x14ac:dyDescent="0.2">
      <c r="A14" s="105"/>
      <c r="B14" s="443" t="s">
        <v>67</v>
      </c>
      <c r="C14" s="443"/>
      <c r="D14" s="443"/>
      <c r="E14" s="99"/>
      <c r="F14" s="99" t="s">
        <v>1181</v>
      </c>
      <c r="G14" s="99" t="s">
        <v>68</v>
      </c>
      <c r="H14" s="99" t="s">
        <v>702</v>
      </c>
      <c r="I14" s="99"/>
      <c r="J14" s="89">
        <f>45/ATHENS!O1*ATHENS!O2</f>
        <v>91.83673469387756</v>
      </c>
      <c r="K14" s="89">
        <f>75/ATHENS!O1*ATHENS!O2</f>
        <v>153.06122448979593</v>
      </c>
      <c r="L14" s="89">
        <f>105/ATHENS!O1*ATHENS!O2</f>
        <v>214.28571428571428</v>
      </c>
      <c r="M14" s="89"/>
      <c r="N14" s="89"/>
    </row>
    <row r="15" spans="1:14" ht="13.5" thickBot="1" x14ac:dyDescent="0.25">
      <c r="A15" s="108"/>
      <c r="B15" s="436" t="s">
        <v>901</v>
      </c>
      <c r="C15" s="436"/>
      <c r="D15" s="436"/>
      <c r="E15" s="110"/>
      <c r="F15" s="110" t="s">
        <v>705</v>
      </c>
      <c r="G15" s="110" t="s">
        <v>68</v>
      </c>
      <c r="H15" s="110" t="s">
        <v>702</v>
      </c>
      <c r="I15" s="110"/>
      <c r="J15" s="94">
        <f>31.6/ATHENS!O1*ATHENS!O2</f>
        <v>64.489795918367349</v>
      </c>
      <c r="K15" s="94">
        <f>45/ATHENS!O1*ATHENS!O2</f>
        <v>91.83673469387756</v>
      </c>
      <c r="L15" s="94">
        <f>52.6/ATHENS!O1*ATHENS!O2</f>
        <v>107.34693877551021</v>
      </c>
      <c r="M15" s="94"/>
      <c r="N15" s="94"/>
    </row>
    <row r="16" spans="1:14" ht="13.5" thickBot="1" x14ac:dyDescent="0.25">
      <c r="A16" s="97"/>
      <c r="B16" s="98"/>
      <c r="C16" s="98"/>
      <c r="D16" s="98"/>
      <c r="E16" s="99"/>
      <c r="F16" s="99"/>
      <c r="G16" s="99"/>
      <c r="H16" s="99"/>
      <c r="I16" s="99"/>
      <c r="J16" s="99"/>
      <c r="K16" s="99"/>
      <c r="L16" s="99"/>
      <c r="M16" s="99"/>
      <c r="N16" s="99"/>
    </row>
    <row r="17" spans="1:14" ht="13.5" thickBot="1" x14ac:dyDescent="0.25">
      <c r="A17" s="101"/>
      <c r="B17" s="102"/>
      <c r="C17" s="102"/>
      <c r="D17" s="102"/>
      <c r="E17" s="103"/>
      <c r="F17" s="103"/>
      <c r="G17" s="103"/>
      <c r="H17" s="103"/>
      <c r="I17" s="103"/>
      <c r="J17" s="103"/>
      <c r="K17" s="103"/>
      <c r="L17" s="103"/>
      <c r="M17" s="103"/>
      <c r="N17" s="104"/>
    </row>
    <row r="18" spans="1:14" ht="15.75" thickBot="1" x14ac:dyDescent="0.25">
      <c r="A18" s="105"/>
      <c r="B18" s="459" t="s">
        <v>501</v>
      </c>
      <c r="C18" s="460"/>
      <c r="D18" s="460"/>
      <c r="E18" s="460"/>
      <c r="F18" s="460"/>
      <c r="G18" s="460"/>
      <c r="H18" s="460"/>
      <c r="I18" s="460"/>
      <c r="J18" s="460"/>
      <c r="K18" s="460"/>
      <c r="L18" s="460"/>
      <c r="M18" s="461"/>
      <c r="N18" s="106" t="s">
        <v>1103</v>
      </c>
    </row>
    <row r="19" spans="1:14" x14ac:dyDescent="0.2">
      <c r="A19" s="105"/>
      <c r="B19" s="107" t="s">
        <v>428</v>
      </c>
      <c r="C19" s="98" t="s">
        <v>1240</v>
      </c>
      <c r="D19" s="98"/>
      <c r="E19" s="99"/>
      <c r="F19" s="99"/>
      <c r="G19" s="99"/>
      <c r="H19" s="99"/>
      <c r="I19" s="99"/>
      <c r="J19" s="99"/>
      <c r="K19" s="99"/>
      <c r="L19" s="99"/>
      <c r="M19" s="99"/>
      <c r="N19" s="90"/>
    </row>
    <row r="20" spans="1:14" x14ac:dyDescent="0.2">
      <c r="A20" s="105"/>
      <c r="B20" s="107" t="s">
        <v>429</v>
      </c>
      <c r="C20" s="98" t="s">
        <v>153</v>
      </c>
      <c r="D20" s="98"/>
      <c r="E20" s="99"/>
      <c r="F20" s="99"/>
      <c r="G20" s="99"/>
      <c r="H20" s="99"/>
      <c r="I20" s="99"/>
      <c r="J20" s="99"/>
      <c r="K20" s="99"/>
      <c r="L20" s="99"/>
      <c r="M20" s="99"/>
      <c r="N20" s="90"/>
    </row>
    <row r="21" spans="1:14" x14ac:dyDescent="0.2">
      <c r="A21" s="105"/>
      <c r="B21" s="107" t="s">
        <v>427</v>
      </c>
      <c r="C21" s="444" t="s">
        <v>850</v>
      </c>
      <c r="D21" s="444"/>
      <c r="E21" s="444"/>
      <c r="F21" s="444"/>
      <c r="G21" s="444"/>
      <c r="H21" s="444"/>
      <c r="I21" s="444"/>
      <c r="J21" s="444"/>
      <c r="K21" s="444"/>
      <c r="L21" s="444"/>
      <c r="M21" s="444"/>
      <c r="N21" s="445"/>
    </row>
    <row r="22" spans="1:14" x14ac:dyDescent="0.2">
      <c r="A22" s="105"/>
      <c r="B22" s="107"/>
      <c r="C22" s="444"/>
      <c r="D22" s="444"/>
      <c r="E22" s="444"/>
      <c r="F22" s="444"/>
      <c r="G22" s="444"/>
      <c r="H22" s="444"/>
      <c r="I22" s="444"/>
      <c r="J22" s="444"/>
      <c r="K22" s="444"/>
      <c r="L22" s="444"/>
      <c r="M22" s="444"/>
      <c r="N22" s="445"/>
    </row>
    <row r="23" spans="1:14" ht="13.5" thickBot="1" x14ac:dyDescent="0.25">
      <c r="A23" s="105"/>
      <c r="B23" s="98"/>
      <c r="C23" s="444"/>
      <c r="D23" s="444"/>
      <c r="E23" s="444"/>
      <c r="F23" s="444"/>
      <c r="G23" s="444"/>
      <c r="H23" s="444"/>
      <c r="I23" s="444"/>
      <c r="J23" s="444"/>
      <c r="K23" s="444"/>
      <c r="L23" s="444"/>
      <c r="M23" s="444"/>
      <c r="N23" s="445"/>
    </row>
    <row r="24" spans="1:14" x14ac:dyDescent="0.2">
      <c r="A24" s="101"/>
      <c r="B24" s="102" t="s">
        <v>263</v>
      </c>
      <c r="C24" s="102"/>
      <c r="D24" s="102"/>
      <c r="E24" s="103"/>
      <c r="F24" s="103"/>
      <c r="G24" s="103"/>
      <c r="H24" s="103"/>
      <c r="I24" s="103"/>
      <c r="J24" s="114" t="s">
        <v>1862</v>
      </c>
      <c r="K24" s="113" t="s">
        <v>1864</v>
      </c>
      <c r="L24" s="113" t="s">
        <v>1866</v>
      </c>
      <c r="N24" s="113"/>
    </row>
    <row r="25" spans="1:14" x14ac:dyDescent="0.2">
      <c r="A25" s="105"/>
      <c r="B25" s="98"/>
      <c r="C25" s="98"/>
      <c r="D25" s="98"/>
      <c r="E25" s="99"/>
      <c r="F25" s="99"/>
      <c r="G25" s="99"/>
      <c r="H25" s="99"/>
      <c r="I25" s="99"/>
      <c r="J25" s="111" t="s">
        <v>1863</v>
      </c>
      <c r="K25" s="89" t="s">
        <v>1865</v>
      </c>
      <c r="L25" s="89" t="s">
        <v>1867</v>
      </c>
      <c r="N25" s="89"/>
    </row>
    <row r="26" spans="1:14" ht="13.5" thickBot="1" x14ac:dyDescent="0.25">
      <c r="A26" s="108"/>
      <c r="B26" s="98"/>
      <c r="C26" s="109"/>
      <c r="D26" s="109"/>
      <c r="E26" s="110"/>
      <c r="F26" s="110"/>
      <c r="G26" s="110"/>
      <c r="H26" s="110"/>
      <c r="I26" s="110"/>
      <c r="J26" s="112" t="s">
        <v>481</v>
      </c>
      <c r="K26" s="94" t="s">
        <v>832</v>
      </c>
      <c r="L26" s="94" t="s">
        <v>514</v>
      </c>
      <c r="N26" s="94"/>
    </row>
    <row r="27" spans="1:14" x14ac:dyDescent="0.2">
      <c r="A27" s="101"/>
      <c r="B27" s="448" t="s">
        <v>67</v>
      </c>
      <c r="C27" s="448"/>
      <c r="D27" s="448"/>
      <c r="E27" s="103"/>
      <c r="F27" s="103" t="s">
        <v>1180</v>
      </c>
      <c r="G27" s="103" t="s">
        <v>68</v>
      </c>
      <c r="H27" s="103" t="s">
        <v>702</v>
      </c>
      <c r="I27" s="103"/>
      <c r="J27" s="113">
        <f>37/ATHENS!O1*ATHENS!O2</f>
        <v>75.510204081632651</v>
      </c>
      <c r="K27" s="113">
        <f>41/ATHENS!O1*ATHENS!O2</f>
        <v>83.673469387755105</v>
      </c>
      <c r="L27" s="113">
        <f>75/ATHENS!O1*ATHENS!O2</f>
        <v>153.06122448979593</v>
      </c>
      <c r="M27" s="113"/>
      <c r="N27" s="113"/>
    </row>
    <row r="28" spans="1:14" x14ac:dyDescent="0.2">
      <c r="A28" s="105"/>
      <c r="B28" s="443" t="s">
        <v>67</v>
      </c>
      <c r="C28" s="443"/>
      <c r="D28" s="443"/>
      <c r="E28" s="99"/>
      <c r="F28" s="99" t="s">
        <v>1181</v>
      </c>
      <c r="G28" s="99" t="s">
        <v>68</v>
      </c>
      <c r="H28" s="99" t="s">
        <v>702</v>
      </c>
      <c r="I28" s="99"/>
      <c r="J28" s="89">
        <f>22.5/ATHENS!O1*ATHENS!O2</f>
        <v>45.91836734693878</v>
      </c>
      <c r="K28" s="89">
        <f>25.5/ATHENS!O1*ATHENS!O2</f>
        <v>52.04081632653061</v>
      </c>
      <c r="L28" s="89">
        <f>44/ATHENS!O1*ATHENS!O2</f>
        <v>89.795918367346943</v>
      </c>
      <c r="M28" s="89"/>
      <c r="N28" s="89"/>
    </row>
    <row r="29" spans="1:14" ht="13.5" thickBot="1" x14ac:dyDescent="0.25">
      <c r="A29" s="108"/>
      <c r="B29" s="436" t="s">
        <v>67</v>
      </c>
      <c r="C29" s="436"/>
      <c r="D29" s="436"/>
      <c r="E29" s="110"/>
      <c r="F29" s="110" t="s">
        <v>1182</v>
      </c>
      <c r="G29" s="110" t="s">
        <v>68</v>
      </c>
      <c r="H29" s="110" t="s">
        <v>702</v>
      </c>
      <c r="I29" s="110"/>
      <c r="J29" s="94">
        <f>19/ATHENS!O1*ATHENS!O2</f>
        <v>38.775510204081634</v>
      </c>
      <c r="K29" s="94">
        <f>22.5/ATHENS!O1*ATHENS!O2</f>
        <v>45.91836734693878</v>
      </c>
      <c r="L29" s="94">
        <f>35.5/ATHENS!O1*ATHENS!O2</f>
        <v>72.448979591836732</v>
      </c>
      <c r="M29" s="94"/>
      <c r="N29" s="94"/>
    </row>
    <row r="30" spans="1:14" x14ac:dyDescent="0.2">
      <c r="A30" s="97"/>
      <c r="B30" s="98"/>
      <c r="C30" s="98"/>
      <c r="D30" s="98"/>
      <c r="E30" s="99"/>
      <c r="F30" s="99"/>
      <c r="G30" s="99"/>
      <c r="H30" s="99"/>
      <c r="I30" s="99"/>
      <c r="J30" s="99"/>
      <c r="K30" s="99"/>
      <c r="L30" s="99"/>
      <c r="M30" s="99"/>
      <c r="N30" s="99"/>
    </row>
    <row r="31" spans="1:14" x14ac:dyDescent="0.2">
      <c r="A31" s="97"/>
      <c r="B31" s="98"/>
      <c r="C31" s="98"/>
      <c r="D31" s="98"/>
      <c r="E31" s="99"/>
      <c r="F31" s="99"/>
      <c r="G31" s="99"/>
      <c r="H31" s="99"/>
      <c r="I31" s="99"/>
      <c r="J31" s="99"/>
      <c r="K31" s="99"/>
      <c r="L31" s="99"/>
      <c r="M31" s="99"/>
      <c r="N31" s="99"/>
    </row>
  </sheetData>
  <customSheetViews>
    <customSheetView guid="{3C76061C-A85D-4390-B9DB-73E13038638C}" showPageBreaks="1" showGridLines="0" view="pageLayout" topLeftCell="A40">
      <selection activeCell="M51" sqref="M51"/>
      <pageMargins left="0.28125" right="0.25" top="0.6692913385826772" bottom="0.70866141732283472" header="0.23622047244094491" footer="0.47244094488188981"/>
      <printOptions horizontalCentered="1"/>
      <pageSetup paperSize="9" firstPageNumber="83"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10">
    <mergeCell ref="B2:M2"/>
    <mergeCell ref="C5:N9"/>
    <mergeCell ref="B13:D13"/>
    <mergeCell ref="B14:D14"/>
    <mergeCell ref="B15:D15"/>
    <mergeCell ref="B18:M18"/>
    <mergeCell ref="B27:D27"/>
    <mergeCell ref="B28:D28"/>
    <mergeCell ref="B29:D29"/>
    <mergeCell ref="C21:N23"/>
  </mergeCells>
  <phoneticPr fontId="17" type="noConversion"/>
  <hyperlinks>
    <hyperlink ref="B2:M2" r:id="rId2" display="Best Western Poros Image" xr:uid="{00000000-0004-0000-1F00-000000000000}"/>
    <hyperlink ref="B18:M18" r:id="rId3" display="New Aegli" xr:uid="{00000000-0004-0000-1F00-000001000000}"/>
  </hyperlinks>
  <printOptions horizontalCentered="1"/>
  <pageMargins left="0.28125" right="0.25" top="0.6692913385826772" bottom="0.70866141732283472" header="0.23622047244094491" footer="0.47244094488188981"/>
  <pageSetup paperSize="9" firstPageNumber="83" orientation="portrait" useFirstPageNumber="1" horizontalDpi="300" verticalDpi="300" r:id="rId4"/>
  <headerFooter scaleWithDoc="0" alignWithMargins="0">
    <oddHeader xml:space="preserve">&amp;C TARIFF 2026
 (EURO)
</oddHeader>
    <oddFooter>&amp;LAll rates are in EURO&amp;C
TARIFF 2026
&amp;RPage &amp;P</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6:N19"/>
  <sheetViews>
    <sheetView view="pageLayout" topLeftCell="A37" zoomScaleNormal="100" workbookViewId="0">
      <selection activeCell="L114" sqref="L114"/>
    </sheetView>
  </sheetViews>
  <sheetFormatPr defaultRowHeight="12.75" x14ac:dyDescent="0.2"/>
  <cols>
    <col min="1" max="1" width="4.28515625" customWidth="1"/>
    <col min="4" max="4" width="4.140625" customWidth="1"/>
    <col min="5" max="5" width="6.140625" customWidth="1"/>
    <col min="6" max="6" width="6" customWidth="1"/>
    <col min="7" max="7" width="5.7109375" customWidth="1"/>
    <col min="8" max="8" width="5.85546875" customWidth="1"/>
    <col min="9" max="9" width="2.85546875" customWidth="1"/>
    <col min="10" max="10" width="10.42578125" customWidth="1"/>
    <col min="11" max="11" width="11.5703125" customWidth="1"/>
    <col min="12" max="12" width="10.140625" customWidth="1"/>
    <col min="13" max="13" width="4" customWidth="1"/>
    <col min="14" max="14" width="4.28515625" customWidth="1"/>
  </cols>
  <sheetData>
    <row r="6" spans="1:14" x14ac:dyDescent="0.2">
      <c r="A6" s="343"/>
      <c r="B6" s="344"/>
      <c r="C6" s="344"/>
      <c r="D6" s="344"/>
      <c r="E6" s="344"/>
      <c r="F6" s="344"/>
      <c r="G6" s="344"/>
      <c r="H6" s="344"/>
      <c r="I6" s="344"/>
      <c r="J6" s="344"/>
      <c r="K6" s="344"/>
      <c r="L6" s="344"/>
      <c r="M6" s="344"/>
      <c r="N6" s="345"/>
    </row>
    <row r="7" spans="1:14" ht="15" x14ac:dyDescent="0.2">
      <c r="A7" s="314"/>
      <c r="B7" s="413" t="s">
        <v>1734</v>
      </c>
      <c r="C7" s="414"/>
      <c r="D7" s="414"/>
      <c r="E7" s="414"/>
      <c r="F7" s="414"/>
      <c r="G7" s="414"/>
      <c r="H7" s="414"/>
      <c r="I7" s="414"/>
      <c r="J7" s="414"/>
      <c r="K7" s="414"/>
      <c r="L7" s="414"/>
      <c r="M7" s="415"/>
      <c r="N7" s="346" t="s">
        <v>91</v>
      </c>
    </row>
    <row r="8" spans="1:14" x14ac:dyDescent="0.2">
      <c r="A8" s="314"/>
      <c r="B8" s="26" t="s">
        <v>428</v>
      </c>
      <c r="C8" s="15" t="s">
        <v>1732</v>
      </c>
      <c r="D8" s="15"/>
      <c r="E8" s="16"/>
      <c r="F8" s="16"/>
      <c r="G8" s="16"/>
      <c r="H8" s="16"/>
      <c r="I8" s="16"/>
      <c r="J8" s="16"/>
      <c r="K8" s="16"/>
      <c r="L8" s="16"/>
      <c r="M8" s="16"/>
      <c r="N8" s="328"/>
    </row>
    <row r="9" spans="1:14" x14ac:dyDescent="0.2">
      <c r="A9" s="314"/>
      <c r="B9" s="26" t="s">
        <v>429</v>
      </c>
      <c r="C9" s="15" t="s">
        <v>1736</v>
      </c>
      <c r="D9" s="15"/>
      <c r="E9" s="16"/>
      <c r="F9" s="16"/>
      <c r="G9" s="16"/>
      <c r="H9" s="16"/>
      <c r="I9" s="16"/>
      <c r="J9" s="16"/>
      <c r="K9" s="16"/>
      <c r="L9" s="16"/>
      <c r="M9" s="16"/>
      <c r="N9" s="328"/>
    </row>
    <row r="10" spans="1:14" x14ac:dyDescent="0.2">
      <c r="A10" s="314"/>
      <c r="B10" s="26" t="s">
        <v>427</v>
      </c>
      <c r="C10" s="416" t="s">
        <v>1733</v>
      </c>
      <c r="D10" s="416"/>
      <c r="E10" s="416"/>
      <c r="F10" s="416"/>
      <c r="G10" s="416"/>
      <c r="H10" s="416"/>
      <c r="I10" s="416"/>
      <c r="J10" s="416"/>
      <c r="K10" s="416"/>
      <c r="L10" s="416"/>
      <c r="M10" s="416"/>
      <c r="N10" s="464"/>
    </row>
    <row r="11" spans="1:14" x14ac:dyDescent="0.2">
      <c r="A11" s="314"/>
      <c r="B11" s="15"/>
      <c r="C11" s="416"/>
      <c r="D11" s="416"/>
      <c r="E11" s="416"/>
      <c r="F11" s="416"/>
      <c r="G11" s="416"/>
      <c r="H11" s="416"/>
      <c r="I11" s="416"/>
      <c r="J11" s="416"/>
      <c r="K11" s="416"/>
      <c r="L11" s="416"/>
      <c r="M11" s="416"/>
      <c r="N11" s="464"/>
    </row>
    <row r="12" spans="1:14" x14ac:dyDescent="0.2">
      <c r="A12" s="314"/>
      <c r="B12" s="26" t="s">
        <v>426</v>
      </c>
      <c r="C12" s="15" t="s">
        <v>1735</v>
      </c>
      <c r="D12" s="15"/>
      <c r="E12" s="16"/>
      <c r="F12" s="16"/>
      <c r="G12" s="16"/>
      <c r="H12" s="16"/>
      <c r="I12" s="16"/>
      <c r="J12" s="16"/>
      <c r="K12" s="16"/>
      <c r="L12" s="16"/>
      <c r="M12" s="16"/>
      <c r="N12" s="328"/>
    </row>
    <row r="13" spans="1:14" ht="13.5" thickBot="1" x14ac:dyDescent="0.25">
      <c r="A13" s="347"/>
      <c r="B13" s="26" t="s">
        <v>430</v>
      </c>
      <c r="C13" s="29"/>
      <c r="D13" s="29"/>
      <c r="E13" s="30"/>
      <c r="F13" s="30"/>
      <c r="G13" s="30"/>
      <c r="H13" s="30"/>
      <c r="I13" s="30"/>
      <c r="J13" s="30"/>
      <c r="K13" s="30"/>
      <c r="L13" s="30"/>
      <c r="M13" s="30"/>
      <c r="N13" s="323"/>
    </row>
    <row r="14" spans="1:14" x14ac:dyDescent="0.2">
      <c r="A14" s="314"/>
      <c r="B14" s="21" t="s">
        <v>263</v>
      </c>
      <c r="C14" s="15"/>
      <c r="D14" s="15"/>
      <c r="E14" s="16"/>
      <c r="F14" s="16"/>
      <c r="G14" s="16"/>
      <c r="H14" s="16"/>
      <c r="I14" s="16"/>
      <c r="J14" s="58" t="s">
        <v>2124</v>
      </c>
      <c r="K14" s="55" t="s">
        <v>2125</v>
      </c>
      <c r="L14" s="55"/>
      <c r="M14" s="55"/>
      <c r="N14" s="320"/>
    </row>
    <row r="15" spans="1:14" ht="13.5" thickBot="1" x14ac:dyDescent="0.25">
      <c r="A15" s="347"/>
      <c r="B15" s="29"/>
      <c r="C15" s="29"/>
      <c r="D15" s="29"/>
      <c r="E15" s="30"/>
      <c r="F15" s="30"/>
      <c r="G15" s="30"/>
      <c r="H15" s="30"/>
      <c r="I15" s="30"/>
      <c r="J15" s="44" t="s">
        <v>1390</v>
      </c>
      <c r="K15" s="36" t="s">
        <v>1426</v>
      </c>
      <c r="L15" s="36" t="s">
        <v>1571</v>
      </c>
      <c r="M15" s="36"/>
      <c r="N15" s="348"/>
    </row>
    <row r="16" spans="1:14" x14ac:dyDescent="0.2">
      <c r="A16" s="349"/>
      <c r="B16" s="412" t="s">
        <v>67</v>
      </c>
      <c r="C16" s="412"/>
      <c r="D16" s="412"/>
      <c r="E16" s="22"/>
      <c r="F16" s="22" t="s">
        <v>1180</v>
      </c>
      <c r="G16" s="22" t="s">
        <v>68</v>
      </c>
      <c r="H16" s="22" t="s">
        <v>702</v>
      </c>
      <c r="I16" s="16"/>
      <c r="J16" s="66">
        <f>187/ATHENS!O1*ATHENS!O2</f>
        <v>381.63265306122452</v>
      </c>
      <c r="K16" s="66">
        <f>247/ATHENS!O1*ATHENS!O2</f>
        <v>504.08163265306121</v>
      </c>
      <c r="L16" s="40">
        <f>297/ATHENS!O1*ATHENS!O2</f>
        <v>606.12244897959181</v>
      </c>
      <c r="M16" s="38"/>
      <c r="N16" s="350"/>
    </row>
    <row r="17" spans="1:14" x14ac:dyDescent="0.2">
      <c r="A17" s="314"/>
      <c r="B17" s="411" t="s">
        <v>67</v>
      </c>
      <c r="C17" s="411"/>
      <c r="D17" s="411"/>
      <c r="E17" s="16"/>
      <c r="F17" s="16" t="s">
        <v>1181</v>
      </c>
      <c r="G17" s="16" t="s">
        <v>68</v>
      </c>
      <c r="H17" s="16" t="s">
        <v>702</v>
      </c>
      <c r="I17" s="16"/>
      <c r="J17" s="66">
        <f>98.5/ATHENS!O1*ATHENS!O2</f>
        <v>201.0204081632653</v>
      </c>
      <c r="K17" s="66">
        <f>128.5/ATHENS!O1*ATHENS!O2</f>
        <v>262.24489795918367</v>
      </c>
      <c r="L17" s="40">
        <f>154/ATHENS!O1*ATHENS!O2</f>
        <v>314.28571428571428</v>
      </c>
      <c r="M17" s="40"/>
      <c r="N17" s="306"/>
    </row>
    <row r="18" spans="1:14" x14ac:dyDescent="0.2">
      <c r="A18" s="314"/>
      <c r="B18" s="59" t="s">
        <v>67</v>
      </c>
      <c r="C18" s="15"/>
      <c r="D18" s="15"/>
      <c r="E18" s="16"/>
      <c r="F18" s="16" t="s">
        <v>1182</v>
      </c>
      <c r="G18" s="16" t="s">
        <v>68</v>
      </c>
      <c r="H18" s="16" t="s">
        <v>702</v>
      </c>
      <c r="I18" s="16"/>
      <c r="J18" s="66">
        <f>83.6/ATHENS!O1*ATHENS!O2</f>
        <v>170.61224489795919</v>
      </c>
      <c r="K18" s="66">
        <f>103.6/ATHENS!O1*ATHENS!O2</f>
        <v>211.42857142857142</v>
      </c>
      <c r="L18" s="40">
        <f>121/ATHENS!O1*ATHENS!O2</f>
        <v>246.9387755102041</v>
      </c>
      <c r="M18" s="40"/>
      <c r="N18" s="306"/>
    </row>
    <row r="19" spans="1:14" x14ac:dyDescent="0.2">
      <c r="A19" s="315"/>
      <c r="B19" s="424" t="s">
        <v>902</v>
      </c>
      <c r="C19" s="424"/>
      <c r="D19" s="424"/>
      <c r="E19" s="309"/>
      <c r="F19" s="351"/>
      <c r="G19" s="351"/>
      <c r="H19" s="309" t="s">
        <v>702</v>
      </c>
      <c r="I19" s="309"/>
      <c r="J19" s="310">
        <f>36/ATHENS!O1*ATHENS!O2</f>
        <v>73.469387755102048</v>
      </c>
      <c r="K19" s="310">
        <f>36/ATHENS!O1*ATHENS!O2</f>
        <v>73.469387755102048</v>
      </c>
      <c r="L19" s="311">
        <f>39/ATHENS!O1*ATHENS!O2</f>
        <v>79.591836734693885</v>
      </c>
      <c r="M19" s="311"/>
      <c r="N19" s="312"/>
    </row>
  </sheetData>
  <customSheetViews>
    <customSheetView guid="{3C76061C-A85D-4390-B9DB-73E13038638C}" showPageBreaks="1" view="pageLayout" topLeftCell="A37">
      <selection activeCell="M51" sqref="M51"/>
      <pageMargins left="0.28125" right="0.25" top="0.6692913385826772" bottom="0.70866141732283472" header="0.23622047244094491" footer="0.47244094488188981"/>
      <pageSetup paperSize="9" orientation="portrait" r:id="rId1"/>
      <headerFooter scaleWithDoc="0" alignWithMargins="0">
        <oddHeader>&amp;C TARIFF 2019
 (EURO)
Accommodation in &amp;A</oddHeader>
        <oddFooter>&amp;LAll rates are in EURO&amp;C
TARIFF 2019
&amp;RPage &amp;P</oddFooter>
      </headerFooter>
    </customSheetView>
  </customSheetViews>
  <mergeCells count="5">
    <mergeCell ref="B7:M7"/>
    <mergeCell ref="C10:N11"/>
    <mergeCell ref="B16:D16"/>
    <mergeCell ref="B17:D17"/>
    <mergeCell ref="B19:D19"/>
  </mergeCells>
  <hyperlinks>
    <hyperlink ref="B7:M7" r:id="rId2" display="The Westin Resort Costa Navarino" xr:uid="{00000000-0004-0000-2000-000000000000}"/>
  </hyperlinks>
  <pageMargins left="0.28125" right="0.25" top="0.6692913385826772" bottom="0.70866141732283472" header="0.23622047244094491" footer="0.47244094488188981"/>
  <pageSetup paperSize="9" orientation="portrait" r:id="rId3"/>
  <headerFooter scaleWithDoc="0" alignWithMargins="0">
    <oddHeader xml:space="preserve">&amp;C TARIFF 2026
 (EURO)
</oddHeader>
    <oddFooter>&amp;LAll rates are in EURO&amp;C
TARIFF 2026
&amp;RPage &amp;P</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0"/>
  <dimension ref="A1:P347"/>
  <sheetViews>
    <sheetView showGridLines="0" view="pageLayout" zoomScaleNormal="100" workbookViewId="0">
      <selection activeCell="L114" sqref="L114"/>
    </sheetView>
  </sheetViews>
  <sheetFormatPr defaultRowHeight="12.75" x14ac:dyDescent="0.2"/>
  <cols>
    <col min="1" max="1" width="1.85546875" style="100" customWidth="1"/>
    <col min="2" max="3" width="10.7109375" style="100" customWidth="1"/>
    <col min="4" max="9" width="3.7109375" style="100" customWidth="1"/>
    <col min="10" max="14" width="10.7109375" style="100" customWidth="1"/>
    <col min="15" max="15" width="9.28515625" style="100" customWidth="1"/>
    <col min="16" max="21" width="2.7109375" style="100" customWidth="1"/>
    <col min="22" max="16384" width="9.140625" style="100"/>
  </cols>
  <sheetData>
    <row r="1" spans="1:16" x14ac:dyDescent="0.2">
      <c r="A1" s="97"/>
      <c r="B1" s="98"/>
      <c r="C1" s="98"/>
      <c r="D1" s="98"/>
      <c r="E1" s="99"/>
      <c r="F1" s="99"/>
      <c r="G1" s="99"/>
      <c r="H1" s="99"/>
      <c r="I1" s="99"/>
      <c r="J1" s="99"/>
      <c r="K1" s="99"/>
      <c r="L1" s="99"/>
      <c r="M1" s="99"/>
      <c r="N1" s="99"/>
      <c r="P1" s="129"/>
    </row>
    <row r="2" spans="1:16" ht="13.5" thickBot="1" x14ac:dyDescent="0.25">
      <c r="A2" s="97"/>
      <c r="B2" s="98"/>
      <c r="C2" s="98"/>
      <c r="D2" s="98"/>
      <c r="E2" s="99"/>
      <c r="F2" s="99"/>
      <c r="G2" s="99"/>
      <c r="H2" s="99"/>
      <c r="I2" s="99"/>
      <c r="J2" s="99"/>
      <c r="K2" s="99"/>
      <c r="L2" s="99"/>
      <c r="M2" s="99"/>
      <c r="N2" s="99"/>
      <c r="P2" s="129"/>
    </row>
    <row r="3" spans="1:16" ht="13.5" thickBot="1" x14ac:dyDescent="0.25">
      <c r="A3" s="101"/>
      <c r="B3" s="102"/>
      <c r="C3" s="102"/>
      <c r="D3" s="102"/>
      <c r="E3" s="103"/>
      <c r="F3" s="103"/>
      <c r="G3" s="103"/>
      <c r="H3" s="103"/>
      <c r="I3" s="103"/>
      <c r="J3" s="103"/>
      <c r="K3" s="103"/>
      <c r="L3" s="103"/>
      <c r="M3" s="103"/>
      <c r="N3" s="104"/>
      <c r="P3" s="129"/>
    </row>
    <row r="4" spans="1:16" ht="15.75" thickBot="1" x14ac:dyDescent="0.25">
      <c r="A4" s="105"/>
      <c r="B4" s="459" t="s">
        <v>590</v>
      </c>
      <c r="C4" s="460"/>
      <c r="D4" s="460"/>
      <c r="E4" s="460"/>
      <c r="F4" s="460"/>
      <c r="G4" s="460"/>
      <c r="H4" s="460"/>
      <c r="I4" s="460"/>
      <c r="J4" s="460"/>
      <c r="K4" s="460"/>
      <c r="L4" s="460"/>
      <c r="M4" s="461"/>
      <c r="N4" s="106" t="s">
        <v>91</v>
      </c>
      <c r="P4" s="129"/>
    </row>
    <row r="5" spans="1:16" x14ac:dyDescent="0.2">
      <c r="A5" s="105"/>
      <c r="B5" s="107" t="s">
        <v>428</v>
      </c>
      <c r="C5" s="98" t="s">
        <v>591</v>
      </c>
      <c r="D5" s="98"/>
      <c r="E5" s="99"/>
      <c r="F5" s="99"/>
      <c r="G5" s="99"/>
      <c r="H5" s="99"/>
      <c r="I5" s="99"/>
      <c r="J5" s="99"/>
      <c r="K5" s="99"/>
      <c r="L5" s="99"/>
      <c r="M5" s="99"/>
      <c r="N5" s="90"/>
      <c r="P5" s="129"/>
    </row>
    <row r="6" spans="1:16" x14ac:dyDescent="0.2">
      <c r="A6" s="105"/>
      <c r="B6" s="107" t="s">
        <v>429</v>
      </c>
      <c r="C6" s="130" t="s">
        <v>1063</v>
      </c>
      <c r="D6" s="98"/>
      <c r="E6" s="99"/>
      <c r="F6" s="99"/>
      <c r="G6" s="99"/>
      <c r="H6" s="99"/>
      <c r="I6" s="99"/>
      <c r="J6" s="99"/>
      <c r="K6" s="99"/>
      <c r="L6" s="99"/>
      <c r="M6" s="99"/>
      <c r="N6" s="90"/>
      <c r="P6" s="129"/>
    </row>
    <row r="7" spans="1:16" x14ac:dyDescent="0.2">
      <c r="A7" s="105"/>
      <c r="B7" s="107" t="s">
        <v>427</v>
      </c>
      <c r="C7" s="455" t="s">
        <v>525</v>
      </c>
      <c r="D7" s="455"/>
      <c r="E7" s="455"/>
      <c r="F7" s="455"/>
      <c r="G7" s="455"/>
      <c r="H7" s="455"/>
      <c r="I7" s="455"/>
      <c r="J7" s="455"/>
      <c r="K7" s="455"/>
      <c r="L7" s="455"/>
      <c r="M7" s="455"/>
      <c r="N7" s="456"/>
      <c r="P7" s="129"/>
    </row>
    <row r="8" spans="1:16" x14ac:dyDescent="0.2">
      <c r="A8" s="105"/>
      <c r="B8" s="98"/>
      <c r="C8" s="455"/>
      <c r="D8" s="455"/>
      <c r="E8" s="455"/>
      <c r="F8" s="455"/>
      <c r="G8" s="455"/>
      <c r="H8" s="455"/>
      <c r="I8" s="455"/>
      <c r="J8" s="455"/>
      <c r="K8" s="455"/>
      <c r="L8" s="455"/>
      <c r="M8" s="455"/>
      <c r="N8" s="456"/>
      <c r="P8" s="129"/>
    </row>
    <row r="9" spans="1:16" x14ac:dyDescent="0.2">
      <c r="A9" s="105"/>
      <c r="B9" s="98"/>
      <c r="C9" s="455"/>
      <c r="D9" s="455"/>
      <c r="E9" s="455"/>
      <c r="F9" s="455"/>
      <c r="G9" s="455"/>
      <c r="H9" s="455"/>
      <c r="I9" s="455"/>
      <c r="J9" s="455"/>
      <c r="K9" s="455"/>
      <c r="L9" s="455"/>
      <c r="M9" s="455"/>
      <c r="N9" s="456"/>
      <c r="P9" s="129"/>
    </row>
    <row r="10" spans="1:16" x14ac:dyDescent="0.2">
      <c r="A10" s="105"/>
      <c r="B10" s="98"/>
      <c r="C10" s="455"/>
      <c r="D10" s="455"/>
      <c r="E10" s="455"/>
      <c r="F10" s="455"/>
      <c r="G10" s="455"/>
      <c r="H10" s="455"/>
      <c r="I10" s="455"/>
      <c r="J10" s="455"/>
      <c r="K10" s="455"/>
      <c r="L10" s="455"/>
      <c r="M10" s="455"/>
      <c r="N10" s="456"/>
      <c r="P10" s="129"/>
    </row>
    <row r="11" spans="1:16" x14ac:dyDescent="0.2">
      <c r="A11" s="105"/>
      <c r="B11" s="107" t="s">
        <v>426</v>
      </c>
      <c r="C11" s="98"/>
      <c r="D11" s="98"/>
      <c r="E11" s="99"/>
      <c r="F11" s="99"/>
      <c r="G11" s="99"/>
      <c r="H11" s="99"/>
      <c r="I11" s="99"/>
      <c r="J11" s="99"/>
      <c r="K11" s="99"/>
      <c r="L11" s="99"/>
      <c r="M11" s="99"/>
      <c r="N11" s="90"/>
      <c r="P11" s="129"/>
    </row>
    <row r="12" spans="1:16" ht="13.5" thickBot="1" x14ac:dyDescent="0.25">
      <c r="A12" s="108"/>
      <c r="B12" s="107" t="s">
        <v>430</v>
      </c>
      <c r="C12" s="109"/>
      <c r="D12" s="109"/>
      <c r="E12" s="110"/>
      <c r="F12" s="110"/>
      <c r="G12" s="110"/>
      <c r="H12" s="110"/>
      <c r="I12" s="110"/>
      <c r="J12" s="110"/>
      <c r="K12" s="110"/>
      <c r="L12" s="110"/>
      <c r="M12" s="110"/>
      <c r="N12" s="93"/>
      <c r="P12" s="129"/>
    </row>
    <row r="13" spans="1:16" x14ac:dyDescent="0.2">
      <c r="A13" s="101"/>
      <c r="B13" s="102" t="s">
        <v>263</v>
      </c>
      <c r="C13" s="102"/>
      <c r="D13" s="102"/>
      <c r="E13" s="103"/>
      <c r="F13" s="103"/>
      <c r="G13" s="103"/>
      <c r="H13" s="103"/>
      <c r="I13" s="103"/>
      <c r="J13" s="114" t="s">
        <v>2000</v>
      </c>
      <c r="K13" s="113" t="s">
        <v>1558</v>
      </c>
      <c r="L13" s="113" t="s">
        <v>1341</v>
      </c>
      <c r="M13" s="113"/>
      <c r="N13" s="113"/>
      <c r="P13" s="129"/>
    </row>
    <row r="14" spans="1:16" ht="13.5" thickBot="1" x14ac:dyDescent="0.25">
      <c r="A14" s="108"/>
      <c r="B14" s="109"/>
      <c r="C14" s="109"/>
      <c r="D14" s="109"/>
      <c r="E14" s="110"/>
      <c r="F14" s="110"/>
      <c r="G14" s="110"/>
      <c r="H14" s="110"/>
      <c r="I14" s="110"/>
      <c r="J14" s="112" t="s">
        <v>2001</v>
      </c>
      <c r="K14" s="94" t="s">
        <v>1222</v>
      </c>
      <c r="L14" s="94" t="s">
        <v>832</v>
      </c>
      <c r="M14" s="94" t="s">
        <v>123</v>
      </c>
      <c r="N14" s="94"/>
      <c r="P14" s="129"/>
    </row>
    <row r="15" spans="1:16" x14ac:dyDescent="0.2">
      <c r="A15" s="101"/>
      <c r="B15" s="448" t="s">
        <v>67</v>
      </c>
      <c r="C15" s="448"/>
      <c r="D15" s="448"/>
      <c r="E15" s="103"/>
      <c r="F15" s="103" t="s">
        <v>1180</v>
      </c>
      <c r="G15" s="103" t="s">
        <v>68</v>
      </c>
      <c r="H15" s="103" t="s">
        <v>702</v>
      </c>
      <c r="I15" s="103"/>
      <c r="J15" s="89">
        <f>48.58/ATHENS!O1*ATHENS!O2</f>
        <v>99.142857142857139</v>
      </c>
      <c r="K15" s="89">
        <f>79.5/ATHENS!O1*ATHENS!O2</f>
        <v>162.24489795918367</v>
      </c>
      <c r="L15" s="89">
        <f>103.8/ATHENS!O1*ATHENS!O2</f>
        <v>211.83673469387756</v>
      </c>
      <c r="M15" s="89">
        <f>130.51/ATHENS!O1*ATHENS!O2</f>
        <v>266.34693877551018</v>
      </c>
      <c r="N15" s="113"/>
      <c r="P15" s="129"/>
    </row>
    <row r="16" spans="1:16" x14ac:dyDescent="0.2">
      <c r="A16" s="105"/>
      <c r="B16" s="443" t="s">
        <v>67</v>
      </c>
      <c r="C16" s="443"/>
      <c r="D16" s="443"/>
      <c r="E16" s="99"/>
      <c r="F16" s="99" t="s">
        <v>1181</v>
      </c>
      <c r="G16" s="99" t="s">
        <v>68</v>
      </c>
      <c r="H16" s="99" t="s">
        <v>702</v>
      </c>
      <c r="I16" s="99"/>
      <c r="J16" s="89">
        <f>36.96/ATHENS!O1*ATHENS!O2</f>
        <v>75.428571428571431</v>
      </c>
      <c r="K16" s="89">
        <f>55.75/ATHENS!O1*ATHENS!O2</f>
        <v>113.77551020408164</v>
      </c>
      <c r="L16" s="89">
        <f>74.5/ATHENS!O1*ATHENS!O2</f>
        <v>152.0408163265306</v>
      </c>
      <c r="M16" s="89">
        <f>94.5/ATHENS!O1*ATHENS!O2</f>
        <v>192.85714285714286</v>
      </c>
      <c r="N16" s="89"/>
      <c r="P16" s="129"/>
    </row>
    <row r="17" spans="1:16" ht="13.5" thickBot="1" x14ac:dyDescent="0.25">
      <c r="A17" s="108"/>
      <c r="B17" s="436" t="s">
        <v>67</v>
      </c>
      <c r="C17" s="436"/>
      <c r="D17" s="436"/>
      <c r="E17" s="110"/>
      <c r="F17" s="110" t="s">
        <v>1182</v>
      </c>
      <c r="G17" s="110" t="s">
        <v>68</v>
      </c>
      <c r="H17" s="110" t="s">
        <v>702</v>
      </c>
      <c r="I17" s="110"/>
      <c r="J17" s="94">
        <f>32.6/ATHENS!O1*ATHENS!O2</f>
        <v>66.530612244897966</v>
      </c>
      <c r="K17" s="94">
        <f>49.5/ATHENS!O1*ATHENS!O2</f>
        <v>101.0204081632653</v>
      </c>
      <c r="L17" s="94">
        <f>66.5/ATHENS!O1*ATHENS!O2</f>
        <v>135.71428571428572</v>
      </c>
      <c r="M17" s="94">
        <f>83.9/ATHENS!O1*ATHENS!O2</f>
        <v>171.22448979591837</v>
      </c>
      <c r="N17" s="94"/>
      <c r="P17" s="129"/>
    </row>
    <row r="18" spans="1:16" ht="13.5" thickBot="1" x14ac:dyDescent="0.25">
      <c r="A18" s="97"/>
      <c r="B18" s="98"/>
      <c r="C18" s="98"/>
      <c r="D18" s="98"/>
      <c r="E18" s="99"/>
      <c r="F18" s="99"/>
      <c r="G18" s="99"/>
      <c r="H18" s="99"/>
      <c r="I18" s="99"/>
      <c r="J18" s="99"/>
      <c r="K18" s="99"/>
      <c r="L18" s="99"/>
      <c r="M18" s="99"/>
      <c r="N18" s="99"/>
      <c r="P18" s="129"/>
    </row>
    <row r="19" spans="1:16" ht="13.5" thickBot="1" x14ac:dyDescent="0.25">
      <c r="A19" s="101"/>
      <c r="B19" s="102"/>
      <c r="C19" s="102"/>
      <c r="D19" s="102"/>
      <c r="E19" s="103"/>
      <c r="F19" s="103"/>
      <c r="G19" s="103"/>
      <c r="H19" s="103"/>
      <c r="I19" s="103"/>
      <c r="J19" s="103"/>
      <c r="K19" s="103"/>
      <c r="L19" s="103"/>
      <c r="M19" s="103"/>
      <c r="N19" s="104"/>
      <c r="P19" s="129"/>
    </row>
    <row r="20" spans="1:16" ht="15.75" thickBot="1" x14ac:dyDescent="0.25">
      <c r="A20" s="105"/>
      <c r="B20" s="459" t="s">
        <v>806</v>
      </c>
      <c r="C20" s="460"/>
      <c r="D20" s="460"/>
      <c r="E20" s="460"/>
      <c r="F20" s="460"/>
      <c r="G20" s="460"/>
      <c r="H20" s="460"/>
      <c r="I20" s="460"/>
      <c r="J20" s="460"/>
      <c r="K20" s="460"/>
      <c r="L20" s="460"/>
      <c r="M20" s="461"/>
      <c r="N20" s="106" t="s">
        <v>91</v>
      </c>
      <c r="P20" s="129"/>
    </row>
    <row r="21" spans="1:16" x14ac:dyDescent="0.2">
      <c r="A21" s="105"/>
      <c r="B21" s="107" t="s">
        <v>428</v>
      </c>
      <c r="C21" s="98" t="s">
        <v>410</v>
      </c>
      <c r="D21" s="98"/>
      <c r="E21" s="99"/>
      <c r="F21" s="99"/>
      <c r="G21" s="99"/>
      <c r="H21" s="99"/>
      <c r="I21" s="99"/>
      <c r="J21" s="99"/>
      <c r="K21" s="99"/>
      <c r="L21" s="99"/>
      <c r="M21" s="99"/>
      <c r="N21" s="90"/>
      <c r="P21" s="129"/>
    </row>
    <row r="22" spans="1:16" x14ac:dyDescent="0.2">
      <c r="A22" s="105"/>
      <c r="B22" s="107" t="s">
        <v>429</v>
      </c>
      <c r="C22" s="98" t="s">
        <v>1008</v>
      </c>
      <c r="D22" s="98"/>
      <c r="E22" s="99"/>
      <c r="F22" s="99"/>
      <c r="G22" s="99"/>
      <c r="H22" s="99"/>
      <c r="I22" s="99"/>
      <c r="J22" s="99"/>
      <c r="K22" s="99"/>
      <c r="L22" s="99"/>
      <c r="M22" s="99"/>
      <c r="N22" s="90"/>
      <c r="P22" s="129"/>
    </row>
    <row r="23" spans="1:16" x14ac:dyDescent="0.2">
      <c r="A23" s="105"/>
      <c r="B23" s="107" t="s">
        <v>427</v>
      </c>
      <c r="C23" s="455" t="s">
        <v>1611</v>
      </c>
      <c r="D23" s="455"/>
      <c r="E23" s="455"/>
      <c r="F23" s="455"/>
      <c r="G23" s="455"/>
      <c r="H23" s="455"/>
      <c r="I23" s="455"/>
      <c r="J23" s="455"/>
      <c r="K23" s="455"/>
      <c r="L23" s="455"/>
      <c r="M23" s="455"/>
      <c r="N23" s="456"/>
      <c r="P23" s="129"/>
    </row>
    <row r="24" spans="1:16" x14ac:dyDescent="0.2">
      <c r="A24" s="105"/>
      <c r="B24" s="107"/>
      <c r="C24" s="455"/>
      <c r="D24" s="455"/>
      <c r="E24" s="455"/>
      <c r="F24" s="455"/>
      <c r="G24" s="455"/>
      <c r="H24" s="455"/>
      <c r="I24" s="455"/>
      <c r="J24" s="455"/>
      <c r="K24" s="455"/>
      <c r="L24" s="455"/>
      <c r="M24" s="455"/>
      <c r="N24" s="456"/>
      <c r="P24" s="129"/>
    </row>
    <row r="25" spans="1:16" x14ac:dyDescent="0.2">
      <c r="A25" s="105"/>
      <c r="B25" s="98"/>
      <c r="C25" s="455"/>
      <c r="D25" s="455"/>
      <c r="E25" s="455"/>
      <c r="F25" s="455"/>
      <c r="G25" s="455"/>
      <c r="H25" s="455"/>
      <c r="I25" s="455"/>
      <c r="J25" s="455"/>
      <c r="K25" s="455"/>
      <c r="L25" s="455"/>
      <c r="M25" s="455"/>
      <c r="N25" s="456"/>
      <c r="P25" s="129"/>
    </row>
    <row r="26" spans="1:16" x14ac:dyDescent="0.2">
      <c r="A26" s="105"/>
      <c r="B26" s="107" t="s">
        <v>426</v>
      </c>
      <c r="C26" s="98" t="s">
        <v>1210</v>
      </c>
      <c r="D26" s="98"/>
      <c r="E26" s="99"/>
      <c r="F26" s="99"/>
      <c r="G26" s="99"/>
      <c r="H26" s="99"/>
      <c r="I26" s="99"/>
      <c r="J26" s="99"/>
      <c r="K26" s="99"/>
      <c r="L26" s="99"/>
      <c r="M26" s="99"/>
      <c r="N26" s="90"/>
      <c r="P26" s="129"/>
    </row>
    <row r="27" spans="1:16" ht="13.5" thickBot="1" x14ac:dyDescent="0.25">
      <c r="A27" s="108"/>
      <c r="B27" s="107" t="s">
        <v>430</v>
      </c>
      <c r="C27" s="109"/>
      <c r="D27" s="109"/>
      <c r="E27" s="110"/>
      <c r="F27" s="110"/>
      <c r="G27" s="110"/>
      <c r="H27" s="110"/>
      <c r="I27" s="110"/>
      <c r="J27" s="110"/>
      <c r="K27" s="110"/>
      <c r="L27" s="110"/>
      <c r="M27" s="110"/>
      <c r="N27" s="93"/>
      <c r="P27" s="129"/>
    </row>
    <row r="28" spans="1:16" x14ac:dyDescent="0.2">
      <c r="A28" s="101"/>
      <c r="B28" s="102" t="s">
        <v>263</v>
      </c>
      <c r="C28" s="102"/>
      <c r="D28" s="102"/>
      <c r="E28" s="103"/>
      <c r="F28" s="103"/>
      <c r="G28" s="103"/>
      <c r="H28" s="103"/>
      <c r="I28" s="103"/>
      <c r="J28" s="114" t="s">
        <v>2003</v>
      </c>
      <c r="K28" s="113" t="s">
        <v>2004</v>
      </c>
      <c r="L28" s="113" t="s">
        <v>396</v>
      </c>
      <c r="M28" s="113" t="s">
        <v>2005</v>
      </c>
      <c r="N28" s="113"/>
      <c r="P28" s="129"/>
    </row>
    <row r="29" spans="1:16" ht="13.5" thickBot="1" x14ac:dyDescent="0.25">
      <c r="A29" s="108"/>
      <c r="B29" s="109"/>
      <c r="C29" s="109"/>
      <c r="D29" s="109"/>
      <c r="E29" s="110"/>
      <c r="F29" s="110"/>
      <c r="G29" s="110"/>
      <c r="H29" s="110"/>
      <c r="I29" s="110"/>
      <c r="J29" s="112" t="s">
        <v>2006</v>
      </c>
      <c r="K29" s="94" t="s">
        <v>2007</v>
      </c>
      <c r="L29" s="94" t="s">
        <v>1770</v>
      </c>
      <c r="M29" s="94" t="s">
        <v>1772</v>
      </c>
      <c r="N29" s="94" t="s">
        <v>2002</v>
      </c>
      <c r="P29" s="129"/>
    </row>
    <row r="30" spans="1:16" x14ac:dyDescent="0.2">
      <c r="A30" s="101"/>
      <c r="B30" s="448" t="s">
        <v>67</v>
      </c>
      <c r="C30" s="448"/>
      <c r="D30" s="448"/>
      <c r="E30" s="103"/>
      <c r="F30" s="103" t="s">
        <v>1180</v>
      </c>
      <c r="G30" s="103" t="s">
        <v>1484</v>
      </c>
      <c r="H30" s="103" t="s">
        <v>702</v>
      </c>
      <c r="I30" s="103"/>
      <c r="J30" s="89">
        <f>36.58/ATHENS!O1*ATHENS!O2</f>
        <v>74.65306122448979</v>
      </c>
      <c r="K30" s="89">
        <f>73.64/ATHENS!O1*ATHENS!O2</f>
        <v>150.28571428571428</v>
      </c>
      <c r="L30" s="89">
        <f>109.7/ATHENS!O1*ATHENS!O2</f>
        <v>223.87755102040816</v>
      </c>
      <c r="M30" s="89">
        <f>139.58/ATHENS!O1*ATHENS!O2</f>
        <v>284.85714285714289</v>
      </c>
      <c r="N30" s="113">
        <f>191.5/ATHENS!O1*ATHENS!O2</f>
        <v>390.81632653061223</v>
      </c>
      <c r="P30" s="129"/>
    </row>
    <row r="31" spans="1:16" x14ac:dyDescent="0.2">
      <c r="A31" s="105"/>
      <c r="B31" s="443" t="s">
        <v>67</v>
      </c>
      <c r="C31" s="443"/>
      <c r="D31" s="443"/>
      <c r="E31" s="99"/>
      <c r="F31" s="99" t="s">
        <v>1181</v>
      </c>
      <c r="G31" s="99" t="s">
        <v>1484</v>
      </c>
      <c r="H31" s="99" t="s">
        <v>702</v>
      </c>
      <c r="I31" s="99"/>
      <c r="J31" s="89">
        <f>36.5/ATHENS!O1*ATHENS!O2</f>
        <v>74.489795918367349</v>
      </c>
      <c r="K31" s="89">
        <f>43.5/ATHENS!O1*ATHENS!O2</f>
        <v>88.775510204081641</v>
      </c>
      <c r="L31" s="89">
        <f>55.5/ATHENS!O1*ATHENS!O2</f>
        <v>113.26530612244898</v>
      </c>
      <c r="M31" s="89">
        <f>72.5/ATHENS!O1*ATHENS!O2</f>
        <v>147.9591836734694</v>
      </c>
      <c r="N31" s="89">
        <f>92.5/ATHENS!O1*ATHENS!O2</f>
        <v>188.77551020408163</v>
      </c>
      <c r="P31" s="129"/>
    </row>
    <row r="32" spans="1:16" ht="13.5" thickBot="1" x14ac:dyDescent="0.25">
      <c r="A32" s="108"/>
      <c r="B32" s="436" t="s">
        <v>67</v>
      </c>
      <c r="C32" s="436"/>
      <c r="D32" s="436"/>
      <c r="E32" s="110"/>
      <c r="F32" s="110" t="s">
        <v>1182</v>
      </c>
      <c r="G32" s="110" t="s">
        <v>1484</v>
      </c>
      <c r="H32" s="110" t="s">
        <v>702</v>
      </c>
      <c r="I32" s="110"/>
      <c r="J32" s="94">
        <f>30.8/ATHENS!O1*ATHENS!O2</f>
        <v>62.857142857142861</v>
      </c>
      <c r="K32" s="94">
        <f>36.7/ATHENS!O1*ATHENS!O2</f>
        <v>74.897959183673478</v>
      </c>
      <c r="L32" s="94">
        <f>46.7/ATHENS!O1*ATHENS!O2</f>
        <v>95.306122448979593</v>
      </c>
      <c r="M32" s="94">
        <f>60.8/ATHENS!O1*ATHENS!O2</f>
        <v>124.08163265306122</v>
      </c>
      <c r="N32" s="94">
        <f>77.5/ATHENS!O1*ATHENS!O2</f>
        <v>158.16326530612244</v>
      </c>
      <c r="P32" s="129"/>
    </row>
    <row r="33" spans="1:14" ht="13.5" thickBot="1" x14ac:dyDescent="0.25">
      <c r="A33" s="97"/>
      <c r="B33" s="98"/>
      <c r="C33" s="98"/>
      <c r="D33" s="98"/>
      <c r="E33" s="99"/>
      <c r="F33" s="99"/>
      <c r="G33" s="99"/>
      <c r="H33" s="99"/>
      <c r="I33" s="99"/>
      <c r="J33" s="99"/>
      <c r="K33" s="99"/>
      <c r="L33" s="99"/>
      <c r="M33" s="99"/>
      <c r="N33" s="99"/>
    </row>
    <row r="34" spans="1:14" ht="13.5" thickBot="1" x14ac:dyDescent="0.25">
      <c r="A34" s="101"/>
      <c r="B34" s="102"/>
      <c r="C34" s="102"/>
      <c r="D34" s="102"/>
      <c r="E34" s="103"/>
      <c r="F34" s="103"/>
      <c r="G34" s="103"/>
      <c r="H34" s="103"/>
      <c r="I34" s="103"/>
      <c r="J34" s="103"/>
      <c r="K34" s="103"/>
      <c r="L34" s="103"/>
      <c r="M34" s="103"/>
      <c r="N34" s="104"/>
    </row>
    <row r="35" spans="1:14" ht="15.75" thickBot="1" x14ac:dyDescent="0.25">
      <c r="A35" s="105"/>
      <c r="B35" s="459" t="s">
        <v>731</v>
      </c>
      <c r="C35" s="460"/>
      <c r="D35" s="460"/>
      <c r="E35" s="460"/>
      <c r="F35" s="460"/>
      <c r="G35" s="460"/>
      <c r="H35" s="460"/>
      <c r="I35" s="460"/>
      <c r="J35" s="460"/>
      <c r="K35" s="460"/>
      <c r="L35" s="460"/>
      <c r="M35" s="461"/>
      <c r="N35" s="106" t="s">
        <v>91</v>
      </c>
    </row>
    <row r="36" spans="1:14" x14ac:dyDescent="0.2">
      <c r="A36" s="105"/>
      <c r="B36" s="107" t="s">
        <v>428</v>
      </c>
      <c r="C36" s="98" t="s">
        <v>663</v>
      </c>
      <c r="D36" s="98"/>
      <c r="E36" s="99"/>
      <c r="F36" s="99"/>
      <c r="G36" s="99"/>
      <c r="H36" s="99"/>
      <c r="I36" s="99"/>
      <c r="J36" s="99"/>
      <c r="K36" s="99"/>
      <c r="L36" s="99"/>
      <c r="M36" s="99"/>
      <c r="N36" s="90"/>
    </row>
    <row r="37" spans="1:14" x14ac:dyDescent="0.2">
      <c r="A37" s="105"/>
      <c r="B37" s="107" t="s">
        <v>429</v>
      </c>
      <c r="C37" s="98" t="s">
        <v>1064</v>
      </c>
      <c r="D37" s="98"/>
      <c r="E37" s="99"/>
      <c r="F37" s="99"/>
      <c r="G37" s="99"/>
      <c r="H37" s="99"/>
      <c r="I37" s="99"/>
      <c r="J37" s="99"/>
      <c r="K37" s="99"/>
      <c r="L37" s="99"/>
      <c r="M37" s="99"/>
      <c r="N37" s="90"/>
    </row>
    <row r="38" spans="1:14" x14ac:dyDescent="0.2">
      <c r="A38" s="105"/>
      <c r="B38" s="107" t="s">
        <v>427</v>
      </c>
      <c r="C38" s="465" t="s">
        <v>1528</v>
      </c>
      <c r="D38" s="465"/>
      <c r="E38" s="465"/>
      <c r="F38" s="465"/>
      <c r="G38" s="465"/>
      <c r="H38" s="465"/>
      <c r="I38" s="465"/>
      <c r="J38" s="465"/>
      <c r="K38" s="465"/>
      <c r="L38" s="465"/>
      <c r="M38" s="465"/>
      <c r="N38" s="466"/>
    </row>
    <row r="39" spans="1:14" x14ac:dyDescent="0.2">
      <c r="A39" s="105"/>
      <c r="B39" s="107"/>
      <c r="C39" s="465"/>
      <c r="D39" s="465"/>
      <c r="E39" s="465"/>
      <c r="F39" s="465"/>
      <c r="G39" s="465"/>
      <c r="H39" s="465"/>
      <c r="I39" s="465"/>
      <c r="J39" s="465"/>
      <c r="K39" s="465"/>
      <c r="L39" s="465"/>
      <c r="M39" s="465"/>
      <c r="N39" s="466"/>
    </row>
    <row r="40" spans="1:14" x14ac:dyDescent="0.2">
      <c r="A40" s="105"/>
      <c r="B40" s="107"/>
      <c r="C40" s="465"/>
      <c r="D40" s="465"/>
      <c r="E40" s="465"/>
      <c r="F40" s="465"/>
      <c r="G40" s="465"/>
      <c r="H40" s="465"/>
      <c r="I40" s="465"/>
      <c r="J40" s="465"/>
      <c r="K40" s="465"/>
      <c r="L40" s="465"/>
      <c r="M40" s="465"/>
      <c r="N40" s="466"/>
    </row>
    <row r="41" spans="1:14" x14ac:dyDescent="0.2">
      <c r="A41" s="105"/>
      <c r="B41" s="98"/>
      <c r="C41" s="465"/>
      <c r="D41" s="465"/>
      <c r="E41" s="465"/>
      <c r="F41" s="465"/>
      <c r="G41" s="465"/>
      <c r="H41" s="465"/>
      <c r="I41" s="465"/>
      <c r="J41" s="465"/>
      <c r="K41" s="465"/>
      <c r="L41" s="465"/>
      <c r="M41" s="465"/>
      <c r="N41" s="466"/>
    </row>
    <row r="42" spans="1:14" x14ac:dyDescent="0.2">
      <c r="A42" s="105"/>
      <c r="B42" s="98"/>
      <c r="C42" s="465"/>
      <c r="D42" s="465"/>
      <c r="E42" s="465"/>
      <c r="F42" s="465"/>
      <c r="G42" s="465"/>
      <c r="H42" s="465"/>
      <c r="I42" s="465"/>
      <c r="J42" s="465"/>
      <c r="K42" s="465"/>
      <c r="L42" s="465"/>
      <c r="M42" s="465"/>
      <c r="N42" s="466"/>
    </row>
    <row r="43" spans="1:14" ht="13.5" thickBot="1" x14ac:dyDescent="0.25">
      <c r="A43" s="105"/>
      <c r="B43" s="107" t="s">
        <v>426</v>
      </c>
      <c r="C43" s="98" t="s">
        <v>739</v>
      </c>
      <c r="D43" s="98"/>
      <c r="E43" s="99"/>
      <c r="F43" s="99"/>
      <c r="G43" s="99"/>
      <c r="H43" s="99"/>
      <c r="I43" s="99"/>
      <c r="J43" s="99"/>
      <c r="K43" s="99"/>
      <c r="L43" s="99"/>
      <c r="M43" s="99"/>
      <c r="N43" s="90"/>
    </row>
    <row r="44" spans="1:14" x14ac:dyDescent="0.2">
      <c r="A44" s="101"/>
      <c r="B44" s="102" t="s">
        <v>263</v>
      </c>
      <c r="C44" s="102"/>
      <c r="D44" s="102"/>
      <c r="E44" s="103"/>
      <c r="F44" s="103"/>
      <c r="G44" s="103"/>
      <c r="H44" s="103"/>
      <c r="I44" s="103"/>
      <c r="J44" s="114" t="s">
        <v>1810</v>
      </c>
      <c r="K44" s="114" t="s">
        <v>1965</v>
      </c>
      <c r="L44" s="114" t="s">
        <v>2214</v>
      </c>
      <c r="M44" s="114" t="s">
        <v>2217</v>
      </c>
      <c r="N44" s="113"/>
    </row>
    <row r="45" spans="1:14" ht="13.5" thickBot="1" x14ac:dyDescent="0.25">
      <c r="A45" s="108"/>
      <c r="B45" s="109"/>
      <c r="C45" s="109"/>
      <c r="D45" s="109"/>
      <c r="E45" s="110"/>
      <c r="F45" s="110"/>
      <c r="G45" s="110"/>
      <c r="H45" s="110"/>
      <c r="I45" s="110"/>
      <c r="J45" s="112" t="s">
        <v>2212</v>
      </c>
      <c r="K45" s="112" t="s">
        <v>2213</v>
      </c>
      <c r="L45" s="112" t="s">
        <v>2215</v>
      </c>
      <c r="M45" s="112" t="s">
        <v>2218</v>
      </c>
      <c r="N45" s="94" t="s">
        <v>2216</v>
      </c>
    </row>
    <row r="46" spans="1:14" x14ac:dyDescent="0.2">
      <c r="A46" s="105"/>
      <c r="B46" s="443" t="s">
        <v>732</v>
      </c>
      <c r="C46" s="443"/>
      <c r="D46" s="443"/>
      <c r="E46" s="99"/>
      <c r="F46" s="99" t="s">
        <v>1180</v>
      </c>
      <c r="G46" s="99" t="s">
        <v>1964</v>
      </c>
      <c r="H46" s="99" t="s">
        <v>702</v>
      </c>
      <c r="I46" s="99"/>
      <c r="J46" s="89">
        <f>462/ATHENS!O1*ATHENS!O2</f>
        <v>942.85714285714289</v>
      </c>
      <c r="K46" s="89">
        <f>590/ATHENS!O1*ATHENS!O2</f>
        <v>1204.0816326530612</v>
      </c>
      <c r="L46" s="89">
        <f>726/ATHENS!O1*ATHENS!O2</f>
        <v>1481.6326530612246</v>
      </c>
      <c r="M46" s="89">
        <f>802/ATHENS!O1*ATHENS!O2</f>
        <v>1636.7346938775511</v>
      </c>
      <c r="N46" s="89">
        <f>896/ATHENS!O1*ATHENS!O2</f>
        <v>1828.5714285714287</v>
      </c>
    </row>
    <row r="47" spans="1:14" x14ac:dyDescent="0.2">
      <c r="A47" s="105"/>
      <c r="B47" s="443" t="s">
        <v>732</v>
      </c>
      <c r="C47" s="443"/>
      <c r="D47" s="443"/>
      <c r="E47" s="99"/>
      <c r="F47" s="99" t="s">
        <v>1181</v>
      </c>
      <c r="G47" s="99" t="s">
        <v>1964</v>
      </c>
      <c r="H47" s="99" t="s">
        <v>702</v>
      </c>
      <c r="I47" s="99"/>
      <c r="J47" s="89">
        <f>231/ATHENS!O1*ATHENS!O2</f>
        <v>471.42857142857144</v>
      </c>
      <c r="K47" s="89">
        <f>295/ATHENS!O1*ATHENS!O2</f>
        <v>602.0408163265306</v>
      </c>
      <c r="L47" s="89">
        <f>363/ATHENS!O1*ATHENS!O2</f>
        <v>740.81632653061229</v>
      </c>
      <c r="M47" s="89">
        <f>401/ATHENS!O1*ATHENS!O2</f>
        <v>818.36734693877554</v>
      </c>
      <c r="N47" s="89">
        <f>448/ATHENS!O1*ATHENS!O2</f>
        <v>914.28571428571433</v>
      </c>
    </row>
    <row r="48" spans="1:14" ht="13.5" thickBot="1" x14ac:dyDescent="0.25">
      <c r="A48" s="108"/>
      <c r="B48" s="436" t="s">
        <v>732</v>
      </c>
      <c r="C48" s="436"/>
      <c r="D48" s="436"/>
      <c r="E48" s="110"/>
      <c r="F48" s="110" t="s">
        <v>1182</v>
      </c>
      <c r="G48" s="110" t="s">
        <v>1964</v>
      </c>
      <c r="H48" s="110" t="s">
        <v>702</v>
      </c>
      <c r="I48" s="110"/>
      <c r="J48" s="94">
        <f>104/ATHENS!O1*ATHENS!O2</f>
        <v>212.24489795918367</v>
      </c>
      <c r="K48" s="94">
        <f>132.6/ATHENS!O1*ATHENS!O2</f>
        <v>270.61224489795916</v>
      </c>
      <c r="L48" s="94">
        <f>163.6/ATHENS!O1*ATHENS!O2</f>
        <v>333.87755102040813</v>
      </c>
      <c r="M48" s="94">
        <f>180.6/ATHENS!O1*ATHENS!O2</f>
        <v>368.57142857142856</v>
      </c>
      <c r="N48" s="94">
        <f>201.6/ATHENS!O1*ATHENS!O2</f>
        <v>411.42857142857144</v>
      </c>
    </row>
    <row r="49" spans="1:14" x14ac:dyDescent="0.2">
      <c r="A49" s="97"/>
      <c r="B49" s="98"/>
      <c r="C49" s="98"/>
      <c r="D49" s="98"/>
      <c r="E49" s="99"/>
      <c r="F49" s="99"/>
      <c r="G49" s="99"/>
      <c r="H49" s="99"/>
      <c r="I49" s="99"/>
      <c r="J49" s="99"/>
      <c r="K49" s="99"/>
      <c r="L49" s="99"/>
      <c r="M49" s="99"/>
      <c r="N49" s="99"/>
    </row>
    <row r="50" spans="1:14" ht="13.5" thickBot="1" x14ac:dyDescent="0.25">
      <c r="A50" s="97"/>
      <c r="B50" s="98"/>
      <c r="C50" s="98"/>
      <c r="D50" s="98"/>
      <c r="E50" s="99"/>
      <c r="F50" s="99"/>
      <c r="G50" s="99"/>
      <c r="H50" s="99"/>
      <c r="I50" s="99"/>
      <c r="J50" s="99"/>
      <c r="K50" s="99"/>
      <c r="L50" s="99"/>
      <c r="M50" s="99"/>
      <c r="N50" s="99"/>
    </row>
    <row r="51" spans="1:14" ht="13.5" thickBot="1" x14ac:dyDescent="0.25">
      <c r="A51" s="101"/>
      <c r="B51" s="102"/>
      <c r="C51" s="102"/>
      <c r="D51" s="102"/>
      <c r="E51" s="103"/>
      <c r="F51" s="103"/>
      <c r="G51" s="103"/>
      <c r="H51" s="103"/>
      <c r="I51" s="103"/>
      <c r="J51" s="103"/>
      <c r="K51" s="103"/>
      <c r="L51" s="103"/>
      <c r="M51" s="103"/>
      <c r="N51" s="104"/>
    </row>
    <row r="52" spans="1:14" ht="15.75" thickBot="1" x14ac:dyDescent="0.25">
      <c r="A52" s="105"/>
      <c r="B52" s="459" t="s">
        <v>1566</v>
      </c>
      <c r="C52" s="460"/>
      <c r="D52" s="460"/>
      <c r="E52" s="460"/>
      <c r="F52" s="460"/>
      <c r="G52" s="460"/>
      <c r="H52" s="460"/>
      <c r="I52" s="460"/>
      <c r="J52" s="460"/>
      <c r="K52" s="460"/>
      <c r="L52" s="460"/>
      <c r="M52" s="461"/>
      <c r="N52" s="106" t="s">
        <v>91</v>
      </c>
    </row>
    <row r="53" spans="1:14" x14ac:dyDescent="0.2">
      <c r="A53" s="105"/>
      <c r="B53" s="107" t="s">
        <v>428</v>
      </c>
      <c r="C53" s="98" t="s">
        <v>1066</v>
      </c>
      <c r="D53" s="98"/>
      <c r="E53" s="99"/>
      <c r="F53" s="99"/>
      <c r="G53" s="99"/>
      <c r="H53" s="99"/>
      <c r="I53" s="99"/>
      <c r="J53" s="99"/>
      <c r="K53" s="99"/>
      <c r="L53" s="99"/>
      <c r="M53" s="99"/>
      <c r="N53" s="90"/>
    </row>
    <row r="54" spans="1:14" x14ac:dyDescent="0.2">
      <c r="A54" s="105"/>
      <c r="B54" s="107" t="s">
        <v>429</v>
      </c>
      <c r="C54" s="98" t="s">
        <v>1065</v>
      </c>
      <c r="D54" s="98"/>
      <c r="E54" s="99"/>
      <c r="F54" s="99"/>
      <c r="G54" s="99"/>
      <c r="H54" s="99"/>
      <c r="I54" s="99"/>
      <c r="J54" s="99"/>
      <c r="K54" s="99"/>
      <c r="L54" s="99"/>
      <c r="M54" s="99"/>
      <c r="N54" s="90"/>
    </row>
    <row r="55" spans="1:14" x14ac:dyDescent="0.2">
      <c r="A55" s="105"/>
      <c r="B55" s="107" t="s">
        <v>427</v>
      </c>
      <c r="C55" s="465" t="s">
        <v>1529</v>
      </c>
      <c r="D55" s="465"/>
      <c r="E55" s="465"/>
      <c r="F55" s="465"/>
      <c r="G55" s="465"/>
      <c r="H55" s="465"/>
      <c r="I55" s="465"/>
      <c r="J55" s="465"/>
      <c r="K55" s="465"/>
      <c r="L55" s="465"/>
      <c r="M55" s="465"/>
      <c r="N55" s="466"/>
    </row>
    <row r="56" spans="1:14" x14ac:dyDescent="0.2">
      <c r="A56" s="105"/>
      <c r="B56" s="107"/>
      <c r="C56" s="465"/>
      <c r="D56" s="465"/>
      <c r="E56" s="465"/>
      <c r="F56" s="465"/>
      <c r="G56" s="465"/>
      <c r="H56" s="465"/>
      <c r="I56" s="465"/>
      <c r="J56" s="465"/>
      <c r="K56" s="465"/>
      <c r="L56" s="465"/>
      <c r="M56" s="465"/>
      <c r="N56" s="466"/>
    </row>
    <row r="57" spans="1:14" x14ac:dyDescent="0.2">
      <c r="A57" s="105"/>
      <c r="B57" s="107"/>
      <c r="C57" s="465"/>
      <c r="D57" s="465"/>
      <c r="E57" s="465"/>
      <c r="F57" s="465"/>
      <c r="G57" s="465"/>
      <c r="H57" s="465"/>
      <c r="I57" s="465"/>
      <c r="J57" s="465"/>
      <c r="K57" s="465"/>
      <c r="L57" s="465"/>
      <c r="M57" s="465"/>
      <c r="N57" s="466"/>
    </row>
    <row r="58" spans="1:14" x14ac:dyDescent="0.2">
      <c r="A58" s="105"/>
      <c r="B58" s="107"/>
      <c r="C58" s="465"/>
      <c r="D58" s="465"/>
      <c r="E58" s="465"/>
      <c r="F58" s="465"/>
      <c r="G58" s="465"/>
      <c r="H58" s="465"/>
      <c r="I58" s="465"/>
      <c r="J58" s="465"/>
      <c r="K58" s="465"/>
      <c r="L58" s="465"/>
      <c r="M58" s="465"/>
      <c r="N58" s="466"/>
    </row>
    <row r="59" spans="1:14" x14ac:dyDescent="0.2">
      <c r="A59" s="105"/>
      <c r="B59" s="107"/>
      <c r="C59" s="465"/>
      <c r="D59" s="465"/>
      <c r="E59" s="465"/>
      <c r="F59" s="465"/>
      <c r="G59" s="465"/>
      <c r="H59" s="465"/>
      <c r="I59" s="465"/>
      <c r="J59" s="465"/>
      <c r="K59" s="465"/>
      <c r="L59" s="465"/>
      <c r="M59" s="465"/>
      <c r="N59" s="466"/>
    </row>
    <row r="60" spans="1:14" x14ac:dyDescent="0.2">
      <c r="A60" s="105"/>
      <c r="B60" s="107"/>
      <c r="C60" s="465"/>
      <c r="D60" s="465"/>
      <c r="E60" s="465"/>
      <c r="F60" s="465"/>
      <c r="G60" s="465"/>
      <c r="H60" s="465"/>
      <c r="I60" s="465"/>
      <c r="J60" s="465"/>
      <c r="K60" s="465"/>
      <c r="L60" s="465"/>
      <c r="M60" s="465"/>
      <c r="N60" s="466"/>
    </row>
    <row r="61" spans="1:14" x14ac:dyDescent="0.2">
      <c r="A61" s="105"/>
      <c r="B61" s="107"/>
      <c r="C61" s="465"/>
      <c r="D61" s="465"/>
      <c r="E61" s="465"/>
      <c r="F61" s="465"/>
      <c r="G61" s="465"/>
      <c r="H61" s="465"/>
      <c r="I61" s="465"/>
      <c r="J61" s="465"/>
      <c r="K61" s="465"/>
      <c r="L61" s="465"/>
      <c r="M61" s="465"/>
      <c r="N61" s="466"/>
    </row>
    <row r="62" spans="1:14" x14ac:dyDescent="0.2">
      <c r="A62" s="105"/>
      <c r="B62" s="107"/>
      <c r="C62" s="465"/>
      <c r="D62" s="465"/>
      <c r="E62" s="465"/>
      <c r="F62" s="465"/>
      <c r="G62" s="465"/>
      <c r="H62" s="465"/>
      <c r="I62" s="465"/>
      <c r="J62" s="465"/>
      <c r="K62" s="465"/>
      <c r="L62" s="465"/>
      <c r="M62" s="465"/>
      <c r="N62" s="466"/>
    </row>
    <row r="63" spans="1:14" x14ac:dyDescent="0.2">
      <c r="A63" s="105"/>
      <c r="B63" s="107"/>
      <c r="C63" s="465"/>
      <c r="D63" s="465"/>
      <c r="E63" s="465"/>
      <c r="F63" s="465"/>
      <c r="G63" s="465"/>
      <c r="H63" s="465"/>
      <c r="I63" s="465"/>
      <c r="J63" s="465"/>
      <c r="K63" s="465"/>
      <c r="L63" s="465"/>
      <c r="M63" s="465"/>
      <c r="N63" s="466"/>
    </row>
    <row r="64" spans="1:14" x14ac:dyDescent="0.2">
      <c r="A64" s="105"/>
      <c r="B64" s="107"/>
      <c r="C64" s="465"/>
      <c r="D64" s="465"/>
      <c r="E64" s="465"/>
      <c r="F64" s="465"/>
      <c r="G64" s="465"/>
      <c r="H64" s="465"/>
      <c r="I64" s="465"/>
      <c r="J64" s="465"/>
      <c r="K64" s="465"/>
      <c r="L64" s="465"/>
      <c r="M64" s="465"/>
      <c r="N64" s="466"/>
    </row>
    <row r="65" spans="1:14" x14ac:dyDescent="0.2">
      <c r="A65" s="105"/>
      <c r="B65" s="107"/>
      <c r="C65" s="465"/>
      <c r="D65" s="465"/>
      <c r="E65" s="465"/>
      <c r="F65" s="465"/>
      <c r="G65" s="465"/>
      <c r="H65" s="465"/>
      <c r="I65" s="465"/>
      <c r="J65" s="465"/>
      <c r="K65" s="465"/>
      <c r="L65" s="465"/>
      <c r="M65" s="465"/>
      <c r="N65" s="466"/>
    </row>
    <row r="66" spans="1:14" x14ac:dyDescent="0.2">
      <c r="A66" s="105"/>
      <c r="B66" s="98"/>
      <c r="C66" s="465"/>
      <c r="D66" s="465"/>
      <c r="E66" s="465"/>
      <c r="F66" s="465"/>
      <c r="G66" s="465"/>
      <c r="H66" s="465"/>
      <c r="I66" s="465"/>
      <c r="J66" s="465"/>
      <c r="K66" s="465"/>
      <c r="L66" s="465"/>
      <c r="M66" s="465"/>
      <c r="N66" s="466"/>
    </row>
    <row r="67" spans="1:14" ht="13.5" thickBot="1" x14ac:dyDescent="0.25">
      <c r="A67" s="105"/>
      <c r="B67" s="98"/>
      <c r="C67" s="465"/>
      <c r="D67" s="465"/>
      <c r="E67" s="465"/>
      <c r="F67" s="465"/>
      <c r="G67" s="465"/>
      <c r="H67" s="465"/>
      <c r="I67" s="465"/>
      <c r="J67" s="465"/>
      <c r="K67" s="465"/>
      <c r="L67" s="465"/>
      <c r="M67" s="465"/>
      <c r="N67" s="466"/>
    </row>
    <row r="68" spans="1:14" x14ac:dyDescent="0.2">
      <c r="A68" s="101"/>
      <c r="B68" s="102" t="s">
        <v>263</v>
      </c>
      <c r="C68" s="102"/>
      <c r="D68" s="102"/>
      <c r="E68" s="103"/>
      <c r="F68" s="103"/>
      <c r="G68" s="103"/>
      <c r="H68" s="103"/>
      <c r="I68" s="103"/>
      <c r="J68" s="114" t="s">
        <v>1567</v>
      </c>
      <c r="K68" s="113"/>
      <c r="L68" s="113" t="s">
        <v>2010</v>
      </c>
      <c r="M68" s="113" t="s">
        <v>2011</v>
      </c>
      <c r="N68" s="113"/>
    </row>
    <row r="69" spans="1:14" ht="13.5" thickBot="1" x14ac:dyDescent="0.25">
      <c r="A69" s="108"/>
      <c r="B69" s="109"/>
      <c r="C69" s="109"/>
      <c r="D69" s="109"/>
      <c r="E69" s="110"/>
      <c r="F69" s="110"/>
      <c r="G69" s="110"/>
      <c r="H69" s="110"/>
      <c r="I69" s="110"/>
      <c r="J69" s="112" t="s">
        <v>2009</v>
      </c>
      <c r="K69" s="94" t="s">
        <v>1965</v>
      </c>
      <c r="L69" s="94" t="s">
        <v>1390</v>
      </c>
      <c r="M69" s="94" t="s">
        <v>1426</v>
      </c>
      <c r="N69" s="94" t="s">
        <v>1585</v>
      </c>
    </row>
    <row r="70" spans="1:14" x14ac:dyDescent="0.2">
      <c r="A70" s="101"/>
      <c r="B70" s="448" t="s">
        <v>1643</v>
      </c>
      <c r="C70" s="448"/>
      <c r="D70" s="448"/>
      <c r="E70" s="103"/>
      <c r="F70" s="103" t="s">
        <v>1180</v>
      </c>
      <c r="G70" s="103" t="s">
        <v>68</v>
      </c>
      <c r="H70" s="103" t="s">
        <v>702</v>
      </c>
      <c r="I70" s="103"/>
      <c r="J70" s="89">
        <f>80.5/ATHENS!O1*ATHENS!O2</f>
        <v>164.28571428571428</v>
      </c>
      <c r="K70" s="89">
        <f>127.5/ATHENS!O1*ATHENS!O2</f>
        <v>260.20408163265307</v>
      </c>
      <c r="L70" s="89">
        <f>153.5/ATHENS!O1*ATHENS!O2</f>
        <v>313.26530612244898</v>
      </c>
      <c r="M70" s="89">
        <f>188.7/ATHENS!O1*ATHENS!O2</f>
        <v>385.10204081632651</v>
      </c>
      <c r="N70" s="113">
        <f>225.6/ATHENS!O1*ATHENS!O2</f>
        <v>460.40816326530614</v>
      </c>
    </row>
    <row r="71" spans="1:14" x14ac:dyDescent="0.2">
      <c r="A71" s="105"/>
      <c r="B71" s="443" t="s">
        <v>67</v>
      </c>
      <c r="C71" s="443"/>
      <c r="D71" s="443"/>
      <c r="E71" s="99"/>
      <c r="F71" s="99" t="s">
        <v>1181</v>
      </c>
      <c r="G71" s="99" t="s">
        <v>68</v>
      </c>
      <c r="H71" s="99" t="s">
        <v>702</v>
      </c>
      <c r="I71" s="99"/>
      <c r="J71" s="89">
        <f>50.5/ATHENS!O1*ATHENS!O2</f>
        <v>103.06122448979592</v>
      </c>
      <c r="K71" s="89">
        <f>79.65/ATHENS!O1*ATHENS!O2</f>
        <v>162.55102040816328</v>
      </c>
      <c r="L71" s="89">
        <f>95.6/ATHENS!O1*ATHENS!O2</f>
        <v>195.10204081632654</v>
      </c>
      <c r="M71" s="89">
        <f>117.95/ATHENS!O1*ATHENS!O2</f>
        <v>240.71428571428572</v>
      </c>
      <c r="N71" s="89">
        <f>141/ATHENS!O1*ATHENS!O2</f>
        <v>287.75510204081633</v>
      </c>
    </row>
    <row r="72" spans="1:14" ht="13.5" thickBot="1" x14ac:dyDescent="0.25">
      <c r="A72" s="108"/>
      <c r="B72" s="436" t="s">
        <v>67</v>
      </c>
      <c r="C72" s="436"/>
      <c r="D72" s="436"/>
      <c r="E72" s="110"/>
      <c r="F72" s="110" t="s">
        <v>1182</v>
      </c>
      <c r="G72" s="110" t="s">
        <v>68</v>
      </c>
      <c r="H72" s="110" t="s">
        <v>702</v>
      </c>
      <c r="I72" s="110"/>
      <c r="J72" s="94">
        <f>42.5/ATHENS!O1*ATHENS!O2</f>
        <v>86.734693877551024</v>
      </c>
      <c r="K72" s="94">
        <f>66.6/ATHENS!O1*ATHENS!O2</f>
        <v>135.91836734693877</v>
      </c>
      <c r="L72" s="94">
        <f>80/ATHENS!O1*ATHENS!O2</f>
        <v>163.26530612244898</v>
      </c>
      <c r="M72" s="94">
        <f>98.5/ATHENS!O1*ATHENS!O2</f>
        <v>201.0204081632653</v>
      </c>
      <c r="N72" s="94">
        <f>117.5/ATHENS!O1*ATHENS!O2</f>
        <v>239.79591836734696</v>
      </c>
    </row>
    <row r="73" spans="1:14" ht="13.5" thickBot="1" x14ac:dyDescent="0.25">
      <c r="A73" s="101"/>
      <c r="B73" s="102"/>
      <c r="C73" s="102"/>
      <c r="D73" s="102"/>
      <c r="E73" s="103"/>
      <c r="F73" s="103"/>
      <c r="G73" s="103"/>
      <c r="H73" s="103"/>
      <c r="I73" s="103"/>
      <c r="J73" s="103"/>
      <c r="K73" s="103"/>
      <c r="L73" s="103"/>
      <c r="M73" s="103"/>
      <c r="N73" s="104"/>
    </row>
    <row r="74" spans="1:14" ht="13.5" thickBot="1" x14ac:dyDescent="0.25">
      <c r="A74" s="119"/>
      <c r="B74" s="120" t="s">
        <v>1466</v>
      </c>
      <c r="C74" s="120"/>
      <c r="D74" s="120"/>
      <c r="E74" s="121"/>
      <c r="F74" s="121"/>
      <c r="G74" s="121"/>
      <c r="H74" s="121"/>
      <c r="I74" s="121"/>
      <c r="J74" s="121"/>
      <c r="K74" s="121"/>
      <c r="L74" s="121"/>
      <c r="M74" s="121"/>
      <c r="N74" s="122"/>
    </row>
    <row r="75" spans="1:14" x14ac:dyDescent="0.2">
      <c r="A75" s="97"/>
      <c r="B75" s="98"/>
      <c r="C75" s="98"/>
      <c r="D75" s="98"/>
      <c r="E75" s="99"/>
      <c r="F75" s="99"/>
      <c r="G75" s="99"/>
      <c r="H75" s="99"/>
      <c r="I75" s="99"/>
      <c r="J75" s="99"/>
      <c r="K75" s="99"/>
      <c r="L75" s="99"/>
      <c r="M75" s="99"/>
      <c r="N75" s="99"/>
    </row>
    <row r="76" spans="1:14" x14ac:dyDescent="0.2">
      <c r="A76" s="97"/>
      <c r="B76" s="98"/>
      <c r="C76" s="98"/>
      <c r="D76" s="98"/>
      <c r="E76" s="99"/>
      <c r="F76" s="99"/>
      <c r="G76" s="99"/>
      <c r="H76" s="99"/>
      <c r="I76" s="99"/>
      <c r="J76" s="99"/>
      <c r="K76" s="99"/>
      <c r="L76" s="99"/>
      <c r="M76" s="99"/>
      <c r="N76" s="99"/>
    </row>
    <row r="77" spans="1:14" x14ac:dyDescent="0.2">
      <c r="A77" s="97"/>
      <c r="B77" s="98"/>
      <c r="C77" s="98"/>
      <c r="D77" s="98"/>
      <c r="E77" s="99"/>
      <c r="F77" s="99"/>
      <c r="G77" s="99"/>
      <c r="H77" s="99"/>
      <c r="I77" s="99"/>
      <c r="J77" s="99"/>
      <c r="K77" s="99"/>
      <c r="L77" s="99"/>
      <c r="M77" s="99"/>
      <c r="N77" s="99"/>
    </row>
    <row r="78" spans="1:14" x14ac:dyDescent="0.2">
      <c r="A78" s="97"/>
      <c r="B78" s="98"/>
      <c r="C78" s="98"/>
      <c r="D78" s="98"/>
      <c r="E78" s="99"/>
      <c r="F78" s="99"/>
      <c r="G78" s="99"/>
      <c r="H78" s="99"/>
      <c r="I78" s="99"/>
      <c r="J78" s="99"/>
      <c r="K78" s="99"/>
      <c r="L78" s="99"/>
      <c r="M78" s="99"/>
      <c r="N78" s="99"/>
    </row>
    <row r="79" spans="1:14" x14ac:dyDescent="0.2">
      <c r="A79" s="97"/>
      <c r="B79" s="98"/>
      <c r="C79" s="98"/>
      <c r="D79" s="98"/>
      <c r="E79" s="99"/>
      <c r="F79" s="99"/>
      <c r="G79" s="99"/>
      <c r="H79" s="99"/>
      <c r="I79" s="99"/>
      <c r="J79" s="99"/>
      <c r="K79" s="99"/>
      <c r="L79" s="99"/>
      <c r="M79" s="99"/>
      <c r="N79" s="99"/>
    </row>
    <row r="80" spans="1:14" x14ac:dyDescent="0.2">
      <c r="A80" s="97"/>
      <c r="B80" s="98"/>
      <c r="C80" s="98"/>
      <c r="D80" s="98"/>
      <c r="E80" s="99"/>
      <c r="F80" s="99"/>
      <c r="G80" s="99"/>
      <c r="H80" s="99"/>
      <c r="I80" s="99"/>
      <c r="J80" s="99"/>
      <c r="K80" s="99"/>
      <c r="L80" s="99"/>
      <c r="M80" s="99"/>
      <c r="N80" s="99"/>
    </row>
    <row r="81" spans="1:14" x14ac:dyDescent="0.2">
      <c r="A81" s="97"/>
      <c r="B81" s="98"/>
      <c r="C81" s="98"/>
      <c r="D81" s="98"/>
      <c r="E81" s="99"/>
      <c r="F81" s="99"/>
      <c r="G81" s="99"/>
      <c r="H81" s="99"/>
      <c r="I81" s="99"/>
      <c r="J81" s="99"/>
      <c r="K81" s="99"/>
      <c r="L81" s="99"/>
      <c r="M81" s="99"/>
      <c r="N81" s="99"/>
    </row>
    <row r="82" spans="1:14" x14ac:dyDescent="0.2">
      <c r="A82" s="97"/>
      <c r="B82" s="98"/>
      <c r="C82" s="98"/>
      <c r="D82" s="98"/>
      <c r="E82" s="99"/>
      <c r="F82" s="99"/>
      <c r="G82" s="99"/>
      <c r="H82" s="99"/>
      <c r="I82" s="99"/>
      <c r="J82" s="99"/>
      <c r="K82" s="99"/>
      <c r="L82" s="99"/>
      <c r="M82" s="99"/>
      <c r="N82" s="99"/>
    </row>
    <row r="83" spans="1:14" x14ac:dyDescent="0.2">
      <c r="A83" s="97"/>
      <c r="B83" s="98"/>
      <c r="C83" s="98"/>
      <c r="D83" s="98"/>
      <c r="E83" s="99"/>
      <c r="F83" s="99"/>
      <c r="G83" s="99"/>
      <c r="H83" s="99"/>
      <c r="I83" s="99"/>
      <c r="J83" s="99"/>
      <c r="K83" s="99"/>
      <c r="L83" s="99"/>
      <c r="M83" s="99"/>
      <c r="N83" s="99"/>
    </row>
    <row r="84" spans="1:14" x14ac:dyDescent="0.2">
      <c r="A84" s="97"/>
      <c r="B84" s="98"/>
      <c r="C84" s="98"/>
      <c r="D84" s="98"/>
      <c r="E84" s="99"/>
      <c r="F84" s="99"/>
      <c r="G84" s="99"/>
      <c r="H84" s="99"/>
      <c r="I84" s="99"/>
      <c r="J84" s="99"/>
      <c r="K84" s="99"/>
      <c r="L84" s="99"/>
      <c r="M84" s="99"/>
      <c r="N84" s="99"/>
    </row>
    <row r="85" spans="1:14" x14ac:dyDescent="0.2">
      <c r="A85" s="97"/>
      <c r="B85" s="98"/>
      <c r="C85" s="98"/>
      <c r="D85" s="98"/>
      <c r="E85" s="99"/>
      <c r="F85" s="99"/>
      <c r="G85" s="99"/>
      <c r="H85" s="99"/>
      <c r="I85" s="99"/>
      <c r="J85" s="99"/>
      <c r="K85" s="99"/>
      <c r="L85" s="99"/>
      <c r="M85" s="99"/>
      <c r="N85" s="99"/>
    </row>
    <row r="86" spans="1:14" x14ac:dyDescent="0.2">
      <c r="A86" s="97"/>
      <c r="B86" s="98"/>
      <c r="C86" s="98"/>
      <c r="D86" s="98"/>
      <c r="E86" s="99"/>
      <c r="F86" s="99"/>
      <c r="G86" s="99"/>
      <c r="H86" s="99"/>
      <c r="I86" s="99"/>
      <c r="J86" s="99"/>
      <c r="K86" s="99"/>
      <c r="L86" s="99"/>
      <c r="M86" s="99"/>
      <c r="N86" s="99"/>
    </row>
    <row r="87" spans="1:14" x14ac:dyDescent="0.2">
      <c r="A87" s="97"/>
      <c r="B87" s="98"/>
      <c r="C87" s="98"/>
      <c r="D87" s="98"/>
      <c r="E87" s="99"/>
      <c r="F87" s="99"/>
      <c r="G87" s="99"/>
      <c r="H87" s="99"/>
      <c r="I87" s="99"/>
      <c r="J87" s="99"/>
      <c r="K87" s="99"/>
      <c r="L87" s="99"/>
      <c r="M87" s="99"/>
      <c r="N87" s="99"/>
    </row>
    <row r="88" spans="1:14" x14ac:dyDescent="0.2">
      <c r="A88" s="97"/>
      <c r="B88" s="98"/>
      <c r="C88" s="98"/>
      <c r="D88" s="98"/>
      <c r="E88" s="99"/>
      <c r="F88" s="99"/>
      <c r="G88" s="99"/>
      <c r="H88" s="99"/>
      <c r="I88" s="99"/>
      <c r="J88" s="99"/>
      <c r="K88" s="99"/>
      <c r="L88" s="99"/>
      <c r="M88" s="99"/>
      <c r="N88" s="99"/>
    </row>
    <row r="89" spans="1:14" x14ac:dyDescent="0.2">
      <c r="A89" s="97"/>
      <c r="B89" s="98"/>
      <c r="C89" s="98"/>
      <c r="D89" s="98"/>
      <c r="E89" s="99"/>
      <c r="F89" s="99"/>
      <c r="G89" s="99"/>
      <c r="H89" s="99"/>
      <c r="I89" s="99"/>
      <c r="J89" s="99"/>
      <c r="K89" s="99"/>
      <c r="L89" s="99"/>
      <c r="M89" s="99"/>
      <c r="N89" s="99"/>
    </row>
    <row r="90" spans="1:14" x14ac:dyDescent="0.2">
      <c r="A90" s="97"/>
      <c r="B90" s="98"/>
      <c r="C90" s="98"/>
      <c r="D90" s="98"/>
      <c r="E90" s="99"/>
      <c r="F90" s="99"/>
      <c r="G90" s="99"/>
      <c r="H90" s="99"/>
      <c r="I90" s="99"/>
      <c r="J90" s="99"/>
      <c r="K90" s="99"/>
      <c r="L90" s="99"/>
      <c r="M90" s="99"/>
      <c r="N90" s="99"/>
    </row>
    <row r="91" spans="1:14" x14ac:dyDescent="0.2">
      <c r="A91" s="97"/>
      <c r="B91" s="98"/>
      <c r="C91" s="98"/>
      <c r="D91" s="98"/>
      <c r="E91" s="99"/>
      <c r="F91" s="99"/>
      <c r="G91" s="99"/>
      <c r="H91" s="99"/>
      <c r="I91" s="99"/>
      <c r="J91" s="99"/>
      <c r="K91" s="99"/>
      <c r="L91" s="99"/>
      <c r="M91" s="99"/>
      <c r="N91" s="99"/>
    </row>
    <row r="92" spans="1:14" ht="13.5" thickBot="1" x14ac:dyDescent="0.25">
      <c r="A92" s="97"/>
      <c r="B92" s="98"/>
      <c r="C92" s="98"/>
      <c r="D92" s="98"/>
      <c r="E92" s="99"/>
      <c r="F92" s="99"/>
      <c r="G92" s="99"/>
      <c r="H92" s="99"/>
      <c r="I92" s="99"/>
      <c r="J92" s="99"/>
      <c r="K92" s="99"/>
      <c r="L92" s="99"/>
      <c r="M92" s="99"/>
      <c r="N92" s="99"/>
    </row>
    <row r="93" spans="1:14" ht="13.5" thickBot="1" x14ac:dyDescent="0.25">
      <c r="A93" s="101"/>
      <c r="B93" s="102"/>
      <c r="C93" s="102"/>
      <c r="D93" s="102"/>
      <c r="E93" s="103"/>
      <c r="F93" s="103"/>
      <c r="G93" s="103"/>
      <c r="H93" s="103"/>
      <c r="I93" s="103"/>
      <c r="J93" s="103"/>
      <c r="K93" s="103"/>
      <c r="L93" s="103"/>
      <c r="M93" s="103"/>
      <c r="N93" s="104"/>
    </row>
    <row r="94" spans="1:14" ht="15.75" thickBot="1" x14ac:dyDescent="0.25">
      <c r="A94" s="105"/>
      <c r="B94" s="459" t="s">
        <v>344</v>
      </c>
      <c r="C94" s="460"/>
      <c r="D94" s="460"/>
      <c r="E94" s="460"/>
      <c r="F94" s="460"/>
      <c r="G94" s="460"/>
      <c r="H94" s="460"/>
      <c r="I94" s="460"/>
      <c r="J94" s="460"/>
      <c r="K94" s="460"/>
      <c r="L94" s="460"/>
      <c r="M94" s="461"/>
      <c r="N94" s="106" t="s">
        <v>91</v>
      </c>
    </row>
    <row r="95" spans="1:14" x14ac:dyDescent="0.2">
      <c r="A95" s="105"/>
      <c r="B95" s="107" t="s">
        <v>428</v>
      </c>
      <c r="C95" s="98" t="s">
        <v>345</v>
      </c>
      <c r="D95" s="98"/>
      <c r="E95" s="99"/>
      <c r="F95" s="99"/>
      <c r="G95" s="99"/>
      <c r="H95" s="99"/>
      <c r="I95" s="99"/>
      <c r="J95" s="99"/>
      <c r="K95" s="99"/>
      <c r="L95" s="99"/>
      <c r="M95" s="99"/>
      <c r="N95" s="90"/>
    </row>
    <row r="96" spans="1:14" x14ac:dyDescent="0.2">
      <c r="A96" s="105"/>
      <c r="B96" s="107" t="s">
        <v>429</v>
      </c>
      <c r="C96" s="98" t="s">
        <v>733</v>
      </c>
      <c r="D96" s="98"/>
      <c r="E96" s="99"/>
      <c r="F96" s="99"/>
      <c r="G96" s="99"/>
      <c r="H96" s="99"/>
      <c r="I96" s="99"/>
      <c r="J96" s="99"/>
      <c r="K96" s="99"/>
      <c r="L96" s="99"/>
      <c r="M96" s="99"/>
      <c r="N96" s="90"/>
    </row>
    <row r="97" spans="1:14" x14ac:dyDescent="0.2">
      <c r="A97" s="105"/>
      <c r="B97" s="107" t="s">
        <v>427</v>
      </c>
      <c r="C97" s="455" t="s">
        <v>1612</v>
      </c>
      <c r="D97" s="455"/>
      <c r="E97" s="455"/>
      <c r="F97" s="455"/>
      <c r="G97" s="455"/>
      <c r="H97" s="455"/>
      <c r="I97" s="455"/>
      <c r="J97" s="455"/>
      <c r="K97" s="455"/>
      <c r="L97" s="455"/>
      <c r="M97" s="455"/>
      <c r="N97" s="456"/>
    </row>
    <row r="98" spans="1:14" x14ac:dyDescent="0.2">
      <c r="A98" s="105"/>
      <c r="B98" s="107"/>
      <c r="C98" s="455"/>
      <c r="D98" s="455"/>
      <c r="E98" s="455"/>
      <c r="F98" s="455"/>
      <c r="G98" s="455"/>
      <c r="H98" s="455"/>
      <c r="I98" s="455"/>
      <c r="J98" s="455"/>
      <c r="K98" s="455"/>
      <c r="L98" s="455"/>
      <c r="M98" s="455"/>
      <c r="N98" s="456"/>
    </row>
    <row r="99" spans="1:14" x14ac:dyDescent="0.2">
      <c r="A99" s="105"/>
      <c r="B99" s="107"/>
      <c r="C99" s="455"/>
      <c r="D99" s="455"/>
      <c r="E99" s="455"/>
      <c r="F99" s="455"/>
      <c r="G99" s="455"/>
      <c r="H99" s="455"/>
      <c r="I99" s="455"/>
      <c r="J99" s="455"/>
      <c r="K99" s="455"/>
      <c r="L99" s="455"/>
      <c r="M99" s="455"/>
      <c r="N99" s="456"/>
    </row>
    <row r="100" spans="1:14" x14ac:dyDescent="0.2">
      <c r="A100" s="105"/>
      <c r="B100" s="107"/>
      <c r="C100" s="455"/>
      <c r="D100" s="455"/>
      <c r="E100" s="455"/>
      <c r="F100" s="455"/>
      <c r="G100" s="455"/>
      <c r="H100" s="455"/>
      <c r="I100" s="455"/>
      <c r="J100" s="455"/>
      <c r="K100" s="455"/>
      <c r="L100" s="455"/>
      <c r="M100" s="455"/>
      <c r="N100" s="456"/>
    </row>
    <row r="101" spans="1:14" x14ac:dyDescent="0.2">
      <c r="A101" s="105"/>
      <c r="B101" s="98"/>
      <c r="C101" s="455"/>
      <c r="D101" s="455"/>
      <c r="E101" s="455"/>
      <c r="F101" s="455"/>
      <c r="G101" s="455"/>
      <c r="H101" s="455"/>
      <c r="I101" s="455"/>
      <c r="J101" s="455"/>
      <c r="K101" s="455"/>
      <c r="L101" s="455"/>
      <c r="M101" s="455"/>
      <c r="N101" s="456"/>
    </row>
    <row r="102" spans="1:14" x14ac:dyDescent="0.2">
      <c r="A102" s="105"/>
      <c r="B102" s="98"/>
      <c r="C102" s="455"/>
      <c r="D102" s="455"/>
      <c r="E102" s="455"/>
      <c r="F102" s="455"/>
      <c r="G102" s="455"/>
      <c r="H102" s="455"/>
      <c r="I102" s="455"/>
      <c r="J102" s="455"/>
      <c r="K102" s="455"/>
      <c r="L102" s="455"/>
      <c r="M102" s="455"/>
      <c r="N102" s="456"/>
    </row>
    <row r="103" spans="1:14" x14ac:dyDescent="0.2">
      <c r="A103" s="105"/>
      <c r="B103" s="107" t="s">
        <v>426</v>
      </c>
      <c r="C103" s="98" t="s">
        <v>834</v>
      </c>
      <c r="D103" s="98"/>
      <c r="E103" s="99"/>
      <c r="F103" s="99"/>
      <c r="G103" s="99"/>
      <c r="H103" s="99"/>
      <c r="I103" s="99"/>
      <c r="J103" s="99"/>
      <c r="K103" s="99"/>
      <c r="L103" s="99"/>
      <c r="M103" s="99"/>
      <c r="N103" s="90"/>
    </row>
    <row r="104" spans="1:14" ht="13.5" thickBot="1" x14ac:dyDescent="0.25">
      <c r="A104" s="108"/>
      <c r="B104" s="107" t="s">
        <v>430</v>
      </c>
      <c r="C104" s="109"/>
      <c r="D104" s="109"/>
      <c r="E104" s="110"/>
      <c r="F104" s="110"/>
      <c r="G104" s="110"/>
      <c r="H104" s="110"/>
      <c r="I104" s="110"/>
      <c r="J104" s="110"/>
      <c r="K104" s="110"/>
      <c r="L104" s="110"/>
      <c r="M104" s="110"/>
      <c r="N104" s="93"/>
    </row>
    <row r="105" spans="1:14" x14ac:dyDescent="0.2">
      <c r="A105" s="101"/>
      <c r="B105" s="102" t="s">
        <v>263</v>
      </c>
      <c r="C105" s="102"/>
      <c r="D105" s="102"/>
      <c r="E105" s="103"/>
      <c r="F105" s="103"/>
      <c r="G105" s="103"/>
      <c r="H105" s="103"/>
      <c r="I105" s="103"/>
      <c r="J105" s="114" t="s">
        <v>1971</v>
      </c>
      <c r="K105" s="113" t="s">
        <v>2208</v>
      </c>
      <c r="L105" s="113" t="s">
        <v>2210</v>
      </c>
      <c r="M105" s="113"/>
      <c r="N105" s="113"/>
    </row>
    <row r="106" spans="1:14" ht="13.5" thickBot="1" x14ac:dyDescent="0.25">
      <c r="A106" s="108"/>
      <c r="B106" s="109"/>
      <c r="C106" s="109"/>
      <c r="D106" s="109"/>
      <c r="E106" s="110"/>
      <c r="F106" s="110"/>
      <c r="G106" s="110"/>
      <c r="H106" s="110"/>
      <c r="I106" s="110"/>
      <c r="J106" s="112" t="s">
        <v>2139</v>
      </c>
      <c r="K106" s="94" t="s">
        <v>2209</v>
      </c>
      <c r="L106" s="94" t="s">
        <v>2211</v>
      </c>
      <c r="M106" s="94" t="s">
        <v>88</v>
      </c>
      <c r="N106" s="94"/>
    </row>
    <row r="107" spans="1:14" x14ac:dyDescent="0.2">
      <c r="A107" s="101"/>
      <c r="B107" s="448" t="s">
        <v>226</v>
      </c>
      <c r="C107" s="448"/>
      <c r="D107" s="448"/>
      <c r="E107" s="103"/>
      <c r="F107" s="103" t="s">
        <v>1180</v>
      </c>
      <c r="G107" s="103" t="s">
        <v>1484</v>
      </c>
      <c r="H107" s="103" t="s">
        <v>702</v>
      </c>
      <c r="I107" s="103"/>
      <c r="J107" s="89">
        <f>83/ATHENS!O1*ATHENS!O2</f>
        <v>169.38775510204081</v>
      </c>
      <c r="K107" s="89">
        <f>104/ATHENS!O1*ATHENS!O2</f>
        <v>212.24489795918367</v>
      </c>
      <c r="L107" s="89">
        <f>147/ATHENS!O1*ATHENS!O2</f>
        <v>300</v>
      </c>
      <c r="M107" s="89">
        <f>176/ATHENS!O1*ATHENS!O2</f>
        <v>359.18367346938777</v>
      </c>
      <c r="N107" s="113"/>
    </row>
    <row r="108" spans="1:14" x14ac:dyDescent="0.2">
      <c r="A108" s="105"/>
      <c r="B108" s="443" t="s">
        <v>226</v>
      </c>
      <c r="C108" s="443"/>
      <c r="D108" s="443"/>
      <c r="E108" s="99"/>
      <c r="F108" s="99" t="s">
        <v>1181</v>
      </c>
      <c r="G108" s="99" t="s">
        <v>1484</v>
      </c>
      <c r="H108" s="99" t="s">
        <v>702</v>
      </c>
      <c r="I108" s="99"/>
      <c r="J108" s="89">
        <f>52/ATHENS!O1*ATHENS!O2</f>
        <v>106.12244897959184</v>
      </c>
      <c r="K108" s="89">
        <f>65/ATHENS!O1*ATHENS!O2</f>
        <v>132.65306122448979</v>
      </c>
      <c r="L108" s="89">
        <f>92/ATHENS!O1*ATHENS!O2</f>
        <v>187.75510204081633</v>
      </c>
      <c r="M108" s="89">
        <f>109.5/ATHENS!O1*ATHENS!O2</f>
        <v>223.46938775510205</v>
      </c>
      <c r="N108" s="89"/>
    </row>
    <row r="109" spans="1:14" x14ac:dyDescent="0.2">
      <c r="A109" s="105"/>
      <c r="B109" s="443" t="s">
        <v>226</v>
      </c>
      <c r="C109" s="443"/>
      <c r="D109" s="443"/>
      <c r="E109" s="99"/>
      <c r="F109" s="99" t="s">
        <v>1182</v>
      </c>
      <c r="G109" s="99" t="s">
        <v>1484</v>
      </c>
      <c r="H109" s="99" t="s">
        <v>702</v>
      </c>
      <c r="I109" s="99"/>
      <c r="J109" s="89">
        <f>46.6/ATHENS!O1*ATHENS!O2</f>
        <v>95.102040816326536</v>
      </c>
      <c r="K109" s="89">
        <f>58.5/ATHENS!O1*ATHENS!O2</f>
        <v>119.38775510204081</v>
      </c>
      <c r="L109" s="89">
        <f>83/ATHENS!O1*ATHENS!O2</f>
        <v>169.38775510204081</v>
      </c>
      <c r="M109" s="89">
        <f>98.6/ATHENS!O1*ATHENS!O2</f>
        <v>201.22448979591837</v>
      </c>
      <c r="N109" s="89"/>
    </row>
    <row r="110" spans="1:14" x14ac:dyDescent="0.2">
      <c r="A110" s="105"/>
      <c r="B110" s="443" t="s">
        <v>227</v>
      </c>
      <c r="C110" s="443"/>
      <c r="D110" s="443"/>
      <c r="E110" s="99"/>
      <c r="F110" s="99" t="s">
        <v>1180</v>
      </c>
      <c r="G110" s="99" t="s">
        <v>1484</v>
      </c>
      <c r="H110" s="99" t="s">
        <v>702</v>
      </c>
      <c r="I110" s="99"/>
      <c r="J110" s="89">
        <f>91/ATHENS!O1*ATHENS!O2</f>
        <v>185.71428571428572</v>
      </c>
      <c r="K110" s="89">
        <f>118/ATHENS!O1*ATHENS!O2</f>
        <v>240.81632653061226</v>
      </c>
      <c r="L110" s="89">
        <f>166/ATHENS!O1*ATHENS!O2</f>
        <v>338.77551020408163</v>
      </c>
      <c r="M110" s="89">
        <f>194/ATHENS!O1*ATHENS!O2</f>
        <v>395.91836734693879</v>
      </c>
      <c r="N110" s="89"/>
    </row>
    <row r="111" spans="1:14" x14ac:dyDescent="0.2">
      <c r="A111" s="105"/>
      <c r="B111" s="443" t="s">
        <v>227</v>
      </c>
      <c r="C111" s="443"/>
      <c r="D111" s="443"/>
      <c r="E111" s="99"/>
      <c r="F111" s="99" t="s">
        <v>1181</v>
      </c>
      <c r="G111" s="99" t="s">
        <v>1484</v>
      </c>
      <c r="H111" s="99" t="s">
        <v>702</v>
      </c>
      <c r="I111" s="99"/>
      <c r="J111" s="89">
        <f>56.5/ATHENS!O1*ATHENS!O2</f>
        <v>115.30612244897959</v>
      </c>
      <c r="K111" s="89">
        <f>74/ATHENS!O1*ATHENS!O2</f>
        <v>151.0204081632653</v>
      </c>
      <c r="L111" s="89">
        <f>104/ATHENS!O1*ATHENS!O2</f>
        <v>212.24489795918367</v>
      </c>
      <c r="M111" s="89">
        <f>121.5/ATHENS!O1*ATHENS!O2</f>
        <v>247.9591836734694</v>
      </c>
      <c r="N111" s="89"/>
    </row>
    <row r="112" spans="1:14" ht="13.5" thickBot="1" x14ac:dyDescent="0.25">
      <c r="A112" s="108"/>
      <c r="B112" s="436" t="s">
        <v>227</v>
      </c>
      <c r="C112" s="436"/>
      <c r="D112" s="436"/>
      <c r="E112" s="110"/>
      <c r="F112" s="110" t="s">
        <v>1182</v>
      </c>
      <c r="G112" s="110" t="s">
        <v>1484</v>
      </c>
      <c r="H112" s="110" t="s">
        <v>702</v>
      </c>
      <c r="I112" s="110"/>
      <c r="J112" s="94">
        <f>51/ATHENS!O1*ATHENS!O2</f>
        <v>104.08163265306122</v>
      </c>
      <c r="K112" s="94">
        <f>66.5/ATHENS!O1*ATHENS!O2</f>
        <v>135.71428571428572</v>
      </c>
      <c r="L112" s="94">
        <f>93.5/ATHENS!O1*ATHENS!O2</f>
        <v>190.81632653061226</v>
      </c>
      <c r="M112" s="94">
        <f>109.5/ATHENS!O1*ATHENS!O2</f>
        <v>223.46938775510205</v>
      </c>
      <c r="N112" s="94"/>
    </row>
    <row r="113" spans="1:14" ht="13.5" thickBot="1" x14ac:dyDescent="0.25">
      <c r="A113" s="97"/>
      <c r="B113" s="98"/>
      <c r="C113" s="98"/>
      <c r="D113" s="98"/>
      <c r="E113" s="99"/>
      <c r="F113" s="99"/>
      <c r="G113" s="99"/>
      <c r="H113" s="99"/>
      <c r="I113" s="99"/>
      <c r="J113" s="99"/>
      <c r="K113" s="99"/>
      <c r="L113" s="99"/>
      <c r="M113" s="99"/>
      <c r="N113" s="99"/>
    </row>
    <row r="114" spans="1:14" ht="13.5" thickBot="1" x14ac:dyDescent="0.25">
      <c r="A114" s="101"/>
      <c r="B114" s="102"/>
      <c r="C114" s="102"/>
      <c r="D114" s="102"/>
      <c r="E114" s="103"/>
      <c r="F114" s="103"/>
      <c r="G114" s="103"/>
      <c r="H114" s="103"/>
      <c r="I114" s="103"/>
      <c r="J114" s="103"/>
      <c r="K114" s="103"/>
      <c r="L114" s="103"/>
      <c r="M114" s="103"/>
      <c r="N114" s="104"/>
    </row>
    <row r="115" spans="1:14" ht="15.75" thickBot="1" x14ac:dyDescent="0.25">
      <c r="A115" s="105"/>
      <c r="B115" s="459" t="s">
        <v>835</v>
      </c>
      <c r="C115" s="460"/>
      <c r="D115" s="460"/>
      <c r="E115" s="460"/>
      <c r="F115" s="460"/>
      <c r="G115" s="460"/>
      <c r="H115" s="460"/>
      <c r="I115" s="460"/>
      <c r="J115" s="460"/>
      <c r="K115" s="460"/>
      <c r="L115" s="460"/>
      <c r="M115" s="461"/>
      <c r="N115" s="106" t="s">
        <v>91</v>
      </c>
    </row>
    <row r="116" spans="1:14" x14ac:dyDescent="0.2">
      <c r="A116" s="105"/>
      <c r="B116" s="107" t="s">
        <v>428</v>
      </c>
      <c r="C116" s="98" t="s">
        <v>836</v>
      </c>
      <c r="D116" s="98"/>
      <c r="E116" s="99"/>
      <c r="F116" s="99"/>
      <c r="G116" s="99"/>
      <c r="H116" s="99"/>
      <c r="I116" s="99"/>
      <c r="J116" s="99"/>
      <c r="K116" s="99"/>
      <c r="L116" s="99"/>
      <c r="M116" s="99"/>
      <c r="N116" s="90"/>
    </row>
    <row r="117" spans="1:14" x14ac:dyDescent="0.2">
      <c r="A117" s="105"/>
      <c r="B117" s="107" t="s">
        <v>429</v>
      </c>
      <c r="C117" s="98" t="s">
        <v>734</v>
      </c>
      <c r="D117" s="98"/>
      <c r="E117" s="99"/>
      <c r="F117" s="99"/>
      <c r="G117" s="99"/>
      <c r="H117" s="99"/>
      <c r="I117" s="99"/>
      <c r="J117" s="99"/>
      <c r="K117" s="99"/>
      <c r="L117" s="99"/>
      <c r="M117" s="99"/>
      <c r="N117" s="90"/>
    </row>
    <row r="118" spans="1:14" x14ac:dyDescent="0.2">
      <c r="A118" s="105"/>
      <c r="B118" s="107" t="s">
        <v>427</v>
      </c>
      <c r="C118" s="455" t="s">
        <v>1229</v>
      </c>
      <c r="D118" s="455"/>
      <c r="E118" s="455"/>
      <c r="F118" s="455"/>
      <c r="G118" s="455"/>
      <c r="H118" s="455"/>
      <c r="I118" s="455"/>
      <c r="J118" s="455"/>
      <c r="K118" s="455"/>
      <c r="L118" s="455"/>
      <c r="M118" s="455"/>
      <c r="N118" s="456"/>
    </row>
    <row r="119" spans="1:14" x14ac:dyDescent="0.2">
      <c r="A119" s="105"/>
      <c r="B119" s="107"/>
      <c r="C119" s="455"/>
      <c r="D119" s="455"/>
      <c r="E119" s="455"/>
      <c r="F119" s="455"/>
      <c r="G119" s="455"/>
      <c r="H119" s="455"/>
      <c r="I119" s="455"/>
      <c r="J119" s="455"/>
      <c r="K119" s="455"/>
      <c r="L119" s="455"/>
      <c r="M119" s="455"/>
      <c r="N119" s="456"/>
    </row>
    <row r="120" spans="1:14" x14ac:dyDescent="0.2">
      <c r="A120" s="105"/>
      <c r="B120" s="107"/>
      <c r="C120" s="455"/>
      <c r="D120" s="455"/>
      <c r="E120" s="455"/>
      <c r="F120" s="455"/>
      <c r="G120" s="455"/>
      <c r="H120" s="455"/>
      <c r="I120" s="455"/>
      <c r="J120" s="455"/>
      <c r="K120" s="455"/>
      <c r="L120" s="455"/>
      <c r="M120" s="455"/>
      <c r="N120" s="456"/>
    </row>
    <row r="121" spans="1:14" x14ac:dyDescent="0.2">
      <c r="A121" s="105"/>
      <c r="B121" s="107"/>
      <c r="C121" s="455"/>
      <c r="D121" s="455"/>
      <c r="E121" s="455"/>
      <c r="F121" s="455"/>
      <c r="G121" s="455"/>
      <c r="H121" s="455"/>
      <c r="I121" s="455"/>
      <c r="J121" s="455"/>
      <c r="K121" s="455"/>
      <c r="L121" s="455"/>
      <c r="M121" s="455"/>
      <c r="N121" s="456"/>
    </row>
    <row r="122" spans="1:14" x14ac:dyDescent="0.2">
      <c r="A122" s="105"/>
      <c r="B122" s="107"/>
      <c r="C122" s="455"/>
      <c r="D122" s="455"/>
      <c r="E122" s="455"/>
      <c r="F122" s="455"/>
      <c r="G122" s="455"/>
      <c r="H122" s="455"/>
      <c r="I122" s="455"/>
      <c r="J122" s="455"/>
      <c r="K122" s="455"/>
      <c r="L122" s="455"/>
      <c r="M122" s="455"/>
      <c r="N122" s="456"/>
    </row>
    <row r="123" spans="1:14" x14ac:dyDescent="0.2">
      <c r="A123" s="105"/>
      <c r="B123" s="107" t="s">
        <v>426</v>
      </c>
      <c r="C123" s="98" t="s">
        <v>740</v>
      </c>
      <c r="D123" s="98"/>
      <c r="E123" s="99"/>
      <c r="F123" s="99"/>
      <c r="G123" s="99"/>
      <c r="H123" s="99"/>
      <c r="I123" s="99"/>
      <c r="J123" s="99"/>
      <c r="K123" s="99"/>
      <c r="L123" s="99"/>
      <c r="M123" s="99"/>
      <c r="N123" s="90"/>
    </row>
    <row r="124" spans="1:14" ht="13.5" thickBot="1" x14ac:dyDescent="0.25">
      <c r="A124" s="108"/>
      <c r="B124" s="118" t="s">
        <v>430</v>
      </c>
      <c r="C124" s="109"/>
      <c r="D124" s="109"/>
      <c r="E124" s="110"/>
      <c r="F124" s="110"/>
      <c r="G124" s="110"/>
      <c r="H124" s="110"/>
      <c r="I124" s="110"/>
      <c r="J124" s="110"/>
      <c r="K124" s="110"/>
      <c r="L124" s="110"/>
      <c r="M124" s="110"/>
      <c r="N124" s="93"/>
    </row>
    <row r="125" spans="1:14" x14ac:dyDescent="0.2">
      <c r="A125" s="101"/>
      <c r="B125" s="102" t="s">
        <v>263</v>
      </c>
      <c r="C125" s="102"/>
      <c r="D125" s="102"/>
      <c r="E125" s="103"/>
      <c r="F125" s="103"/>
      <c r="G125" s="103"/>
      <c r="H125" s="103"/>
      <c r="I125" s="103"/>
      <c r="J125" s="114" t="s">
        <v>1413</v>
      </c>
      <c r="K125" s="113" t="s">
        <v>2008</v>
      </c>
      <c r="L125" s="113"/>
      <c r="M125" s="113"/>
      <c r="N125" s="113"/>
    </row>
    <row r="126" spans="1:14" ht="13.5" thickBot="1" x14ac:dyDescent="0.25">
      <c r="A126" s="108"/>
      <c r="B126" s="109"/>
      <c r="C126" s="109"/>
      <c r="D126" s="109"/>
      <c r="E126" s="110"/>
      <c r="F126" s="110"/>
      <c r="G126" s="110"/>
      <c r="H126" s="110"/>
      <c r="I126" s="110"/>
      <c r="J126" s="112" t="s">
        <v>798</v>
      </c>
      <c r="K126" s="94" t="s">
        <v>1415</v>
      </c>
      <c r="L126" s="94" t="s">
        <v>579</v>
      </c>
      <c r="M126" s="94"/>
      <c r="N126" s="94"/>
    </row>
    <row r="127" spans="1:14" x14ac:dyDescent="0.2">
      <c r="A127" s="101"/>
      <c r="B127" s="448" t="s">
        <v>67</v>
      </c>
      <c r="C127" s="448"/>
      <c r="D127" s="448"/>
      <c r="E127" s="103"/>
      <c r="F127" s="103" t="s">
        <v>1180</v>
      </c>
      <c r="G127" s="103" t="s">
        <v>68</v>
      </c>
      <c r="H127" s="103" t="s">
        <v>702</v>
      </c>
      <c r="I127" s="103"/>
      <c r="J127" s="89">
        <f>134.02/ATHENS!O1*ATHENS!O2</f>
        <v>273.51020408163265</v>
      </c>
      <c r="K127" s="89">
        <f>182.5/ATHENS!O1*ATHENS!O2</f>
        <v>372.44897959183675</v>
      </c>
      <c r="L127" s="89">
        <f>195/ATHENS!O1*ATHENS!O2</f>
        <v>397.9591836734694</v>
      </c>
      <c r="M127" s="89"/>
      <c r="N127" s="113"/>
    </row>
    <row r="128" spans="1:14" x14ac:dyDescent="0.2">
      <c r="A128" s="105"/>
      <c r="B128" s="443" t="s">
        <v>67</v>
      </c>
      <c r="C128" s="443"/>
      <c r="D128" s="443"/>
      <c r="E128" s="99"/>
      <c r="F128" s="99" t="s">
        <v>1181</v>
      </c>
      <c r="G128" s="99" t="s">
        <v>68</v>
      </c>
      <c r="H128" s="99" t="s">
        <v>702</v>
      </c>
      <c r="I128" s="99"/>
      <c r="J128" s="89">
        <f>75.5/ATHENS!O1*ATHENS!O2</f>
        <v>154.08163265306123</v>
      </c>
      <c r="K128" s="89">
        <f>99.5/ATHENS!O1*ATHENS!O2</f>
        <v>203.06122448979593</v>
      </c>
      <c r="L128" s="89">
        <f>106.7/ATHENS!O1*ATHENS!O2</f>
        <v>217.75510204081633</v>
      </c>
      <c r="M128" s="89"/>
      <c r="N128" s="89"/>
    </row>
    <row r="129" spans="1:14" x14ac:dyDescent="0.2">
      <c r="A129" s="105"/>
      <c r="B129" s="443" t="s">
        <v>901</v>
      </c>
      <c r="C129" s="443"/>
      <c r="D129" s="443"/>
      <c r="E129" s="99"/>
      <c r="F129" s="99" t="s">
        <v>518</v>
      </c>
      <c r="G129" s="99" t="s">
        <v>68</v>
      </c>
      <c r="H129" s="99" t="s">
        <v>702</v>
      </c>
      <c r="I129" s="99"/>
      <c r="J129" s="89">
        <f>145.5/ATHENS!O1*ATHENS!O2</f>
        <v>296.9387755102041</v>
      </c>
      <c r="K129" s="89">
        <f>175.77/ATHENS!O1*ATHENS!O2</f>
        <v>358.71428571428572</v>
      </c>
      <c r="L129" s="89">
        <f>198.1/ATHENS!O1*ATHENS!O2</f>
        <v>404.28571428571428</v>
      </c>
      <c r="M129" s="89"/>
      <c r="N129" s="89"/>
    </row>
    <row r="130" spans="1:14" x14ac:dyDescent="0.2">
      <c r="A130" s="105"/>
      <c r="B130" s="443" t="s">
        <v>901</v>
      </c>
      <c r="C130" s="443"/>
      <c r="D130" s="443"/>
      <c r="E130" s="99"/>
      <c r="F130" s="99" t="s">
        <v>705</v>
      </c>
      <c r="G130" s="99" t="s">
        <v>68</v>
      </c>
      <c r="H130" s="99" t="s">
        <v>702</v>
      </c>
      <c r="I130" s="99"/>
      <c r="J130" s="89">
        <f>96.7/ATHENS!O1*ATHENS!O2</f>
        <v>197.34693877551021</v>
      </c>
      <c r="K130" s="89">
        <f>117.5/ATHENS!O1*ATHENS!O2</f>
        <v>239.79591836734696</v>
      </c>
      <c r="L130" s="89">
        <f>132.05/ATHENS!O1*ATHENS!O2</f>
        <v>269.48979591836735</v>
      </c>
      <c r="M130" s="89"/>
      <c r="N130" s="89"/>
    </row>
    <row r="131" spans="1:14" ht="13.5" thickBot="1" x14ac:dyDescent="0.25">
      <c r="A131" s="108"/>
      <c r="B131" s="436" t="s">
        <v>902</v>
      </c>
      <c r="C131" s="436"/>
      <c r="D131" s="436"/>
      <c r="E131" s="110"/>
      <c r="F131" s="110"/>
      <c r="G131" s="110"/>
      <c r="H131" s="110" t="s">
        <v>702</v>
      </c>
      <c r="I131" s="110"/>
      <c r="J131" s="94">
        <f>38/ATHENS!O1*ATHENS!O2</f>
        <v>77.551020408163268</v>
      </c>
      <c r="K131" s="94">
        <f>38/ATHENS!O1*ATHENS!O2</f>
        <v>77.551020408163268</v>
      </c>
      <c r="L131" s="94">
        <f>38/ATHENS!O1*ATHENS!O2</f>
        <v>77.551020408163268</v>
      </c>
      <c r="M131" s="94"/>
      <c r="N131" s="94"/>
    </row>
    <row r="132" spans="1:14" ht="13.5" thickBot="1" x14ac:dyDescent="0.25">
      <c r="A132" s="97"/>
      <c r="B132" s="98"/>
      <c r="C132" s="98"/>
      <c r="D132" s="98"/>
      <c r="E132" s="99"/>
      <c r="F132" s="99"/>
      <c r="G132" s="99"/>
      <c r="H132" s="99"/>
      <c r="I132" s="99"/>
      <c r="J132" s="99"/>
      <c r="K132" s="99"/>
      <c r="L132" s="99"/>
      <c r="M132" s="99"/>
      <c r="N132" s="99"/>
    </row>
    <row r="133" spans="1:14" ht="13.5" thickBot="1" x14ac:dyDescent="0.25">
      <c r="A133" s="101"/>
      <c r="B133" s="102"/>
      <c r="C133" s="102"/>
      <c r="D133" s="102"/>
      <c r="E133" s="103"/>
      <c r="F133" s="103"/>
      <c r="G133" s="103"/>
      <c r="H133" s="103"/>
      <c r="I133" s="103"/>
      <c r="J133" s="103"/>
      <c r="K133" s="103"/>
      <c r="L133" s="103"/>
      <c r="M133" s="103"/>
      <c r="N133" s="104"/>
    </row>
    <row r="134" spans="1:14" ht="15.75" thickBot="1" x14ac:dyDescent="0.25">
      <c r="A134" s="105"/>
      <c r="B134" s="459" t="s">
        <v>736</v>
      </c>
      <c r="C134" s="460"/>
      <c r="D134" s="460"/>
      <c r="E134" s="460"/>
      <c r="F134" s="460"/>
      <c r="G134" s="460"/>
      <c r="H134" s="460"/>
      <c r="I134" s="460"/>
      <c r="J134" s="460"/>
      <c r="K134" s="460"/>
      <c r="L134" s="460"/>
      <c r="M134" s="461"/>
      <c r="N134" s="106" t="s">
        <v>91</v>
      </c>
    </row>
    <row r="135" spans="1:14" x14ac:dyDescent="0.2">
      <c r="A135" s="105"/>
      <c r="B135" s="107" t="s">
        <v>428</v>
      </c>
      <c r="C135" s="98" t="s">
        <v>383</v>
      </c>
      <c r="D135" s="98"/>
      <c r="E135" s="99"/>
      <c r="F135" s="99"/>
      <c r="G135" s="99"/>
      <c r="H135" s="99"/>
      <c r="I135" s="99"/>
      <c r="J135" s="99"/>
      <c r="K135" s="99"/>
      <c r="L135" s="99"/>
      <c r="M135" s="99"/>
      <c r="N135" s="90"/>
    </row>
    <row r="136" spans="1:14" x14ac:dyDescent="0.2">
      <c r="A136" s="105"/>
      <c r="B136" s="107" t="s">
        <v>429</v>
      </c>
      <c r="C136" s="98" t="s">
        <v>1067</v>
      </c>
      <c r="D136" s="98"/>
      <c r="E136" s="99"/>
      <c r="F136" s="99"/>
      <c r="G136" s="99"/>
      <c r="H136" s="99"/>
      <c r="I136" s="99"/>
      <c r="J136" s="99"/>
      <c r="K136" s="99"/>
      <c r="L136" s="99"/>
      <c r="M136" s="99"/>
      <c r="N136" s="90"/>
    </row>
    <row r="137" spans="1:14" x14ac:dyDescent="0.2">
      <c r="A137" s="105"/>
      <c r="B137" s="107" t="s">
        <v>427</v>
      </c>
      <c r="C137" s="455" t="s">
        <v>156</v>
      </c>
      <c r="D137" s="455"/>
      <c r="E137" s="455"/>
      <c r="F137" s="455"/>
      <c r="G137" s="455"/>
      <c r="H137" s="455"/>
      <c r="I137" s="455"/>
      <c r="J137" s="455"/>
      <c r="K137" s="455"/>
      <c r="L137" s="455"/>
      <c r="M137" s="455"/>
      <c r="N137" s="456"/>
    </row>
    <row r="138" spans="1:14" x14ac:dyDescent="0.2">
      <c r="A138" s="105"/>
      <c r="B138" s="107"/>
      <c r="C138" s="455"/>
      <c r="D138" s="455"/>
      <c r="E138" s="455"/>
      <c r="F138" s="455"/>
      <c r="G138" s="455"/>
      <c r="H138" s="455"/>
      <c r="I138" s="455"/>
      <c r="J138" s="455"/>
      <c r="K138" s="455"/>
      <c r="L138" s="455"/>
      <c r="M138" s="455"/>
      <c r="N138" s="456"/>
    </row>
    <row r="139" spans="1:14" x14ac:dyDescent="0.2">
      <c r="A139" s="105"/>
      <c r="B139" s="107"/>
      <c r="C139" s="455"/>
      <c r="D139" s="455"/>
      <c r="E139" s="455"/>
      <c r="F139" s="455"/>
      <c r="G139" s="455"/>
      <c r="H139" s="455"/>
      <c r="I139" s="455"/>
      <c r="J139" s="455"/>
      <c r="K139" s="455"/>
      <c r="L139" s="455"/>
      <c r="M139" s="455"/>
      <c r="N139" s="456"/>
    </row>
    <row r="140" spans="1:14" x14ac:dyDescent="0.2">
      <c r="A140" s="105"/>
      <c r="B140" s="107" t="s">
        <v>426</v>
      </c>
      <c r="C140" s="98"/>
      <c r="D140" s="98"/>
      <c r="E140" s="99"/>
      <c r="F140" s="99"/>
      <c r="G140" s="99"/>
      <c r="H140" s="99"/>
      <c r="I140" s="99"/>
      <c r="J140" s="99"/>
      <c r="K140" s="99"/>
      <c r="L140" s="99"/>
      <c r="M140" s="99"/>
      <c r="N140" s="90"/>
    </row>
    <row r="141" spans="1:14" ht="13.5" thickBot="1" x14ac:dyDescent="0.25">
      <c r="A141" s="108"/>
      <c r="B141" s="118" t="s">
        <v>430</v>
      </c>
      <c r="C141" s="109"/>
      <c r="D141" s="109"/>
      <c r="E141" s="110"/>
      <c r="F141" s="110"/>
      <c r="G141" s="110"/>
      <c r="H141" s="110"/>
      <c r="I141" s="110"/>
      <c r="J141" s="110"/>
      <c r="K141" s="110"/>
      <c r="L141" s="110"/>
      <c r="M141" s="110"/>
      <c r="N141" s="93"/>
    </row>
    <row r="142" spans="1:14" x14ac:dyDescent="0.2">
      <c r="A142" s="101"/>
      <c r="B142" s="102" t="s">
        <v>263</v>
      </c>
      <c r="C142" s="102"/>
      <c r="D142" s="102"/>
      <c r="E142" s="103"/>
      <c r="F142" s="103"/>
      <c r="G142" s="103"/>
      <c r="H142" s="103"/>
      <c r="I142" s="103"/>
      <c r="J142" s="114" t="s">
        <v>800</v>
      </c>
      <c r="K142" s="113" t="s">
        <v>198</v>
      </c>
      <c r="L142" s="113" t="s">
        <v>934</v>
      </c>
      <c r="M142" s="113"/>
      <c r="N142" s="113"/>
    </row>
    <row r="143" spans="1:14" ht="13.5" thickBot="1" x14ac:dyDescent="0.25">
      <c r="A143" s="108"/>
      <c r="B143" s="109"/>
      <c r="C143" s="109"/>
      <c r="D143" s="109"/>
      <c r="E143" s="110"/>
      <c r="F143" s="110"/>
      <c r="G143" s="110"/>
      <c r="H143" s="110"/>
      <c r="I143" s="110"/>
      <c r="J143" s="112" t="s">
        <v>1568</v>
      </c>
      <c r="K143" s="94" t="s">
        <v>1223</v>
      </c>
      <c r="L143" s="94" t="s">
        <v>801</v>
      </c>
      <c r="M143" s="94" t="s">
        <v>935</v>
      </c>
      <c r="N143" s="94"/>
    </row>
    <row r="144" spans="1:14" x14ac:dyDescent="0.2">
      <c r="A144" s="101"/>
      <c r="B144" s="448" t="s">
        <v>67</v>
      </c>
      <c r="C144" s="448"/>
      <c r="D144" s="448"/>
      <c r="E144" s="103"/>
      <c r="F144" s="103" t="s">
        <v>1180</v>
      </c>
      <c r="G144" s="103" t="s">
        <v>68</v>
      </c>
      <c r="H144" s="103" t="s">
        <v>702</v>
      </c>
      <c r="I144" s="103"/>
      <c r="J144" s="89">
        <f>79/ATHENS!O1*ATHENS!O2</f>
        <v>161.22448979591837</v>
      </c>
      <c r="K144" s="89">
        <f>106/ATHENS!O1*ATHENS!O2</f>
        <v>216.32653061224491</v>
      </c>
      <c r="L144" s="89">
        <f>127/ATHENS!O1*ATHENS!O2</f>
        <v>259.18367346938777</v>
      </c>
      <c r="M144" s="89">
        <f>148/ATHENS!O1*ATHENS!O2</f>
        <v>302.0408163265306</v>
      </c>
      <c r="N144" s="113"/>
    </row>
    <row r="145" spans="1:14" x14ac:dyDescent="0.2">
      <c r="A145" s="105"/>
      <c r="B145" s="443" t="s">
        <v>67</v>
      </c>
      <c r="C145" s="443"/>
      <c r="D145" s="443"/>
      <c r="E145" s="99"/>
      <c r="F145" s="99" t="s">
        <v>1181</v>
      </c>
      <c r="G145" s="99" t="s">
        <v>68</v>
      </c>
      <c r="H145" s="99" t="s">
        <v>702</v>
      </c>
      <c r="I145" s="99"/>
      <c r="J145" s="89">
        <f>50/ATHENS!O1*ATHENS!O2</f>
        <v>102.04081632653062</v>
      </c>
      <c r="K145" s="89">
        <f>66/ATHENS!O1*ATHENS!O2</f>
        <v>134.69387755102042</v>
      </c>
      <c r="L145" s="89">
        <f>79/ATHENS!O1*ATHENS!O2</f>
        <v>161.22448979591837</v>
      </c>
      <c r="M145" s="89">
        <f>93/ATHENS!O1*ATHENS!O2</f>
        <v>189.79591836734693</v>
      </c>
      <c r="N145" s="89"/>
    </row>
    <row r="146" spans="1:14" ht="13.5" thickBot="1" x14ac:dyDescent="0.25">
      <c r="A146" s="108"/>
      <c r="B146" s="436" t="s">
        <v>67</v>
      </c>
      <c r="C146" s="436"/>
      <c r="D146" s="436"/>
      <c r="E146" s="110"/>
      <c r="F146" s="110" t="s">
        <v>1182</v>
      </c>
      <c r="G146" s="110" t="s">
        <v>68</v>
      </c>
      <c r="H146" s="110" t="s">
        <v>702</v>
      </c>
      <c r="I146" s="110"/>
      <c r="J146" s="94">
        <f>42/ATHENS!O1*ATHENS!O2</f>
        <v>85.714285714285722</v>
      </c>
      <c r="K146" s="94">
        <f>55/ATHENS!O1*ATHENS!O2</f>
        <v>112.24489795918367</v>
      </c>
      <c r="L146" s="94">
        <f>66/ATHENS!O1*ATHENS!O2</f>
        <v>134.69387755102042</v>
      </c>
      <c r="M146" s="94">
        <f>77/ATHENS!O1*ATHENS!O2</f>
        <v>157.14285714285714</v>
      </c>
      <c r="N146" s="94"/>
    </row>
    <row r="147" spans="1:14" ht="13.5" thickBot="1" x14ac:dyDescent="0.25">
      <c r="A147" s="97"/>
      <c r="B147" s="98"/>
      <c r="C147" s="98"/>
      <c r="D147" s="98"/>
      <c r="E147" s="99"/>
      <c r="F147" s="99"/>
      <c r="G147" s="99"/>
      <c r="H147" s="99"/>
      <c r="I147" s="99"/>
      <c r="J147" s="99"/>
      <c r="K147" s="99"/>
      <c r="L147" s="99"/>
      <c r="M147" s="99"/>
      <c r="N147" s="99"/>
    </row>
    <row r="148" spans="1:14" ht="13.5" thickBot="1" x14ac:dyDescent="0.25">
      <c r="A148" s="101"/>
      <c r="B148" s="102"/>
      <c r="C148" s="102"/>
      <c r="D148" s="102"/>
      <c r="E148" s="103"/>
      <c r="F148" s="103"/>
      <c r="G148" s="103"/>
      <c r="H148" s="103"/>
      <c r="I148" s="103"/>
      <c r="J148" s="103"/>
      <c r="K148" s="103"/>
      <c r="L148" s="103"/>
      <c r="M148" s="103"/>
      <c r="N148" s="104"/>
    </row>
    <row r="149" spans="1:14" ht="15.75" thickBot="1" x14ac:dyDescent="0.25">
      <c r="A149" s="105"/>
      <c r="B149" s="459" t="s">
        <v>293</v>
      </c>
      <c r="C149" s="460"/>
      <c r="D149" s="460"/>
      <c r="E149" s="460"/>
      <c r="F149" s="460"/>
      <c r="G149" s="460"/>
      <c r="H149" s="460"/>
      <c r="I149" s="460"/>
      <c r="J149" s="460"/>
      <c r="K149" s="460"/>
      <c r="L149" s="460"/>
      <c r="M149" s="461"/>
      <c r="N149" s="106" t="s">
        <v>96</v>
      </c>
    </row>
    <row r="150" spans="1:14" x14ac:dyDescent="0.2">
      <c r="A150" s="105"/>
      <c r="B150" s="107" t="s">
        <v>428</v>
      </c>
      <c r="C150" s="98" t="s">
        <v>1068</v>
      </c>
      <c r="D150" s="98"/>
      <c r="E150" s="99"/>
      <c r="F150" s="99"/>
      <c r="G150" s="99"/>
      <c r="H150" s="99"/>
      <c r="I150" s="99"/>
      <c r="J150" s="99"/>
      <c r="K150" s="99"/>
      <c r="L150" s="99"/>
      <c r="M150" s="99"/>
      <c r="N150" s="90"/>
    </row>
    <row r="151" spans="1:14" x14ac:dyDescent="0.2">
      <c r="A151" s="105"/>
      <c r="B151" s="107" t="s">
        <v>429</v>
      </c>
      <c r="C151" s="98" t="s">
        <v>1069</v>
      </c>
      <c r="D151" s="98"/>
      <c r="E151" s="99"/>
      <c r="F151" s="99"/>
      <c r="G151" s="99"/>
      <c r="H151" s="99"/>
      <c r="I151" s="99"/>
      <c r="J151" s="99"/>
      <c r="K151" s="99"/>
      <c r="L151" s="99"/>
      <c r="M151" s="99"/>
      <c r="N151" s="90"/>
    </row>
    <row r="152" spans="1:14" x14ac:dyDescent="0.2">
      <c r="A152" s="105"/>
      <c r="B152" s="107" t="s">
        <v>427</v>
      </c>
      <c r="C152" s="455" t="s">
        <v>1230</v>
      </c>
      <c r="D152" s="455"/>
      <c r="E152" s="455"/>
      <c r="F152" s="455"/>
      <c r="G152" s="455"/>
      <c r="H152" s="455"/>
      <c r="I152" s="455"/>
      <c r="J152" s="455"/>
      <c r="K152" s="455"/>
      <c r="L152" s="455"/>
      <c r="M152" s="455"/>
      <c r="N152" s="456"/>
    </row>
    <row r="153" spans="1:14" x14ac:dyDescent="0.2">
      <c r="A153" s="105"/>
      <c r="B153" s="107"/>
      <c r="C153" s="455"/>
      <c r="D153" s="455"/>
      <c r="E153" s="455"/>
      <c r="F153" s="455"/>
      <c r="G153" s="455"/>
      <c r="H153" s="455"/>
      <c r="I153" s="455"/>
      <c r="J153" s="455"/>
      <c r="K153" s="455"/>
      <c r="L153" s="455"/>
      <c r="M153" s="455"/>
      <c r="N153" s="456"/>
    </row>
    <row r="154" spans="1:14" x14ac:dyDescent="0.2">
      <c r="A154" s="105"/>
      <c r="B154" s="107"/>
      <c r="C154" s="455"/>
      <c r="D154" s="455"/>
      <c r="E154" s="455"/>
      <c r="F154" s="455"/>
      <c r="G154" s="455"/>
      <c r="H154" s="455"/>
      <c r="I154" s="455"/>
      <c r="J154" s="455"/>
      <c r="K154" s="455"/>
      <c r="L154" s="455"/>
      <c r="M154" s="455"/>
      <c r="N154" s="456"/>
    </row>
    <row r="155" spans="1:14" x14ac:dyDescent="0.2">
      <c r="A155" s="105"/>
      <c r="B155" s="107" t="s">
        <v>426</v>
      </c>
      <c r="C155" s="98" t="s">
        <v>457</v>
      </c>
      <c r="D155" s="98"/>
      <c r="E155" s="99"/>
      <c r="F155" s="99"/>
      <c r="G155" s="99"/>
      <c r="H155" s="99"/>
      <c r="I155" s="99"/>
      <c r="J155" s="99"/>
      <c r="K155" s="99"/>
      <c r="L155" s="99"/>
      <c r="M155" s="99"/>
      <c r="N155" s="90"/>
    </row>
    <row r="156" spans="1:14" ht="13.5" thickBot="1" x14ac:dyDescent="0.25">
      <c r="A156" s="108"/>
      <c r="B156" s="118" t="s">
        <v>430</v>
      </c>
      <c r="C156" s="109"/>
      <c r="D156" s="109"/>
      <c r="E156" s="110"/>
      <c r="F156" s="110"/>
      <c r="G156" s="110"/>
      <c r="H156" s="110"/>
      <c r="I156" s="110"/>
      <c r="J156" s="110"/>
      <c r="K156" s="110"/>
      <c r="L156" s="110"/>
      <c r="M156" s="110"/>
      <c r="N156" s="93"/>
    </row>
    <row r="157" spans="1:14" x14ac:dyDescent="0.2">
      <c r="A157" s="101"/>
      <c r="B157" s="102" t="s">
        <v>263</v>
      </c>
      <c r="C157" s="102"/>
      <c r="D157" s="102"/>
      <c r="E157" s="103"/>
      <c r="F157" s="103"/>
      <c r="G157" s="103"/>
      <c r="H157" s="103"/>
      <c r="I157" s="103"/>
      <c r="J157" s="113" t="s">
        <v>1983</v>
      </c>
      <c r="K157" s="113"/>
      <c r="L157" s="113" t="s">
        <v>1341</v>
      </c>
      <c r="M157" s="113"/>
      <c r="N157" s="113"/>
    </row>
    <row r="158" spans="1:14" ht="13.5" thickBot="1" x14ac:dyDescent="0.25">
      <c r="A158" s="108"/>
      <c r="B158" s="109"/>
      <c r="C158" s="109"/>
      <c r="D158" s="109"/>
      <c r="E158" s="110"/>
      <c r="F158" s="110"/>
      <c r="I158" s="110"/>
      <c r="J158" s="94" t="s">
        <v>481</v>
      </c>
      <c r="K158" s="94" t="s">
        <v>279</v>
      </c>
      <c r="L158" s="94" t="s">
        <v>832</v>
      </c>
      <c r="M158" s="94" t="s">
        <v>123</v>
      </c>
      <c r="N158" s="94"/>
    </row>
    <row r="159" spans="1:14" x14ac:dyDescent="0.2">
      <c r="A159" s="101"/>
      <c r="B159" s="102" t="s">
        <v>67</v>
      </c>
      <c r="C159" s="102"/>
      <c r="D159" s="102"/>
      <c r="E159" s="103"/>
      <c r="F159" s="103" t="s">
        <v>1180</v>
      </c>
      <c r="G159" s="103" t="s">
        <v>68</v>
      </c>
      <c r="H159" s="103" t="s">
        <v>702</v>
      </c>
      <c r="I159" s="104"/>
      <c r="J159" s="89">
        <f>43/ATHENS!O1*ATHENS!O2</f>
        <v>87.755102040816325</v>
      </c>
      <c r="K159" s="89">
        <f>55/ATHENS!O1*ATHENS!O2</f>
        <v>112.24489795918367</v>
      </c>
      <c r="L159" s="89">
        <f>80/ATHENS!O1*ATHENS!O2</f>
        <v>163.26530612244898</v>
      </c>
      <c r="M159" s="89">
        <f>95/ATHENS!O1*ATHENS!O2</f>
        <v>193.87755102040816</v>
      </c>
      <c r="N159" s="89"/>
    </row>
    <row r="160" spans="1:14" x14ac:dyDescent="0.2">
      <c r="A160" s="105"/>
      <c r="B160" s="443" t="s">
        <v>67</v>
      </c>
      <c r="C160" s="443"/>
      <c r="D160" s="443"/>
      <c r="E160" s="99"/>
      <c r="F160" s="99" t="s">
        <v>1181</v>
      </c>
      <c r="G160" s="99" t="s">
        <v>68</v>
      </c>
      <c r="H160" s="99" t="s">
        <v>702</v>
      </c>
      <c r="I160" s="99"/>
      <c r="J160" s="89">
        <f>27/ATHENS!O1*ATHENS!O2</f>
        <v>55.102040816326529</v>
      </c>
      <c r="K160" s="89">
        <f>35/ATHENS!O1*ATHENS!O2</f>
        <v>71.428571428571431</v>
      </c>
      <c r="L160" s="89">
        <f>50/ATHENS!O1*ATHENS!O2</f>
        <v>102.04081632653062</v>
      </c>
      <c r="M160" s="89">
        <f>60/ATHENS!O1*ATHENS!O2</f>
        <v>122.44897959183673</v>
      </c>
      <c r="N160" s="89"/>
    </row>
    <row r="161" spans="1:14" x14ac:dyDescent="0.2">
      <c r="A161" s="105"/>
      <c r="B161" s="443" t="s">
        <v>67</v>
      </c>
      <c r="C161" s="443"/>
      <c r="D161" s="443"/>
      <c r="E161" s="99"/>
      <c r="F161" s="99" t="s">
        <v>1182</v>
      </c>
      <c r="G161" s="99" t="s">
        <v>68</v>
      </c>
      <c r="H161" s="99" t="s">
        <v>702</v>
      </c>
      <c r="I161" s="99"/>
      <c r="J161" s="89">
        <f>23.5/ATHENS!O1*ATHENS!O2</f>
        <v>47.95918367346939</v>
      </c>
      <c r="K161" s="89">
        <f>31.6/ATHENS!O1*ATHENS!O2</f>
        <v>64.489795918367349</v>
      </c>
      <c r="L161" s="89">
        <f>46.6/ATHENS!O1*ATHENS!O2</f>
        <v>95.102040816326536</v>
      </c>
      <c r="M161" s="89">
        <f>53.5/ATHENS!O1*ATHENS!O2</f>
        <v>109.18367346938776</v>
      </c>
      <c r="N161" s="89"/>
    </row>
    <row r="162" spans="1:14" x14ac:dyDescent="0.2">
      <c r="A162" s="105"/>
      <c r="B162" s="98" t="s">
        <v>829</v>
      </c>
      <c r="C162" s="98"/>
      <c r="D162" s="98"/>
      <c r="E162" s="99"/>
      <c r="F162" s="99" t="s">
        <v>1180</v>
      </c>
      <c r="G162" s="99" t="s">
        <v>68</v>
      </c>
      <c r="H162" s="99" t="s">
        <v>702</v>
      </c>
      <c r="I162" s="99"/>
      <c r="J162" s="89">
        <f>48/ATHENS!O1*ATHENS!O2</f>
        <v>97.959183673469383</v>
      </c>
      <c r="K162" s="89">
        <f>60/ATHENS!O1*ATHENS!O2</f>
        <v>122.44897959183673</v>
      </c>
      <c r="L162" s="89">
        <f>85/ATHENS!O1*ATHENS!O2</f>
        <v>173.46938775510205</v>
      </c>
      <c r="M162" s="89">
        <f>100/ATHENS!O1*ATHENS!O2</f>
        <v>204.08163265306123</v>
      </c>
      <c r="N162" s="89"/>
    </row>
    <row r="163" spans="1:14" x14ac:dyDescent="0.2">
      <c r="A163" s="105"/>
      <c r="B163" s="98" t="s">
        <v>829</v>
      </c>
      <c r="C163" s="98"/>
      <c r="D163" s="98"/>
      <c r="E163" s="99"/>
      <c r="F163" s="99" t="s">
        <v>1181</v>
      </c>
      <c r="G163" s="99" t="s">
        <v>68</v>
      </c>
      <c r="H163" s="99" t="s">
        <v>702</v>
      </c>
      <c r="I163" s="99"/>
      <c r="J163" s="89">
        <f>29.5/ATHENS!O1*ATHENS!O2</f>
        <v>60.204081632653065</v>
      </c>
      <c r="K163" s="89">
        <f>37.5/ATHENS!O1*ATHENS!O2</f>
        <v>76.530612244897966</v>
      </c>
      <c r="L163" s="89">
        <f>52.5/ATHENS!O1*ATHENS!O2</f>
        <v>107.14285714285714</v>
      </c>
      <c r="M163" s="89">
        <f>62.5/ATHENS!O1*ATHENS!O2</f>
        <v>127.55102040816327</v>
      </c>
      <c r="N163" s="89"/>
    </row>
    <row r="164" spans="1:14" ht="13.5" thickBot="1" x14ac:dyDescent="0.25">
      <c r="A164" s="108"/>
      <c r="B164" s="436" t="s">
        <v>829</v>
      </c>
      <c r="C164" s="436"/>
      <c r="D164" s="436"/>
      <c r="E164" s="110"/>
      <c r="F164" s="110" t="s">
        <v>1182</v>
      </c>
      <c r="G164" s="110" t="s">
        <v>68</v>
      </c>
      <c r="H164" s="110" t="s">
        <v>702</v>
      </c>
      <c r="I164" s="110"/>
      <c r="J164" s="94">
        <f>26.6/ATHENS!O1*ATHENS!O2</f>
        <v>54.285714285714292</v>
      </c>
      <c r="K164" s="94">
        <f>33.5/ATHENS!O1*ATHENS!O2</f>
        <v>68.367346938775512</v>
      </c>
      <c r="L164" s="94">
        <f>48.5/ATHENS!O1*ATHENS!O2</f>
        <v>98.979591836734699</v>
      </c>
      <c r="M164" s="94">
        <f>55/ATHENS!O1*ATHENS!O2</f>
        <v>112.24489795918367</v>
      </c>
      <c r="N164" s="94"/>
    </row>
    <row r="165" spans="1:14" ht="13.5" thickBot="1" x14ac:dyDescent="0.25">
      <c r="A165" s="97"/>
      <c r="B165" s="98"/>
      <c r="C165" s="98"/>
      <c r="D165" s="98"/>
      <c r="E165" s="99"/>
      <c r="F165" s="99"/>
      <c r="G165" s="99"/>
      <c r="H165" s="99"/>
      <c r="I165" s="99"/>
      <c r="J165" s="99"/>
      <c r="K165" s="99"/>
      <c r="L165" s="99"/>
      <c r="M165" s="99"/>
      <c r="N165" s="99"/>
    </row>
    <row r="166" spans="1:14" ht="13.5" thickBot="1" x14ac:dyDescent="0.25">
      <c r="A166" s="101"/>
      <c r="B166" s="102"/>
      <c r="C166" s="102"/>
      <c r="D166" s="102"/>
      <c r="E166" s="103"/>
      <c r="F166" s="103"/>
      <c r="G166" s="103"/>
      <c r="H166" s="103"/>
      <c r="I166" s="103"/>
      <c r="J166" s="103"/>
      <c r="K166" s="103"/>
      <c r="L166" s="103"/>
      <c r="M166" s="103"/>
      <c r="N166" s="104"/>
    </row>
    <row r="167" spans="1:14" ht="15.75" thickBot="1" x14ac:dyDescent="0.25">
      <c r="A167" s="105"/>
      <c r="B167" s="459" t="s">
        <v>741</v>
      </c>
      <c r="C167" s="460"/>
      <c r="D167" s="460"/>
      <c r="E167" s="460"/>
      <c r="F167" s="460"/>
      <c r="G167" s="460"/>
      <c r="H167" s="460"/>
      <c r="I167" s="460"/>
      <c r="J167" s="460"/>
      <c r="K167" s="460"/>
      <c r="L167" s="460"/>
      <c r="M167" s="461"/>
      <c r="N167" s="106" t="s">
        <v>96</v>
      </c>
    </row>
    <row r="168" spans="1:14" x14ac:dyDescent="0.2">
      <c r="A168" s="105"/>
      <c r="B168" s="107" t="s">
        <v>428</v>
      </c>
      <c r="C168" s="98" t="s">
        <v>1168</v>
      </c>
      <c r="D168" s="98"/>
      <c r="E168" s="99"/>
      <c r="F168" s="99"/>
      <c r="G168" s="99"/>
      <c r="H168" s="99"/>
      <c r="I168" s="99"/>
      <c r="J168" s="99"/>
      <c r="K168" s="99"/>
      <c r="L168" s="99"/>
      <c r="M168" s="99"/>
      <c r="N168" s="90"/>
    </row>
    <row r="169" spans="1:14" x14ac:dyDescent="0.2">
      <c r="A169" s="105"/>
      <c r="B169" s="107" t="s">
        <v>429</v>
      </c>
      <c r="C169" s="98" t="s">
        <v>1007</v>
      </c>
      <c r="D169" s="98"/>
      <c r="E169" s="99"/>
      <c r="F169" s="99"/>
      <c r="G169" s="99"/>
      <c r="H169" s="99"/>
      <c r="I169" s="99"/>
      <c r="J169" s="99"/>
      <c r="K169" s="99"/>
      <c r="L169" s="99"/>
      <c r="M169" s="99"/>
      <c r="N169" s="90"/>
    </row>
    <row r="170" spans="1:14" x14ac:dyDescent="0.2">
      <c r="A170" s="105"/>
      <c r="B170" s="107" t="s">
        <v>427</v>
      </c>
      <c r="C170" s="455" t="s">
        <v>1231</v>
      </c>
      <c r="D170" s="455"/>
      <c r="E170" s="455"/>
      <c r="F170" s="455"/>
      <c r="G170" s="455"/>
      <c r="H170" s="455"/>
      <c r="I170" s="455"/>
      <c r="J170" s="455"/>
      <c r="K170" s="455"/>
      <c r="L170" s="455"/>
      <c r="M170" s="455"/>
      <c r="N170" s="456"/>
    </row>
    <row r="171" spans="1:14" x14ac:dyDescent="0.2">
      <c r="A171" s="105"/>
      <c r="B171" s="107"/>
      <c r="C171" s="455"/>
      <c r="D171" s="455"/>
      <c r="E171" s="455"/>
      <c r="F171" s="455"/>
      <c r="G171" s="455"/>
      <c r="H171" s="455"/>
      <c r="I171" s="455"/>
      <c r="J171" s="455"/>
      <c r="K171" s="455"/>
      <c r="L171" s="455"/>
      <c r="M171" s="455"/>
      <c r="N171" s="456"/>
    </row>
    <row r="172" spans="1:14" x14ac:dyDescent="0.2">
      <c r="A172" s="105"/>
      <c r="B172" s="107"/>
      <c r="C172" s="455"/>
      <c r="D172" s="455"/>
      <c r="E172" s="455"/>
      <c r="F172" s="455"/>
      <c r="G172" s="455"/>
      <c r="H172" s="455"/>
      <c r="I172" s="455"/>
      <c r="J172" s="455"/>
      <c r="K172" s="455"/>
      <c r="L172" s="455"/>
      <c r="M172" s="455"/>
      <c r="N172" s="456"/>
    </row>
    <row r="173" spans="1:14" x14ac:dyDescent="0.2">
      <c r="A173" s="105"/>
      <c r="B173" s="107"/>
      <c r="C173" s="455"/>
      <c r="D173" s="455"/>
      <c r="E173" s="455"/>
      <c r="F173" s="455"/>
      <c r="G173" s="455"/>
      <c r="H173" s="455"/>
      <c r="I173" s="455"/>
      <c r="J173" s="455"/>
      <c r="K173" s="455"/>
      <c r="L173" s="455"/>
      <c r="M173" s="455"/>
      <c r="N173" s="456"/>
    </row>
    <row r="174" spans="1:14" x14ac:dyDescent="0.2">
      <c r="A174" s="105"/>
      <c r="B174" s="98"/>
      <c r="C174" s="455"/>
      <c r="D174" s="455"/>
      <c r="E174" s="455"/>
      <c r="F174" s="455"/>
      <c r="G174" s="455"/>
      <c r="H174" s="455"/>
      <c r="I174" s="455"/>
      <c r="J174" s="455"/>
      <c r="K174" s="455"/>
      <c r="L174" s="455"/>
      <c r="M174" s="455"/>
      <c r="N174" s="456"/>
    </row>
    <row r="175" spans="1:14" x14ac:dyDescent="0.2">
      <c r="A175" s="105"/>
      <c r="B175" s="107" t="s">
        <v>426</v>
      </c>
      <c r="C175" s="98" t="s">
        <v>542</v>
      </c>
      <c r="D175" s="98"/>
      <c r="E175" s="99"/>
      <c r="F175" s="99"/>
      <c r="G175" s="99"/>
      <c r="H175" s="99"/>
      <c r="I175" s="99"/>
      <c r="J175" s="99"/>
      <c r="K175" s="99"/>
      <c r="L175" s="99"/>
      <c r="M175" s="99"/>
      <c r="N175" s="90"/>
    </row>
    <row r="176" spans="1:14" ht="13.5" thickBot="1" x14ac:dyDescent="0.25">
      <c r="A176" s="108"/>
      <c r="B176" s="118" t="s">
        <v>430</v>
      </c>
      <c r="C176" s="109"/>
      <c r="D176" s="109"/>
      <c r="E176" s="110"/>
      <c r="F176" s="110"/>
      <c r="G176" s="110"/>
      <c r="H176" s="110"/>
      <c r="I176" s="110"/>
      <c r="J176" s="110"/>
      <c r="K176" s="110"/>
      <c r="L176" s="110"/>
      <c r="M176" s="110"/>
      <c r="N176" s="93"/>
    </row>
    <row r="177" spans="1:14" x14ac:dyDescent="0.2">
      <c r="A177" s="101"/>
      <c r="B177" s="102" t="s">
        <v>263</v>
      </c>
      <c r="C177" s="102"/>
      <c r="D177" s="102"/>
      <c r="E177" s="103"/>
      <c r="F177" s="103"/>
      <c r="G177" s="103"/>
      <c r="H177" s="103"/>
      <c r="I177" s="103"/>
      <c r="J177" s="113" t="s">
        <v>281</v>
      </c>
      <c r="K177" s="113"/>
      <c r="L177" s="113" t="s">
        <v>228</v>
      </c>
      <c r="M177" s="113"/>
      <c r="N177" s="113"/>
    </row>
    <row r="178" spans="1:14" ht="13.5" thickBot="1" x14ac:dyDescent="0.25">
      <c r="A178" s="108"/>
      <c r="B178" s="109"/>
      <c r="C178" s="109"/>
      <c r="D178" s="109"/>
      <c r="E178" s="110"/>
      <c r="F178" s="110"/>
      <c r="G178" s="110"/>
      <c r="H178" s="110"/>
      <c r="I178" s="110"/>
      <c r="J178" s="94" t="s">
        <v>481</v>
      </c>
      <c r="K178" s="94" t="s">
        <v>279</v>
      </c>
      <c r="L178" s="94" t="s">
        <v>81</v>
      </c>
      <c r="M178" s="94" t="s">
        <v>82</v>
      </c>
      <c r="N178" s="94"/>
    </row>
    <row r="179" spans="1:14" x14ac:dyDescent="0.2">
      <c r="A179" s="101"/>
      <c r="B179" s="448" t="s">
        <v>67</v>
      </c>
      <c r="C179" s="448"/>
      <c r="D179" s="448"/>
      <c r="E179" s="103"/>
      <c r="F179" s="103" t="s">
        <v>1180</v>
      </c>
      <c r="G179" s="103" t="s">
        <v>1484</v>
      </c>
      <c r="H179" s="103" t="s">
        <v>702</v>
      </c>
      <c r="I179" s="103"/>
      <c r="J179" s="89">
        <f>35.67/ATHENS!O1*ATHENS!O2</f>
        <v>72.795918367346943</v>
      </c>
      <c r="K179" s="89">
        <f>61.89/ATHENS!O1*ATHENS!O2</f>
        <v>126.30612244897959</v>
      </c>
      <c r="L179" s="89">
        <f>72.5/ATHENS!O1*ATHENS!O2</f>
        <v>147.9591836734694</v>
      </c>
      <c r="M179" s="89">
        <f>91.8/ATHENS!O1*ATHENS!O2</f>
        <v>187.34693877551021</v>
      </c>
      <c r="N179" s="113"/>
    </row>
    <row r="180" spans="1:14" x14ac:dyDescent="0.2">
      <c r="A180" s="105"/>
      <c r="B180" s="443" t="s">
        <v>67</v>
      </c>
      <c r="C180" s="443"/>
      <c r="D180" s="443"/>
      <c r="E180" s="99"/>
      <c r="F180" s="99" t="s">
        <v>1181</v>
      </c>
      <c r="G180" s="99" t="s">
        <v>1484</v>
      </c>
      <c r="H180" s="99" t="s">
        <v>702</v>
      </c>
      <c r="I180" s="99"/>
      <c r="J180" s="89">
        <f>23.5/ATHENS!O1*ATHENS!O2</f>
        <v>47.95918367346939</v>
      </c>
      <c r="K180" s="89">
        <f>38.5/ATHENS!O1*ATHENS!O2</f>
        <v>78.571428571428569</v>
      </c>
      <c r="L180" s="89">
        <f>44.69/ATHENS!O1*ATHENS!O2</f>
        <v>91.204081632653057</v>
      </c>
      <c r="M180" s="89">
        <f>58.6/ATHENS!O1*ATHENS!O2</f>
        <v>119.59183673469389</v>
      </c>
      <c r="N180" s="89"/>
    </row>
    <row r="181" spans="1:14" ht="13.5" thickBot="1" x14ac:dyDescent="0.25">
      <c r="A181" s="108"/>
      <c r="B181" s="436" t="s">
        <v>67</v>
      </c>
      <c r="C181" s="436"/>
      <c r="D181" s="436"/>
      <c r="E181" s="110"/>
      <c r="F181" s="110" t="s">
        <v>1182</v>
      </c>
      <c r="G181" s="110" t="s">
        <v>1484</v>
      </c>
      <c r="H181" s="110" t="s">
        <v>702</v>
      </c>
      <c r="I181" s="110"/>
      <c r="J181" s="94">
        <f>21.5/ATHENS!O1*ATHENS!O2</f>
        <v>43.877551020408163</v>
      </c>
      <c r="K181" s="94">
        <f>34.65/ATHENS!O1*ATHENS!O2</f>
        <v>70.714285714285708</v>
      </c>
      <c r="L181" s="94">
        <f>40.5/ATHENS!O1*ATHENS!O2</f>
        <v>82.653061224489804</v>
      </c>
      <c r="M181" s="94">
        <f>53.5/ATHENS!O1*ATHENS!O2</f>
        <v>109.18367346938776</v>
      </c>
      <c r="N181" s="94"/>
    </row>
    <row r="182" spans="1:14" x14ac:dyDescent="0.2">
      <c r="A182" s="97"/>
      <c r="B182" s="98"/>
      <c r="C182" s="98"/>
      <c r="D182" s="98"/>
      <c r="E182" s="99"/>
      <c r="F182" s="99"/>
      <c r="G182" s="99"/>
      <c r="H182" s="99"/>
      <c r="I182" s="99"/>
      <c r="J182" s="99"/>
      <c r="K182" s="99"/>
      <c r="L182" s="99"/>
      <c r="M182" s="99"/>
      <c r="N182" s="99"/>
    </row>
    <row r="183" spans="1:14" ht="13.5" thickBot="1" x14ac:dyDescent="0.25">
      <c r="A183" s="97"/>
      <c r="B183" s="98"/>
      <c r="C183" s="98"/>
      <c r="D183" s="98"/>
      <c r="E183" s="99"/>
      <c r="F183" s="99"/>
      <c r="G183" s="99"/>
      <c r="H183" s="99"/>
      <c r="I183" s="99"/>
      <c r="J183" s="99"/>
      <c r="K183" s="99"/>
      <c r="L183" s="99"/>
      <c r="M183" s="99"/>
      <c r="N183" s="99"/>
    </row>
    <row r="184" spans="1:14" ht="13.5" thickBot="1" x14ac:dyDescent="0.25">
      <c r="A184" s="101"/>
      <c r="B184" s="102"/>
      <c r="C184" s="102"/>
      <c r="D184" s="102"/>
      <c r="E184" s="103"/>
      <c r="F184" s="103"/>
      <c r="G184" s="103"/>
      <c r="H184" s="103"/>
      <c r="I184" s="103"/>
      <c r="J184" s="103"/>
      <c r="K184" s="103"/>
      <c r="L184" s="103"/>
      <c r="M184" s="103"/>
      <c r="N184" s="104"/>
    </row>
    <row r="185" spans="1:14" ht="15.75" thickBot="1" x14ac:dyDescent="0.25">
      <c r="A185" s="105"/>
      <c r="B185" s="459" t="s">
        <v>194</v>
      </c>
      <c r="C185" s="460"/>
      <c r="D185" s="460"/>
      <c r="E185" s="460"/>
      <c r="F185" s="460"/>
      <c r="G185" s="460"/>
      <c r="H185" s="460"/>
      <c r="I185" s="460"/>
      <c r="J185" s="460"/>
      <c r="K185" s="460"/>
      <c r="L185" s="460"/>
      <c r="M185" s="461"/>
      <c r="N185" s="106" t="s">
        <v>96</v>
      </c>
    </row>
    <row r="186" spans="1:14" x14ac:dyDescent="0.2">
      <c r="A186" s="105"/>
      <c r="B186" s="107" t="s">
        <v>428</v>
      </c>
      <c r="C186" s="98" t="s">
        <v>1168</v>
      </c>
      <c r="D186" s="98"/>
      <c r="E186" s="99"/>
      <c r="F186" s="99"/>
      <c r="G186" s="99"/>
      <c r="H186" s="99"/>
      <c r="I186" s="99"/>
      <c r="J186" s="99"/>
      <c r="K186" s="99"/>
      <c r="L186" s="99"/>
      <c r="M186" s="99"/>
      <c r="N186" s="90"/>
    </row>
    <row r="187" spans="1:14" x14ac:dyDescent="0.2">
      <c r="A187" s="105"/>
      <c r="B187" s="107" t="s">
        <v>429</v>
      </c>
      <c r="C187" s="98" t="s">
        <v>1070</v>
      </c>
      <c r="D187" s="98"/>
      <c r="E187" s="99"/>
      <c r="F187" s="99"/>
      <c r="G187" s="99"/>
      <c r="H187" s="99"/>
      <c r="I187" s="99"/>
      <c r="J187" s="99"/>
      <c r="K187" s="99"/>
      <c r="L187" s="99"/>
      <c r="M187" s="99"/>
      <c r="N187" s="90"/>
    </row>
    <row r="188" spans="1:14" x14ac:dyDescent="0.2">
      <c r="A188" s="105"/>
      <c r="B188" s="107" t="s">
        <v>427</v>
      </c>
      <c r="C188" s="455" t="s">
        <v>1232</v>
      </c>
      <c r="D188" s="455"/>
      <c r="E188" s="455"/>
      <c r="F188" s="455"/>
      <c r="G188" s="455"/>
      <c r="H188" s="455"/>
      <c r="I188" s="455"/>
      <c r="J188" s="455"/>
      <c r="K188" s="455"/>
      <c r="L188" s="455"/>
      <c r="M188" s="455"/>
      <c r="N188" s="456"/>
    </row>
    <row r="189" spans="1:14" x14ac:dyDescent="0.2">
      <c r="A189" s="105"/>
      <c r="B189" s="107"/>
      <c r="C189" s="455"/>
      <c r="D189" s="455"/>
      <c r="E189" s="455"/>
      <c r="F189" s="455"/>
      <c r="G189" s="455"/>
      <c r="H189" s="455"/>
      <c r="I189" s="455"/>
      <c r="J189" s="455"/>
      <c r="K189" s="455"/>
      <c r="L189" s="455"/>
      <c r="M189" s="455"/>
      <c r="N189" s="456"/>
    </row>
    <row r="190" spans="1:14" x14ac:dyDescent="0.2">
      <c r="A190" s="105"/>
      <c r="B190" s="107"/>
      <c r="C190" s="455"/>
      <c r="D190" s="455"/>
      <c r="E190" s="455"/>
      <c r="F190" s="455"/>
      <c r="G190" s="455"/>
      <c r="H190" s="455"/>
      <c r="I190" s="455"/>
      <c r="J190" s="455"/>
      <c r="K190" s="455"/>
      <c r="L190" s="455"/>
      <c r="M190" s="455"/>
      <c r="N190" s="456"/>
    </row>
    <row r="191" spans="1:14" x14ac:dyDescent="0.2">
      <c r="A191" s="105"/>
      <c r="B191" s="107"/>
      <c r="C191" s="455"/>
      <c r="D191" s="455"/>
      <c r="E191" s="455"/>
      <c r="F191" s="455"/>
      <c r="G191" s="455"/>
      <c r="H191" s="455"/>
      <c r="I191" s="455"/>
      <c r="J191" s="455"/>
      <c r="K191" s="455"/>
      <c r="L191" s="455"/>
      <c r="M191" s="455"/>
      <c r="N191" s="456"/>
    </row>
    <row r="192" spans="1:14" x14ac:dyDescent="0.2">
      <c r="A192" s="105"/>
      <c r="B192" s="107"/>
      <c r="C192" s="455"/>
      <c r="D192" s="455"/>
      <c r="E192" s="455"/>
      <c r="F192" s="455"/>
      <c r="G192" s="455"/>
      <c r="H192" s="455"/>
      <c r="I192" s="455"/>
      <c r="J192" s="455"/>
      <c r="K192" s="455"/>
      <c r="L192" s="455"/>
      <c r="M192" s="455"/>
      <c r="N192" s="456"/>
    </row>
    <row r="193" spans="1:14" x14ac:dyDescent="0.2">
      <c r="A193" s="105"/>
      <c r="B193" s="107" t="s">
        <v>426</v>
      </c>
      <c r="C193" s="98" t="s">
        <v>1209</v>
      </c>
      <c r="D193" s="98"/>
      <c r="E193" s="99"/>
      <c r="F193" s="99"/>
      <c r="G193" s="99"/>
      <c r="H193" s="99"/>
      <c r="I193" s="99"/>
      <c r="J193" s="99"/>
      <c r="K193" s="99"/>
      <c r="L193" s="99"/>
      <c r="M193" s="99"/>
      <c r="N193" s="90"/>
    </row>
    <row r="194" spans="1:14" ht="13.5" thickBot="1" x14ac:dyDescent="0.25">
      <c r="A194" s="108"/>
      <c r="B194" s="118" t="s">
        <v>430</v>
      </c>
      <c r="C194" s="109"/>
      <c r="D194" s="109"/>
      <c r="E194" s="110"/>
      <c r="F194" s="110"/>
      <c r="G194" s="110"/>
      <c r="H194" s="110"/>
      <c r="I194" s="110"/>
      <c r="J194" s="110"/>
      <c r="K194" s="110"/>
      <c r="L194" s="110"/>
      <c r="M194" s="110"/>
      <c r="N194" s="93"/>
    </row>
    <row r="195" spans="1:14" x14ac:dyDescent="0.2">
      <c r="A195" s="101"/>
      <c r="B195" s="102" t="s">
        <v>263</v>
      </c>
      <c r="C195" s="102"/>
      <c r="D195" s="102"/>
      <c r="E195" s="103"/>
      <c r="F195" s="103"/>
      <c r="G195" s="103"/>
      <c r="H195" s="103"/>
      <c r="I195" s="103"/>
      <c r="J195" s="114" t="s">
        <v>2013</v>
      </c>
      <c r="K195" s="113" t="s">
        <v>2014</v>
      </c>
      <c r="L195" s="113" t="s">
        <v>2016</v>
      </c>
      <c r="M195" s="113" t="s">
        <v>1878</v>
      </c>
      <c r="N195" s="113"/>
    </row>
    <row r="196" spans="1:14" ht="13.5" thickBot="1" x14ac:dyDescent="0.25">
      <c r="A196" s="108"/>
      <c r="B196" s="109"/>
      <c r="C196" s="109"/>
      <c r="D196" s="109"/>
      <c r="E196" s="110"/>
      <c r="F196" s="110"/>
      <c r="G196" s="110"/>
      <c r="H196" s="110"/>
      <c r="I196" s="110"/>
      <c r="J196" s="112" t="s">
        <v>2015</v>
      </c>
      <c r="K196" s="94" t="s">
        <v>509</v>
      </c>
      <c r="L196" s="94" t="s">
        <v>1397</v>
      </c>
      <c r="M196" s="94" t="s">
        <v>1398</v>
      </c>
      <c r="N196" s="94" t="s">
        <v>2017</v>
      </c>
    </row>
    <row r="197" spans="1:14" x14ac:dyDescent="0.2">
      <c r="A197" s="101"/>
      <c r="B197" s="448" t="s">
        <v>67</v>
      </c>
      <c r="C197" s="448"/>
      <c r="D197" s="448"/>
      <c r="E197" s="103"/>
      <c r="F197" s="103" t="s">
        <v>1180</v>
      </c>
      <c r="G197" s="103" t="s">
        <v>68</v>
      </c>
      <c r="H197" s="103" t="s">
        <v>702</v>
      </c>
      <c r="I197" s="103"/>
      <c r="J197" s="89">
        <f>27.5/ATHENS!O1*ATHENS!O2</f>
        <v>56.122448979591837</v>
      </c>
      <c r="K197" s="89">
        <f>30.87/ATHENS!O1*ATHENS!O2</f>
        <v>63</v>
      </c>
      <c r="L197" s="89">
        <f>44.85/ATHENS!O1*ATHENS!O2</f>
        <v>91.530612244897966</v>
      </c>
      <c r="M197" s="89">
        <f>57.5/ATHENS!O1*ATHENS!O2</f>
        <v>117.34693877551021</v>
      </c>
      <c r="N197" s="113">
        <f>83.5/ATHENS!O1*ATHENS!O2</f>
        <v>170.40816326530611</v>
      </c>
    </row>
    <row r="198" spans="1:14" x14ac:dyDescent="0.2">
      <c r="A198" s="105"/>
      <c r="B198" s="443" t="s">
        <v>67</v>
      </c>
      <c r="C198" s="443"/>
      <c r="D198" s="443"/>
      <c r="E198" s="99"/>
      <c r="F198" s="99" t="s">
        <v>1181</v>
      </c>
      <c r="G198" s="99" t="s">
        <v>68</v>
      </c>
      <c r="H198" s="99" t="s">
        <v>702</v>
      </c>
      <c r="I198" s="99"/>
      <c r="J198" s="89">
        <f>15.75/ATHENS!O1*ATHENS!O2</f>
        <v>32.142857142857146</v>
      </c>
      <c r="K198" s="89">
        <f>19.5/ATHENS!O1*ATHENS!O2</f>
        <v>39.795918367346943</v>
      </c>
      <c r="L198" s="89">
        <f>28.5/ATHENS!O1*ATHENS!O2</f>
        <v>58.163265306122447</v>
      </c>
      <c r="M198" s="89">
        <f>35.9/ATHENS!O1*ATHENS!O2</f>
        <v>73.265306122448976</v>
      </c>
      <c r="N198" s="89">
        <f>52/ATHENS!O1*ATHENS!O2</f>
        <v>106.12244897959184</v>
      </c>
    </row>
    <row r="199" spans="1:14" ht="13.5" thickBot="1" x14ac:dyDescent="0.25">
      <c r="A199" s="108"/>
      <c r="B199" s="436" t="s">
        <v>67</v>
      </c>
      <c r="C199" s="436"/>
      <c r="D199" s="436"/>
      <c r="E199" s="110"/>
      <c r="F199" s="110" t="s">
        <v>1182</v>
      </c>
      <c r="G199" s="110" t="s">
        <v>68</v>
      </c>
      <c r="H199" s="110" t="s">
        <v>702</v>
      </c>
      <c r="I199" s="110"/>
      <c r="J199" s="94">
        <f>15.75/ATHENS!O1*ATHENS!O2</f>
        <v>32.142857142857146</v>
      </c>
      <c r="K199" s="94">
        <f>18/ATHENS!O1*ATHENS!O2</f>
        <v>36.734693877551024</v>
      </c>
      <c r="L199" s="94">
        <f>26.5/ATHENS!O1*ATHENS!O2</f>
        <v>54.081632653061227</v>
      </c>
      <c r="M199" s="94">
        <f>32.5/ATHENS!O1*ATHENS!O2</f>
        <v>66.326530612244895</v>
      </c>
      <c r="N199" s="94">
        <f>46.8/ATHENS!O1*ATHENS!O2</f>
        <v>95.510204081632651</v>
      </c>
    </row>
    <row r="200" spans="1:14" x14ac:dyDescent="0.2">
      <c r="A200" s="97"/>
      <c r="B200" s="98"/>
      <c r="C200" s="98"/>
      <c r="D200" s="98"/>
      <c r="E200" s="99"/>
      <c r="F200" s="99"/>
      <c r="G200" s="99"/>
      <c r="H200" s="99"/>
      <c r="I200" s="99"/>
      <c r="J200" s="99"/>
      <c r="K200" s="99"/>
      <c r="L200" s="99"/>
      <c r="M200" s="99"/>
      <c r="N200" s="99"/>
    </row>
    <row r="201" spans="1:14" ht="13.5" thickBot="1" x14ac:dyDescent="0.25">
      <c r="A201" s="97"/>
      <c r="B201" s="98"/>
      <c r="C201" s="98"/>
      <c r="D201" s="98"/>
      <c r="E201" s="99"/>
      <c r="F201" s="99"/>
      <c r="G201" s="99"/>
      <c r="H201" s="99"/>
      <c r="I201" s="99"/>
      <c r="J201" s="99"/>
      <c r="K201" s="99"/>
      <c r="L201" s="99"/>
      <c r="M201" s="99"/>
      <c r="N201" s="99"/>
    </row>
    <row r="202" spans="1:14" ht="13.5" thickBot="1" x14ac:dyDescent="0.25">
      <c r="A202" s="101"/>
      <c r="B202" s="102"/>
      <c r="C202" s="102"/>
      <c r="D202" s="102"/>
      <c r="E202" s="103"/>
      <c r="F202" s="103"/>
      <c r="G202" s="103"/>
      <c r="H202" s="103"/>
      <c r="I202" s="103"/>
      <c r="J202" s="103"/>
      <c r="K202" s="103"/>
      <c r="L202" s="103"/>
      <c r="M202" s="103"/>
      <c r="N202" s="104"/>
    </row>
    <row r="203" spans="1:14" ht="15.75" thickBot="1" x14ac:dyDescent="0.25">
      <c r="A203" s="105"/>
      <c r="B203" s="459" t="s">
        <v>772</v>
      </c>
      <c r="C203" s="460"/>
      <c r="D203" s="460"/>
      <c r="E203" s="460"/>
      <c r="F203" s="460"/>
      <c r="G203" s="460"/>
      <c r="H203" s="460"/>
      <c r="I203" s="460"/>
      <c r="J203" s="460"/>
      <c r="K203" s="460"/>
      <c r="L203" s="460"/>
      <c r="M203" s="461"/>
      <c r="N203" s="106" t="s">
        <v>96</v>
      </c>
    </row>
    <row r="204" spans="1:14" x14ac:dyDescent="0.2">
      <c r="A204" s="105"/>
      <c r="B204" s="107" t="s">
        <v>428</v>
      </c>
      <c r="C204" s="98" t="s">
        <v>773</v>
      </c>
      <c r="D204" s="98"/>
      <c r="E204" s="99"/>
      <c r="F204" s="99"/>
      <c r="G204" s="99"/>
      <c r="H204" s="99"/>
      <c r="I204" s="99"/>
      <c r="J204" s="99"/>
      <c r="K204" s="99"/>
      <c r="L204" s="99"/>
      <c r="M204" s="99"/>
      <c r="N204" s="90"/>
    </row>
    <row r="205" spans="1:14" x14ac:dyDescent="0.2">
      <c r="A205" s="105"/>
      <c r="B205" s="107" t="s">
        <v>429</v>
      </c>
      <c r="C205" s="98" t="s">
        <v>1009</v>
      </c>
      <c r="D205" s="98"/>
      <c r="E205" s="99"/>
      <c r="F205" s="99"/>
      <c r="G205" s="99"/>
      <c r="H205" s="99"/>
      <c r="I205" s="99"/>
      <c r="J205" s="99"/>
      <c r="K205" s="99"/>
      <c r="L205" s="99"/>
      <c r="M205" s="99"/>
      <c r="N205" s="90"/>
    </row>
    <row r="206" spans="1:14" x14ac:dyDescent="0.2">
      <c r="A206" s="105"/>
      <c r="B206" s="107" t="s">
        <v>427</v>
      </c>
      <c r="C206" s="455" t="s">
        <v>1233</v>
      </c>
      <c r="D206" s="455"/>
      <c r="E206" s="455"/>
      <c r="F206" s="455"/>
      <c r="G206" s="455"/>
      <c r="H206" s="455"/>
      <c r="I206" s="455"/>
      <c r="J206" s="455"/>
      <c r="K206" s="455"/>
      <c r="L206" s="455"/>
      <c r="M206" s="455"/>
      <c r="N206" s="456"/>
    </row>
    <row r="207" spans="1:14" x14ac:dyDescent="0.2">
      <c r="A207" s="105"/>
      <c r="B207" s="107"/>
      <c r="C207" s="455"/>
      <c r="D207" s="455"/>
      <c r="E207" s="455"/>
      <c r="F207" s="455"/>
      <c r="G207" s="455"/>
      <c r="H207" s="455"/>
      <c r="I207" s="455"/>
      <c r="J207" s="455"/>
      <c r="K207" s="455"/>
      <c r="L207" s="455"/>
      <c r="M207" s="455"/>
      <c r="N207" s="456"/>
    </row>
    <row r="208" spans="1:14" x14ac:dyDescent="0.2">
      <c r="A208" s="105"/>
      <c r="B208" s="98"/>
      <c r="C208" s="455"/>
      <c r="D208" s="455"/>
      <c r="E208" s="455"/>
      <c r="F208" s="455"/>
      <c r="G208" s="455"/>
      <c r="H208" s="455"/>
      <c r="I208" s="455"/>
      <c r="J208" s="455"/>
      <c r="K208" s="455"/>
      <c r="L208" s="455"/>
      <c r="M208" s="455"/>
      <c r="N208" s="456"/>
    </row>
    <row r="209" spans="1:14" x14ac:dyDescent="0.2">
      <c r="A209" s="105"/>
      <c r="B209" s="107" t="s">
        <v>426</v>
      </c>
      <c r="C209" s="98" t="s">
        <v>774</v>
      </c>
      <c r="D209" s="98"/>
      <c r="E209" s="99"/>
      <c r="F209" s="99"/>
      <c r="G209" s="99"/>
      <c r="H209" s="99"/>
      <c r="I209" s="99"/>
      <c r="J209" s="99"/>
      <c r="K209" s="99"/>
      <c r="L209" s="99"/>
      <c r="M209" s="99"/>
      <c r="N209" s="90"/>
    </row>
    <row r="210" spans="1:14" x14ac:dyDescent="0.2">
      <c r="A210" s="105"/>
      <c r="B210" s="107"/>
      <c r="C210" s="98" t="s">
        <v>1455</v>
      </c>
      <c r="D210" s="98"/>
      <c r="E210" s="99"/>
      <c r="F210" s="99"/>
      <c r="G210" s="99"/>
      <c r="H210" s="99"/>
      <c r="I210" s="99"/>
      <c r="J210" s="99"/>
      <c r="K210" s="99"/>
      <c r="L210" s="99"/>
      <c r="M210" s="99"/>
      <c r="N210" s="90"/>
    </row>
    <row r="211" spans="1:14" ht="13.5" thickBot="1" x14ac:dyDescent="0.25">
      <c r="A211" s="108"/>
      <c r="B211" s="107" t="s">
        <v>430</v>
      </c>
      <c r="C211" s="109"/>
      <c r="D211" s="109"/>
      <c r="E211" s="110"/>
      <c r="F211" s="110"/>
      <c r="G211" s="110"/>
      <c r="H211" s="110"/>
      <c r="I211" s="110"/>
      <c r="J211" s="110"/>
      <c r="K211" s="110"/>
      <c r="L211" s="110"/>
      <c r="M211" s="110"/>
      <c r="N211" s="93"/>
    </row>
    <row r="212" spans="1:14" x14ac:dyDescent="0.2">
      <c r="A212" s="101"/>
      <c r="B212" s="102" t="s">
        <v>263</v>
      </c>
      <c r="C212" s="102"/>
      <c r="D212" s="102"/>
      <c r="E212" s="103"/>
      <c r="F212" s="103"/>
      <c r="G212" s="103"/>
      <c r="H212" s="103"/>
      <c r="I212" s="103"/>
      <c r="J212" s="114" t="s">
        <v>2207</v>
      </c>
      <c r="K212" s="113" t="s">
        <v>2183</v>
      </c>
      <c r="L212" s="113"/>
      <c r="M212" s="113" t="s">
        <v>820</v>
      </c>
      <c r="N212" s="113"/>
    </row>
    <row r="213" spans="1:14" ht="13.5" thickBot="1" x14ac:dyDescent="0.25">
      <c r="A213" s="108"/>
      <c r="B213" s="109"/>
      <c r="C213" s="109"/>
      <c r="D213" s="109"/>
      <c r="E213" s="110"/>
      <c r="F213" s="110"/>
      <c r="G213" s="110"/>
      <c r="H213" s="110"/>
      <c r="I213" s="110"/>
      <c r="J213" s="112" t="s">
        <v>756</v>
      </c>
      <c r="K213" s="94" t="s">
        <v>282</v>
      </c>
      <c r="L213" s="94" t="s">
        <v>279</v>
      </c>
      <c r="M213" s="94" t="s">
        <v>832</v>
      </c>
      <c r="N213" s="94" t="s">
        <v>1923</v>
      </c>
    </row>
    <row r="214" spans="1:14" x14ac:dyDescent="0.2">
      <c r="A214" s="101"/>
      <c r="B214" s="448" t="s">
        <v>67</v>
      </c>
      <c r="C214" s="448"/>
      <c r="D214" s="448"/>
      <c r="E214" s="103"/>
      <c r="F214" s="103" t="s">
        <v>1180</v>
      </c>
      <c r="G214" s="103" t="s">
        <v>68</v>
      </c>
      <c r="H214" s="103" t="s">
        <v>702</v>
      </c>
      <c r="I214" s="103"/>
      <c r="J214" s="89">
        <f>61/ATHENS!O1*ATHENS!O2</f>
        <v>124.48979591836735</v>
      </c>
      <c r="K214" s="89">
        <f>88/ATHENS!O1*ATHENS!O2</f>
        <v>179.59183673469389</v>
      </c>
      <c r="L214" s="89">
        <f>115/ATHENS!O1*ATHENS!O2</f>
        <v>234.69387755102042</v>
      </c>
      <c r="M214" s="89">
        <f>133/ATHENS!O1*ATHENS!O2</f>
        <v>271.42857142857144</v>
      </c>
      <c r="N214" s="113">
        <f>150/ATHENS!O1*ATHENS!O2</f>
        <v>306.12244897959187</v>
      </c>
    </row>
    <row r="215" spans="1:14" x14ac:dyDescent="0.2">
      <c r="A215" s="105"/>
      <c r="B215" s="443" t="s">
        <v>67</v>
      </c>
      <c r="C215" s="443"/>
      <c r="D215" s="443"/>
      <c r="E215" s="99"/>
      <c r="F215" s="99" t="s">
        <v>1181</v>
      </c>
      <c r="G215" s="99" t="s">
        <v>68</v>
      </c>
      <c r="H215" s="99" t="s">
        <v>702</v>
      </c>
      <c r="I215" s="99"/>
      <c r="J215" s="89">
        <f>36.5/ATHENS!O1*ATHENS!O2</f>
        <v>74.489795918367349</v>
      </c>
      <c r="K215" s="89">
        <f>49/ATHENS!O1*ATHENS!O2</f>
        <v>100</v>
      </c>
      <c r="L215" s="89">
        <f>63.5/ATHENS!O1*ATHENS!O2</f>
        <v>129.59183673469389</v>
      </c>
      <c r="M215" s="89">
        <f>74.5/ATHENS!O1*ATHENS!O2</f>
        <v>152.0408163265306</v>
      </c>
      <c r="N215" s="89">
        <f>84.5/ATHENS!O1*ATHENS!O2</f>
        <v>172.44897959183675</v>
      </c>
    </row>
    <row r="216" spans="1:14" ht="13.5" thickBot="1" x14ac:dyDescent="0.25">
      <c r="A216" s="108"/>
      <c r="B216" s="436" t="s">
        <v>67</v>
      </c>
      <c r="C216" s="436"/>
      <c r="D216" s="436"/>
      <c r="E216" s="110"/>
      <c r="F216" s="110" t="s">
        <v>1182</v>
      </c>
      <c r="G216" s="110" t="s">
        <v>68</v>
      </c>
      <c r="H216" s="110" t="s">
        <v>702</v>
      </c>
      <c r="I216" s="110"/>
      <c r="J216" s="94">
        <f>33/ATHENS!O1*ATHENS!O2</f>
        <v>67.34693877551021</v>
      </c>
      <c r="K216" s="94">
        <f>44/ATHENS!O1*ATHENS!O2</f>
        <v>89.795918367346943</v>
      </c>
      <c r="L216" s="94">
        <f>57.5/ATHENS!O1*ATHENS!O2</f>
        <v>117.34693877551021</v>
      </c>
      <c r="M216" s="94">
        <f>67/ATHENS!O1*ATHENS!O2</f>
        <v>136.73469387755102</v>
      </c>
      <c r="N216" s="94">
        <f>76/ATHENS!O1*ATHENS!O2</f>
        <v>155.10204081632654</v>
      </c>
    </row>
    <row r="217" spans="1:14" ht="13.5" thickBot="1" x14ac:dyDescent="0.25">
      <c r="A217" s="97"/>
      <c r="B217" s="98"/>
      <c r="C217" s="98"/>
      <c r="D217" s="98"/>
      <c r="E217" s="99"/>
      <c r="F217" s="99"/>
      <c r="G217" s="99"/>
      <c r="H217" s="99"/>
      <c r="I217" s="99"/>
      <c r="J217" s="99"/>
      <c r="K217" s="99"/>
      <c r="L217" s="99"/>
      <c r="M217" s="99"/>
      <c r="N217" s="99"/>
    </row>
    <row r="218" spans="1:14" ht="13.5" thickBot="1" x14ac:dyDescent="0.25">
      <c r="A218" s="101"/>
      <c r="B218" s="102"/>
      <c r="C218" s="102"/>
      <c r="D218" s="102"/>
      <c r="E218" s="103"/>
      <c r="F218" s="103"/>
      <c r="G218" s="103"/>
      <c r="H218" s="103"/>
      <c r="I218" s="103"/>
      <c r="J218" s="103"/>
      <c r="K218" s="103"/>
      <c r="L218" s="103"/>
      <c r="M218" s="103"/>
      <c r="N218" s="104"/>
    </row>
    <row r="219" spans="1:14" ht="15.75" thickBot="1" x14ac:dyDescent="0.25">
      <c r="A219" s="105"/>
      <c r="B219" s="459" t="s">
        <v>346</v>
      </c>
      <c r="C219" s="460"/>
      <c r="D219" s="460"/>
      <c r="E219" s="460"/>
      <c r="F219" s="460"/>
      <c r="G219" s="460"/>
      <c r="H219" s="460"/>
      <c r="I219" s="460"/>
      <c r="J219" s="460"/>
      <c r="K219" s="460"/>
      <c r="L219" s="460"/>
      <c r="M219" s="461"/>
      <c r="N219" s="106" t="s">
        <v>96</v>
      </c>
    </row>
    <row r="220" spans="1:14" x14ac:dyDescent="0.2">
      <c r="A220" s="105"/>
      <c r="B220" s="107" t="s">
        <v>428</v>
      </c>
      <c r="C220" s="98" t="s">
        <v>1456</v>
      </c>
      <c r="D220" s="98"/>
      <c r="E220" s="99"/>
      <c r="F220" s="99"/>
      <c r="G220" s="99"/>
      <c r="H220" s="99"/>
      <c r="I220" s="99"/>
      <c r="J220" s="99"/>
      <c r="K220" s="99"/>
      <c r="L220" s="99"/>
      <c r="M220" s="99"/>
      <c r="N220" s="90"/>
    </row>
    <row r="221" spans="1:14" x14ac:dyDescent="0.2">
      <c r="A221" s="105"/>
      <c r="B221" s="107" t="s">
        <v>429</v>
      </c>
      <c r="C221" s="98" t="s">
        <v>1010</v>
      </c>
      <c r="D221" s="98"/>
      <c r="E221" s="99"/>
      <c r="F221" s="99"/>
      <c r="G221" s="99"/>
      <c r="H221" s="99"/>
      <c r="I221" s="99"/>
      <c r="J221" s="99"/>
      <c r="K221" s="99"/>
      <c r="L221" s="99"/>
      <c r="M221" s="99"/>
      <c r="N221" s="90"/>
    </row>
    <row r="222" spans="1:14" x14ac:dyDescent="0.2">
      <c r="A222" s="105"/>
      <c r="B222" s="107" t="s">
        <v>427</v>
      </c>
      <c r="C222" s="455" t="s">
        <v>1234</v>
      </c>
      <c r="D222" s="455"/>
      <c r="E222" s="455"/>
      <c r="F222" s="455"/>
      <c r="G222" s="455"/>
      <c r="H222" s="455"/>
      <c r="I222" s="455"/>
      <c r="J222" s="455"/>
      <c r="K222" s="455"/>
      <c r="L222" s="455"/>
      <c r="M222" s="455"/>
      <c r="N222" s="456"/>
    </row>
    <row r="223" spans="1:14" x14ac:dyDescent="0.2">
      <c r="A223" s="105"/>
      <c r="B223" s="107"/>
      <c r="C223" s="455"/>
      <c r="D223" s="455"/>
      <c r="E223" s="455"/>
      <c r="F223" s="455"/>
      <c r="G223" s="455"/>
      <c r="H223" s="455"/>
      <c r="I223" s="455"/>
      <c r="J223" s="455"/>
      <c r="K223" s="455"/>
      <c r="L223" s="455"/>
      <c r="M223" s="455"/>
      <c r="N223" s="456"/>
    </row>
    <row r="224" spans="1:14" x14ac:dyDescent="0.2">
      <c r="A224" s="105"/>
      <c r="B224" s="107"/>
      <c r="C224" s="455"/>
      <c r="D224" s="455"/>
      <c r="E224" s="455"/>
      <c r="F224" s="455"/>
      <c r="G224" s="455"/>
      <c r="H224" s="455"/>
      <c r="I224" s="455"/>
      <c r="J224" s="455"/>
      <c r="K224" s="455"/>
      <c r="L224" s="455"/>
      <c r="M224" s="455"/>
      <c r="N224" s="456"/>
    </row>
    <row r="225" spans="1:14" x14ac:dyDescent="0.2">
      <c r="A225" s="105"/>
      <c r="B225" s="107"/>
      <c r="C225" s="455"/>
      <c r="D225" s="455"/>
      <c r="E225" s="455"/>
      <c r="F225" s="455"/>
      <c r="G225" s="455"/>
      <c r="H225" s="455"/>
      <c r="I225" s="455"/>
      <c r="J225" s="455"/>
      <c r="K225" s="455"/>
      <c r="L225" s="455"/>
      <c r="M225" s="455"/>
      <c r="N225" s="456"/>
    </row>
    <row r="226" spans="1:14" x14ac:dyDescent="0.2">
      <c r="A226" s="105"/>
      <c r="B226" s="98"/>
      <c r="C226" s="455"/>
      <c r="D226" s="455"/>
      <c r="E226" s="455"/>
      <c r="F226" s="455"/>
      <c r="G226" s="455"/>
      <c r="H226" s="455"/>
      <c r="I226" s="455"/>
      <c r="J226" s="455"/>
      <c r="K226" s="455"/>
      <c r="L226" s="455"/>
      <c r="M226" s="455"/>
      <c r="N226" s="456"/>
    </row>
    <row r="227" spans="1:14" x14ac:dyDescent="0.2">
      <c r="A227" s="105"/>
      <c r="B227" s="98"/>
      <c r="C227" s="455"/>
      <c r="D227" s="455"/>
      <c r="E227" s="455"/>
      <c r="F227" s="455"/>
      <c r="G227" s="455"/>
      <c r="H227" s="455"/>
      <c r="I227" s="455"/>
      <c r="J227" s="455"/>
      <c r="K227" s="455"/>
      <c r="L227" s="455"/>
      <c r="M227" s="455"/>
      <c r="N227" s="456"/>
    </row>
    <row r="228" spans="1:14" x14ac:dyDescent="0.2">
      <c r="A228" s="105"/>
      <c r="B228" s="107" t="s">
        <v>426</v>
      </c>
      <c r="C228" s="98" t="s">
        <v>209</v>
      </c>
      <c r="D228" s="98"/>
      <c r="E228" s="99"/>
      <c r="F228" s="99"/>
      <c r="G228" s="99"/>
      <c r="H228" s="99"/>
      <c r="I228" s="99"/>
      <c r="J228" s="99"/>
      <c r="K228" s="99"/>
      <c r="L228" s="99"/>
      <c r="M228" s="99"/>
      <c r="N228" s="90"/>
    </row>
    <row r="229" spans="1:14" ht="13.5" thickBot="1" x14ac:dyDescent="0.25">
      <c r="A229" s="108"/>
      <c r="B229" s="107" t="s">
        <v>430</v>
      </c>
      <c r="C229" s="109" t="s">
        <v>1004</v>
      </c>
      <c r="D229" s="109"/>
      <c r="E229" s="110"/>
      <c r="F229" s="110"/>
      <c r="G229" s="110"/>
      <c r="H229" s="110"/>
      <c r="I229" s="110"/>
      <c r="J229" s="110"/>
      <c r="K229" s="110"/>
      <c r="L229" s="110"/>
      <c r="M229" s="110"/>
      <c r="N229" s="93"/>
    </row>
    <row r="230" spans="1:14" x14ac:dyDescent="0.2">
      <c r="A230" s="101"/>
      <c r="B230" s="102" t="s">
        <v>263</v>
      </c>
      <c r="C230" s="102"/>
      <c r="D230" s="102"/>
      <c r="E230" s="103"/>
      <c r="F230" s="103"/>
      <c r="G230" s="103"/>
      <c r="H230" s="103"/>
      <c r="I230" s="103"/>
      <c r="J230" s="114" t="s">
        <v>339</v>
      </c>
      <c r="K230" s="113" t="s">
        <v>2018</v>
      </c>
      <c r="L230" s="113" t="s">
        <v>2020</v>
      </c>
      <c r="M230" s="113"/>
      <c r="N230" s="113"/>
    </row>
    <row r="231" spans="1:14" ht="13.5" thickBot="1" x14ac:dyDescent="0.25">
      <c r="A231" s="108"/>
      <c r="B231" s="109"/>
      <c r="C231" s="109"/>
      <c r="D231" s="109"/>
      <c r="E231" s="110"/>
      <c r="F231" s="110"/>
      <c r="G231" s="110"/>
      <c r="H231" s="110"/>
      <c r="I231" s="110"/>
      <c r="J231" s="112" t="s">
        <v>2012</v>
      </c>
      <c r="K231" s="94" t="s">
        <v>2019</v>
      </c>
      <c r="L231" s="94" t="s">
        <v>2021</v>
      </c>
      <c r="M231" s="94" t="s">
        <v>2022</v>
      </c>
      <c r="N231" s="94"/>
    </row>
    <row r="232" spans="1:14" x14ac:dyDescent="0.2">
      <c r="A232" s="101"/>
      <c r="B232" s="448" t="s">
        <v>84</v>
      </c>
      <c r="C232" s="448"/>
      <c r="D232" s="448"/>
      <c r="E232" s="103"/>
      <c r="F232" s="103" t="s">
        <v>1180</v>
      </c>
      <c r="G232" s="103" t="s">
        <v>1484</v>
      </c>
      <c r="H232" s="103" t="s">
        <v>702</v>
      </c>
      <c r="I232" s="103"/>
      <c r="J232" s="89">
        <f>57.5/ATHENS!O1*ATHENS!O2</f>
        <v>117.34693877551021</v>
      </c>
      <c r="K232" s="89">
        <f>81.5/ATHENS!O1*ATHENS!O2</f>
        <v>166.32653061224491</v>
      </c>
      <c r="L232" s="89">
        <f>95.8/ATHENS!O1*ATHENS!O2</f>
        <v>195.51020408163265</v>
      </c>
      <c r="M232" s="89">
        <f>133.95/ATHENS!O1*ATHENS!O2</f>
        <v>273.36734693877548</v>
      </c>
      <c r="N232" s="113"/>
    </row>
    <row r="233" spans="1:14" x14ac:dyDescent="0.2">
      <c r="A233" s="105"/>
      <c r="B233" s="443" t="s">
        <v>84</v>
      </c>
      <c r="C233" s="443"/>
      <c r="D233" s="443"/>
      <c r="E233" s="99"/>
      <c r="F233" s="99" t="s">
        <v>1181</v>
      </c>
      <c r="G233" s="99" t="s">
        <v>1484</v>
      </c>
      <c r="H233" s="99" t="s">
        <v>702</v>
      </c>
      <c r="I233" s="99"/>
      <c r="J233" s="89">
        <f>39.5/ATHENS!O1*ATHENS!O2</f>
        <v>80.612244897959187</v>
      </c>
      <c r="K233" s="89">
        <f>55.5/ATHENS!O1*ATHENS!O2</f>
        <v>113.26530612244898</v>
      </c>
      <c r="L233" s="89">
        <f>64.5/ATHENS!O1*ATHENS!O2</f>
        <v>131.63265306122449</v>
      </c>
      <c r="M233" s="89">
        <f>88.5/ATHENS!O1*ATHENS!O2</f>
        <v>180.61224489795919</v>
      </c>
      <c r="N233" s="89"/>
    </row>
    <row r="234" spans="1:14" x14ac:dyDescent="0.2">
      <c r="A234" s="105"/>
      <c r="B234" s="443" t="s">
        <v>84</v>
      </c>
      <c r="C234" s="443"/>
      <c r="D234" s="443"/>
      <c r="E234" s="99"/>
      <c r="F234" s="99" t="s">
        <v>1182</v>
      </c>
      <c r="G234" s="99" t="s">
        <v>1484</v>
      </c>
      <c r="H234" s="99" t="s">
        <v>702</v>
      </c>
      <c r="I234" s="99"/>
      <c r="J234" s="89">
        <f>36/ATHENS!O1*ATHENS!O2</f>
        <v>73.469387755102048</v>
      </c>
      <c r="K234" s="89">
        <f>50.5/ATHENS!O1*ATHENS!O2</f>
        <v>103.06122448979592</v>
      </c>
      <c r="L234" s="89">
        <f>58.5/ATHENS!O1*ATHENS!O2</f>
        <v>119.38775510204081</v>
      </c>
      <c r="M234" s="89">
        <f>80.5/ATHENS!O1*ATHENS!O2</f>
        <v>164.28571428571428</v>
      </c>
      <c r="N234" s="89"/>
    </row>
    <row r="235" spans="1:14" x14ac:dyDescent="0.2">
      <c r="A235" s="105"/>
      <c r="B235" s="443" t="s">
        <v>829</v>
      </c>
      <c r="C235" s="443"/>
      <c r="D235" s="443"/>
      <c r="E235" s="99"/>
      <c r="F235" s="99" t="s">
        <v>1181</v>
      </c>
      <c r="G235" s="99" t="s">
        <v>1484</v>
      </c>
      <c r="H235" s="99" t="s">
        <v>702</v>
      </c>
      <c r="I235" s="99"/>
      <c r="J235" s="89">
        <f>42.5/ATHENS!O1*ATHENS!O2</f>
        <v>86.734693877551024</v>
      </c>
      <c r="K235" s="89">
        <f>58.7/ATHENS!O1*ATHENS!O2</f>
        <v>119.79591836734694</v>
      </c>
      <c r="L235" s="89">
        <f>67.7/ATHENS!O1*ATHENS!O2</f>
        <v>138.16326530612247</v>
      </c>
      <c r="M235" s="89">
        <f>91.88/ATHENS!O1*ATHENS!O2</f>
        <v>187.51020408163265</v>
      </c>
      <c r="N235" s="89"/>
    </row>
    <row r="236" spans="1:14" ht="13.5" thickBot="1" x14ac:dyDescent="0.25">
      <c r="A236" s="108"/>
      <c r="B236" s="436" t="s">
        <v>829</v>
      </c>
      <c r="C236" s="436"/>
      <c r="D236" s="436"/>
      <c r="E236" s="110"/>
      <c r="F236" s="110" t="s">
        <v>1182</v>
      </c>
      <c r="G236" s="110" t="s">
        <v>1484</v>
      </c>
      <c r="H236" s="110" t="s">
        <v>702</v>
      </c>
      <c r="I236" s="110"/>
      <c r="J236" s="94">
        <f>38.5/ATHENS!O1*ATHENS!O2</f>
        <v>78.571428571428569</v>
      </c>
      <c r="K236" s="94">
        <f>53.5/ATHENS!O1*ATHENS!O2</f>
        <v>109.18367346938776</v>
      </c>
      <c r="L236" s="94">
        <f>61.5/ATHENS!O1*ATHENS!O2</f>
        <v>125.51020408163265</v>
      </c>
      <c r="M236" s="94">
        <f>82.8/ATHENS!O1*ATHENS!O2</f>
        <v>168.9795918367347</v>
      </c>
      <c r="N236" s="94"/>
    </row>
    <row r="237" spans="1:14" ht="13.5" thickBot="1" x14ac:dyDescent="0.25">
      <c r="A237" s="97"/>
      <c r="B237" s="98"/>
      <c r="C237" s="98"/>
      <c r="D237" s="98"/>
      <c r="E237" s="99"/>
      <c r="F237" s="99"/>
      <c r="G237" s="99"/>
      <c r="H237" s="99"/>
      <c r="I237" s="99"/>
      <c r="J237" s="99"/>
      <c r="K237" s="99"/>
      <c r="L237" s="99"/>
      <c r="M237" s="99"/>
      <c r="N237" s="99"/>
    </row>
    <row r="238" spans="1:14" ht="13.5" thickBot="1" x14ac:dyDescent="0.25">
      <c r="A238" s="101"/>
      <c r="B238" s="102"/>
      <c r="C238" s="102"/>
      <c r="D238" s="102"/>
      <c r="E238" s="103"/>
      <c r="F238" s="103"/>
      <c r="G238" s="103"/>
      <c r="H238" s="103"/>
      <c r="I238" s="103"/>
      <c r="J238" s="103"/>
      <c r="K238" s="103"/>
      <c r="L238" s="103"/>
      <c r="M238" s="103"/>
      <c r="N238" s="104"/>
    </row>
    <row r="239" spans="1:14" ht="15.75" thickBot="1" x14ac:dyDescent="0.25">
      <c r="A239" s="105"/>
      <c r="B239" s="459" t="s">
        <v>1006</v>
      </c>
      <c r="C239" s="460"/>
      <c r="D239" s="460"/>
      <c r="E239" s="460"/>
      <c r="F239" s="460"/>
      <c r="G239" s="460"/>
      <c r="H239" s="460"/>
      <c r="I239" s="460"/>
      <c r="J239" s="460"/>
      <c r="K239" s="460"/>
      <c r="L239" s="460"/>
      <c r="M239" s="461"/>
      <c r="N239" s="106" t="s">
        <v>96</v>
      </c>
    </row>
    <row r="240" spans="1:14" x14ac:dyDescent="0.2">
      <c r="A240" s="105"/>
      <c r="B240" s="107" t="s">
        <v>428</v>
      </c>
      <c r="C240" s="98" t="s">
        <v>1005</v>
      </c>
      <c r="D240" s="98"/>
      <c r="E240" s="99"/>
      <c r="F240" s="99"/>
      <c r="G240" s="99"/>
      <c r="H240" s="99"/>
      <c r="I240" s="99"/>
      <c r="J240" s="99"/>
      <c r="K240" s="99"/>
      <c r="L240" s="99"/>
      <c r="M240" s="99"/>
      <c r="N240" s="90"/>
    </row>
    <row r="241" spans="1:14" x14ac:dyDescent="0.2">
      <c r="A241" s="105"/>
      <c r="B241" s="107" t="s">
        <v>429</v>
      </c>
      <c r="C241" s="98" t="s">
        <v>1011</v>
      </c>
      <c r="D241" s="98"/>
      <c r="E241" s="99"/>
      <c r="F241" s="99"/>
      <c r="G241" s="99"/>
      <c r="H241" s="99"/>
      <c r="I241" s="99"/>
      <c r="J241" s="99"/>
      <c r="K241" s="99"/>
      <c r="L241" s="99"/>
      <c r="M241" s="99"/>
      <c r="N241" s="90"/>
    </row>
    <row r="242" spans="1:14" x14ac:dyDescent="0.2">
      <c r="A242" s="105"/>
      <c r="B242" s="107" t="s">
        <v>427</v>
      </c>
      <c r="C242" s="455" t="s">
        <v>1235</v>
      </c>
      <c r="D242" s="455"/>
      <c r="E242" s="455"/>
      <c r="F242" s="455"/>
      <c r="G242" s="455"/>
      <c r="H242" s="455"/>
      <c r="I242" s="455"/>
      <c r="J242" s="455"/>
      <c r="K242" s="455"/>
      <c r="L242" s="455"/>
      <c r="M242" s="455"/>
      <c r="N242" s="456"/>
    </row>
    <row r="243" spans="1:14" x14ac:dyDescent="0.2">
      <c r="A243" s="105"/>
      <c r="B243" s="98"/>
      <c r="C243" s="455"/>
      <c r="D243" s="455"/>
      <c r="E243" s="455"/>
      <c r="F243" s="455"/>
      <c r="G243" s="455"/>
      <c r="H243" s="455"/>
      <c r="I243" s="455"/>
      <c r="J243" s="455"/>
      <c r="K243" s="455"/>
      <c r="L243" s="455"/>
      <c r="M243" s="455"/>
      <c r="N243" s="456"/>
    </row>
    <row r="244" spans="1:14" x14ac:dyDescent="0.2">
      <c r="A244" s="105"/>
      <c r="B244" s="98"/>
      <c r="C244" s="455"/>
      <c r="D244" s="455"/>
      <c r="E244" s="455"/>
      <c r="F244" s="455"/>
      <c r="G244" s="455"/>
      <c r="H244" s="455"/>
      <c r="I244" s="455"/>
      <c r="J244" s="455"/>
      <c r="K244" s="455"/>
      <c r="L244" s="455"/>
      <c r="M244" s="455"/>
      <c r="N244" s="456"/>
    </row>
    <row r="245" spans="1:14" ht="13.5" thickBot="1" x14ac:dyDescent="0.25">
      <c r="A245" s="105"/>
      <c r="B245" s="107" t="s">
        <v>426</v>
      </c>
      <c r="C245" s="98" t="s">
        <v>1137</v>
      </c>
      <c r="D245" s="98"/>
      <c r="E245" s="99"/>
      <c r="F245" s="99"/>
      <c r="G245" s="99"/>
      <c r="H245" s="99"/>
      <c r="I245" s="99"/>
      <c r="J245" s="99"/>
      <c r="K245" s="99"/>
      <c r="L245" s="99"/>
      <c r="M245" s="99"/>
      <c r="N245" s="90"/>
    </row>
    <row r="246" spans="1:14" x14ac:dyDescent="0.2">
      <c r="A246" s="101"/>
      <c r="B246" s="102" t="s">
        <v>263</v>
      </c>
      <c r="C246" s="102"/>
      <c r="D246" s="102"/>
      <c r="E246" s="103"/>
      <c r="F246" s="103"/>
      <c r="G246" s="103"/>
      <c r="H246" s="103"/>
      <c r="I246" s="103"/>
      <c r="J246" s="114" t="s">
        <v>2023</v>
      </c>
      <c r="K246" s="113" t="s">
        <v>2024</v>
      </c>
      <c r="L246" s="113" t="s">
        <v>2026</v>
      </c>
      <c r="M246" s="113" t="s">
        <v>2028</v>
      </c>
      <c r="N246" s="113"/>
    </row>
    <row r="247" spans="1:14" ht="13.5" thickBot="1" x14ac:dyDescent="0.25">
      <c r="A247" s="108"/>
      <c r="B247" s="109"/>
      <c r="C247" s="109"/>
      <c r="D247" s="109"/>
      <c r="E247" s="110"/>
      <c r="F247" s="110"/>
      <c r="G247" s="110"/>
      <c r="H247" s="110"/>
      <c r="I247" s="110"/>
      <c r="J247" s="112" t="s">
        <v>1564</v>
      </c>
      <c r="K247" s="94" t="s">
        <v>2025</v>
      </c>
      <c r="L247" s="94" t="s">
        <v>2027</v>
      </c>
      <c r="M247" s="94" t="s">
        <v>2029</v>
      </c>
      <c r="N247" s="94" t="s">
        <v>2030</v>
      </c>
    </row>
    <row r="248" spans="1:14" x14ac:dyDescent="0.2">
      <c r="A248" s="101"/>
      <c r="B248" s="448" t="s">
        <v>67</v>
      </c>
      <c r="C248" s="448"/>
      <c r="D248" s="448"/>
      <c r="E248" s="103"/>
      <c r="F248" s="103" t="s">
        <v>1180</v>
      </c>
      <c r="G248" s="103" t="s">
        <v>1484</v>
      </c>
      <c r="H248" s="103" t="s">
        <v>702</v>
      </c>
      <c r="I248" s="103"/>
      <c r="J248" s="89">
        <f>96.7/ATHENS!O1*ATHENS!O2</f>
        <v>197.34693877551021</v>
      </c>
      <c r="K248" s="89">
        <f>124.5/ATHENS!O1*ATHENS!O2</f>
        <v>254.08163265306123</v>
      </c>
      <c r="L248" s="89">
        <f>164.63/ATHENS!O1*ATHENS!O2</f>
        <v>335.9795918367347</v>
      </c>
      <c r="M248" s="89">
        <f>188.5/ATHENS!O1*ATHENS!O2</f>
        <v>384.69387755102042</v>
      </c>
      <c r="N248" s="113">
        <f>198.5/ATHENS!O1*ATHENS!O2</f>
        <v>405.10204081632656</v>
      </c>
    </row>
    <row r="249" spans="1:14" x14ac:dyDescent="0.2">
      <c r="A249" s="105"/>
      <c r="B249" s="443" t="s">
        <v>67</v>
      </c>
      <c r="C249" s="443"/>
      <c r="D249" s="443"/>
      <c r="E249" s="99"/>
      <c r="F249" s="99" t="s">
        <v>1181</v>
      </c>
      <c r="G249" s="99" t="s">
        <v>1484</v>
      </c>
      <c r="H249" s="99" t="s">
        <v>702</v>
      </c>
      <c r="I249" s="99"/>
      <c r="J249" s="89">
        <f>53.7/ATHENS!O1*ATHENS!O2</f>
        <v>109.59183673469389</v>
      </c>
      <c r="K249" s="89">
        <f>69.5/ATHENS!O1*ATHENS!O2</f>
        <v>141.83673469387756</v>
      </c>
      <c r="L249" s="89">
        <f>91.5/ATHENS!O1*ATHENS!O2</f>
        <v>186.73469387755102</v>
      </c>
      <c r="M249" s="89">
        <f>104.5/ATHENS!O1*ATHENS!O2</f>
        <v>213.26530612244898</v>
      </c>
      <c r="N249" s="89">
        <f>110.5/ATHENS!O1*ATHENS!O2</f>
        <v>225.51020408163265</v>
      </c>
    </row>
    <row r="250" spans="1:14" ht="13.5" thickBot="1" x14ac:dyDescent="0.25">
      <c r="A250" s="108"/>
      <c r="B250" s="436" t="s">
        <v>1446</v>
      </c>
      <c r="C250" s="436"/>
      <c r="D250" s="436"/>
      <c r="E250" s="110"/>
      <c r="F250" s="110"/>
      <c r="G250" s="110"/>
      <c r="H250" s="110" t="s">
        <v>702</v>
      </c>
      <c r="I250" s="110"/>
      <c r="J250" s="94">
        <f>30/ATHENS!O1*ATHENS!O2</f>
        <v>61.224489795918366</v>
      </c>
      <c r="K250" s="94">
        <f>30/ATHENS!O1*ATHENS!O2</f>
        <v>61.224489795918366</v>
      </c>
      <c r="L250" s="94">
        <f>30/ATHENS!O1*ATHENS!O2</f>
        <v>61.224489795918366</v>
      </c>
      <c r="M250" s="94">
        <f>30/ATHENS!O1*ATHENS!O2</f>
        <v>61.224489795918366</v>
      </c>
      <c r="N250" s="94">
        <f>30/ATHENS!O1*ATHENS!O2</f>
        <v>61.224489795918366</v>
      </c>
    </row>
    <row r="251" spans="1:14" ht="13.5" thickBot="1" x14ac:dyDescent="0.25">
      <c r="A251" s="97"/>
      <c r="B251" s="98"/>
      <c r="C251" s="98"/>
      <c r="D251" s="98"/>
      <c r="E251" s="99"/>
      <c r="F251" s="99"/>
      <c r="G251" s="99"/>
      <c r="H251" s="99"/>
      <c r="I251" s="99"/>
      <c r="J251" s="99"/>
      <c r="K251" s="99"/>
      <c r="L251" s="99"/>
      <c r="M251" s="99"/>
      <c r="N251" s="99"/>
    </row>
    <row r="252" spans="1:14" ht="13.5" thickBot="1" x14ac:dyDescent="0.25">
      <c r="A252" s="101"/>
      <c r="B252" s="102"/>
      <c r="C252" s="102"/>
      <c r="D252" s="102"/>
      <c r="E252" s="103"/>
      <c r="F252" s="103"/>
      <c r="G252" s="103"/>
      <c r="H252" s="103"/>
      <c r="I252" s="103"/>
      <c r="J252" s="103"/>
      <c r="K252" s="103"/>
      <c r="L252" s="103"/>
      <c r="M252" s="103"/>
      <c r="N252" s="104"/>
    </row>
    <row r="253" spans="1:14" ht="15.75" thickBot="1" x14ac:dyDescent="0.25">
      <c r="A253" s="105"/>
      <c r="B253" s="459" t="s">
        <v>1138</v>
      </c>
      <c r="C253" s="460"/>
      <c r="D253" s="460"/>
      <c r="E253" s="460"/>
      <c r="F253" s="460"/>
      <c r="G253" s="460"/>
      <c r="H253" s="460"/>
      <c r="I253" s="460"/>
      <c r="J253" s="460"/>
      <c r="K253" s="460"/>
      <c r="L253" s="460"/>
      <c r="M253" s="461"/>
      <c r="N253" s="106" t="s">
        <v>96</v>
      </c>
    </row>
    <row r="254" spans="1:14" x14ac:dyDescent="0.2">
      <c r="A254" s="105"/>
      <c r="B254" s="107" t="s">
        <v>428</v>
      </c>
      <c r="C254" s="98" t="s">
        <v>1139</v>
      </c>
      <c r="D254" s="98"/>
      <c r="E254" s="99"/>
      <c r="F254" s="99"/>
      <c r="G254" s="99"/>
      <c r="H254" s="99"/>
      <c r="I254" s="99"/>
      <c r="J254" s="99"/>
      <c r="K254" s="99"/>
      <c r="L254" s="99"/>
      <c r="M254" s="99"/>
      <c r="N254" s="90"/>
    </row>
    <row r="255" spans="1:14" x14ac:dyDescent="0.2">
      <c r="A255" s="105"/>
      <c r="B255" s="107" t="s">
        <v>429</v>
      </c>
      <c r="C255" s="98" t="s">
        <v>1012</v>
      </c>
      <c r="D255" s="98"/>
      <c r="E255" s="99"/>
      <c r="F255" s="99"/>
      <c r="G255" s="99"/>
      <c r="H255" s="99"/>
      <c r="I255" s="99"/>
      <c r="J255" s="99"/>
      <c r="K255" s="99"/>
      <c r="L255" s="99"/>
      <c r="M255" s="99"/>
      <c r="N255" s="90"/>
    </row>
    <row r="256" spans="1:14" x14ac:dyDescent="0.2">
      <c r="A256" s="105"/>
      <c r="B256" s="107" t="s">
        <v>427</v>
      </c>
      <c r="C256" s="455" t="s">
        <v>1236</v>
      </c>
      <c r="D256" s="455"/>
      <c r="E256" s="455"/>
      <c r="F256" s="455"/>
      <c r="G256" s="455"/>
      <c r="H256" s="455"/>
      <c r="I256" s="455"/>
      <c r="J256" s="455"/>
      <c r="K256" s="455"/>
      <c r="L256" s="455"/>
      <c r="M256" s="455"/>
      <c r="N256" s="456"/>
    </row>
    <row r="257" spans="1:14" x14ac:dyDescent="0.2">
      <c r="A257" s="105"/>
      <c r="B257" s="107"/>
      <c r="C257" s="455"/>
      <c r="D257" s="455"/>
      <c r="E257" s="455"/>
      <c r="F257" s="455"/>
      <c r="G257" s="455"/>
      <c r="H257" s="455"/>
      <c r="I257" s="455"/>
      <c r="J257" s="455"/>
      <c r="K257" s="455"/>
      <c r="L257" s="455"/>
      <c r="M257" s="455"/>
      <c r="N257" s="456"/>
    </row>
    <row r="258" spans="1:14" x14ac:dyDescent="0.2">
      <c r="A258" s="105"/>
      <c r="B258" s="107"/>
      <c r="C258" s="455"/>
      <c r="D258" s="455"/>
      <c r="E258" s="455"/>
      <c r="F258" s="455"/>
      <c r="G258" s="455"/>
      <c r="H258" s="455"/>
      <c r="I258" s="455"/>
      <c r="J258" s="455"/>
      <c r="K258" s="455"/>
      <c r="L258" s="455"/>
      <c r="M258" s="455"/>
      <c r="N258" s="456"/>
    </row>
    <row r="259" spans="1:14" x14ac:dyDescent="0.2">
      <c r="A259" s="105"/>
      <c r="B259" s="107"/>
      <c r="C259" s="455"/>
      <c r="D259" s="455"/>
      <c r="E259" s="455"/>
      <c r="F259" s="455"/>
      <c r="G259" s="455"/>
      <c r="H259" s="455"/>
      <c r="I259" s="455"/>
      <c r="J259" s="455"/>
      <c r="K259" s="455"/>
      <c r="L259" s="455"/>
      <c r="M259" s="455"/>
      <c r="N259" s="456"/>
    </row>
    <row r="260" spans="1:14" ht="13.5" thickBot="1" x14ac:dyDescent="0.25">
      <c r="A260" s="105"/>
      <c r="B260" s="107" t="s">
        <v>426</v>
      </c>
      <c r="C260" s="98" t="s">
        <v>1140</v>
      </c>
      <c r="D260" s="98"/>
      <c r="E260" s="99"/>
      <c r="F260" s="99"/>
      <c r="G260" s="99"/>
      <c r="H260" s="99"/>
      <c r="I260" s="99"/>
      <c r="J260" s="99"/>
      <c r="K260" s="99"/>
      <c r="L260" s="99"/>
      <c r="M260" s="99"/>
      <c r="N260" s="90"/>
    </row>
    <row r="261" spans="1:14" x14ac:dyDescent="0.2">
      <c r="A261" s="101"/>
      <c r="B261" s="102" t="s">
        <v>263</v>
      </c>
      <c r="C261" s="102"/>
      <c r="D261" s="102"/>
      <c r="E261" s="103"/>
      <c r="F261" s="103"/>
      <c r="G261" s="103"/>
      <c r="H261" s="103"/>
      <c r="I261" s="103"/>
      <c r="J261" s="113" t="s">
        <v>521</v>
      </c>
      <c r="K261" s="113" t="s">
        <v>291</v>
      </c>
      <c r="L261" s="113" t="s">
        <v>1150</v>
      </c>
      <c r="M261" s="113" t="s">
        <v>757</v>
      </c>
      <c r="N261" s="113"/>
    </row>
    <row r="262" spans="1:14" ht="13.5" thickBot="1" x14ac:dyDescent="0.25">
      <c r="A262" s="108"/>
      <c r="B262" s="109"/>
      <c r="C262" s="109"/>
      <c r="D262" s="109"/>
      <c r="E262" s="110"/>
      <c r="F262" s="110"/>
      <c r="G262" s="110"/>
      <c r="H262" s="110"/>
      <c r="I262" s="110"/>
      <c r="J262" s="94" t="s">
        <v>756</v>
      </c>
      <c r="K262" s="94" t="s">
        <v>282</v>
      </c>
      <c r="L262" s="94" t="s">
        <v>292</v>
      </c>
      <c r="M262" s="94"/>
      <c r="N262" s="94"/>
    </row>
    <row r="263" spans="1:14" x14ac:dyDescent="0.2">
      <c r="A263" s="101"/>
      <c r="B263" s="448" t="s">
        <v>829</v>
      </c>
      <c r="C263" s="448"/>
      <c r="D263" s="448"/>
      <c r="E263" s="103"/>
      <c r="F263" s="103" t="s">
        <v>1180</v>
      </c>
      <c r="G263" s="103" t="s">
        <v>68</v>
      </c>
      <c r="H263" s="103" t="s">
        <v>702</v>
      </c>
      <c r="I263" s="103"/>
      <c r="J263" s="89">
        <f>63.5/ATHENS!O1*ATHENS!O2</f>
        <v>129.59183673469389</v>
      </c>
      <c r="K263" s="89">
        <f>93.5/ATHENS!O1*ATHENS!O2</f>
        <v>190.81632653061226</v>
      </c>
      <c r="L263" s="89">
        <f>131.9/ATHENS!O1*ATHENS!O2</f>
        <v>269.18367346938777</v>
      </c>
      <c r="M263" s="89">
        <f>149.8/ATHENS!O1*ATHENS!O2</f>
        <v>305.71428571428572</v>
      </c>
      <c r="N263" s="89"/>
    </row>
    <row r="264" spans="1:14" x14ac:dyDescent="0.2">
      <c r="A264" s="105"/>
      <c r="B264" s="443" t="s">
        <v>829</v>
      </c>
      <c r="C264" s="443"/>
      <c r="D264" s="443"/>
      <c r="E264" s="99"/>
      <c r="F264" s="99" t="s">
        <v>1181</v>
      </c>
      <c r="G264" s="99" t="s">
        <v>68</v>
      </c>
      <c r="H264" s="99" t="s">
        <v>702</v>
      </c>
      <c r="I264" s="99"/>
      <c r="J264" s="89">
        <f>39.7/ATHENS!O1*ATHENS!O2</f>
        <v>81.020408163265316</v>
      </c>
      <c r="K264" s="89">
        <f>58.5/ATHENS!O1*ATHENS!O2</f>
        <v>119.38775510204081</v>
      </c>
      <c r="L264" s="89">
        <f>82.5/ATHENS!O1*ATHENS!O2</f>
        <v>168.36734693877551</v>
      </c>
      <c r="M264" s="89">
        <f>93.6/ATHENS!O1*ATHENS!O2</f>
        <v>191.0204081632653</v>
      </c>
      <c r="N264" s="89"/>
    </row>
    <row r="265" spans="1:14" ht="13.5" thickBot="1" x14ac:dyDescent="0.25">
      <c r="A265" s="108"/>
      <c r="B265" s="436" t="s">
        <v>829</v>
      </c>
      <c r="C265" s="436"/>
      <c r="D265" s="436"/>
      <c r="E265" s="110"/>
      <c r="F265" s="110" t="s">
        <v>1182</v>
      </c>
      <c r="G265" s="110" t="s">
        <v>68</v>
      </c>
      <c r="H265" s="110" t="s">
        <v>702</v>
      </c>
      <c r="I265" s="110"/>
      <c r="J265" s="94">
        <f>36/ATHENS!O1*ATHENS!O2</f>
        <v>73.469387755102048</v>
      </c>
      <c r="K265" s="94">
        <f>52.6/ATHENS!O1*ATHENS!O2</f>
        <v>107.34693877551021</v>
      </c>
      <c r="L265" s="94">
        <f>74.5/ATHENS!O1*ATHENS!O2</f>
        <v>152.0408163265306</v>
      </c>
      <c r="M265" s="94">
        <f>84.6/ATHENS!O1*ATHENS!O2</f>
        <v>172.65306122448979</v>
      </c>
      <c r="N265" s="94"/>
    </row>
    <row r="266" spans="1:14" ht="13.5" thickBot="1" x14ac:dyDescent="0.25">
      <c r="A266" s="97"/>
      <c r="B266" s="98"/>
      <c r="C266" s="98"/>
      <c r="D266" s="98"/>
      <c r="E266" s="99"/>
      <c r="F266" s="99"/>
      <c r="G266" s="99"/>
      <c r="H266" s="99"/>
      <c r="I266" s="99"/>
      <c r="J266" s="99"/>
      <c r="K266" s="99"/>
      <c r="L266" s="99"/>
      <c r="M266" s="99"/>
      <c r="N266" s="99"/>
    </row>
    <row r="267" spans="1:14" ht="13.5" thickBot="1" x14ac:dyDescent="0.25">
      <c r="A267" s="101"/>
      <c r="B267" s="102"/>
      <c r="C267" s="102"/>
      <c r="D267" s="102"/>
      <c r="E267" s="103"/>
      <c r="F267" s="103"/>
      <c r="G267" s="103"/>
      <c r="H267" s="103"/>
      <c r="I267" s="103"/>
      <c r="J267" s="103"/>
      <c r="K267" s="103"/>
      <c r="L267" s="103"/>
      <c r="M267" s="103"/>
      <c r="N267" s="104"/>
    </row>
    <row r="268" spans="1:14" ht="15.75" thickBot="1" x14ac:dyDescent="0.25">
      <c r="A268" s="105"/>
      <c r="B268" s="459" t="s">
        <v>1013</v>
      </c>
      <c r="C268" s="460"/>
      <c r="D268" s="460"/>
      <c r="E268" s="460"/>
      <c r="F268" s="460"/>
      <c r="G268" s="460"/>
      <c r="H268" s="460"/>
      <c r="I268" s="460"/>
      <c r="J268" s="460"/>
      <c r="K268" s="460"/>
      <c r="L268" s="460"/>
      <c r="M268" s="461"/>
      <c r="N268" s="106" t="s">
        <v>96</v>
      </c>
    </row>
    <row r="269" spans="1:14" x14ac:dyDescent="0.2">
      <c r="A269" s="105"/>
      <c r="B269" s="107" t="s">
        <v>428</v>
      </c>
      <c r="C269" s="98" t="s">
        <v>1014</v>
      </c>
      <c r="D269" s="98"/>
      <c r="E269" s="99"/>
      <c r="F269" s="99"/>
      <c r="G269" s="99"/>
      <c r="H269" s="99"/>
      <c r="I269" s="99"/>
      <c r="J269" s="99"/>
      <c r="K269" s="99"/>
      <c r="L269" s="99"/>
      <c r="M269" s="99"/>
      <c r="N269" s="90"/>
    </row>
    <row r="270" spans="1:14" x14ac:dyDescent="0.2">
      <c r="A270" s="105"/>
      <c r="B270" s="107" t="s">
        <v>429</v>
      </c>
      <c r="C270" s="98" t="s">
        <v>425</v>
      </c>
      <c r="D270" s="98"/>
      <c r="E270" s="99"/>
      <c r="F270" s="99"/>
      <c r="G270" s="99"/>
      <c r="H270" s="99"/>
      <c r="I270" s="99"/>
      <c r="J270" s="99"/>
      <c r="K270" s="99"/>
      <c r="L270" s="99"/>
      <c r="M270" s="99"/>
      <c r="N270" s="90"/>
    </row>
    <row r="271" spans="1:14" x14ac:dyDescent="0.2">
      <c r="A271" s="105"/>
      <c r="B271" s="107" t="s">
        <v>427</v>
      </c>
      <c r="C271" s="455" t="s">
        <v>952</v>
      </c>
      <c r="D271" s="455"/>
      <c r="E271" s="455"/>
      <c r="F271" s="455"/>
      <c r="G271" s="455"/>
      <c r="H271" s="455"/>
      <c r="I271" s="455"/>
      <c r="J271" s="455"/>
      <c r="K271" s="455"/>
      <c r="L271" s="455"/>
      <c r="M271" s="455"/>
      <c r="N271" s="456"/>
    </row>
    <row r="272" spans="1:14" x14ac:dyDescent="0.2">
      <c r="A272" s="105"/>
      <c r="B272" s="107"/>
      <c r="C272" s="455"/>
      <c r="D272" s="455"/>
      <c r="E272" s="455"/>
      <c r="F272" s="455"/>
      <c r="G272" s="455"/>
      <c r="H272" s="455"/>
      <c r="I272" s="455"/>
      <c r="J272" s="455"/>
      <c r="K272" s="455"/>
      <c r="L272" s="455"/>
      <c r="M272" s="455"/>
      <c r="N272" s="456"/>
    </row>
    <row r="273" spans="1:14" x14ac:dyDescent="0.2">
      <c r="A273" s="105"/>
      <c r="B273" s="98"/>
      <c r="C273" s="455"/>
      <c r="D273" s="455"/>
      <c r="E273" s="455"/>
      <c r="F273" s="455"/>
      <c r="G273" s="455"/>
      <c r="H273" s="455"/>
      <c r="I273" s="455"/>
      <c r="J273" s="455"/>
      <c r="K273" s="455"/>
      <c r="L273" s="455"/>
      <c r="M273" s="455"/>
      <c r="N273" s="456"/>
    </row>
    <row r="274" spans="1:14" ht="13.5" thickBot="1" x14ac:dyDescent="0.25">
      <c r="A274" s="105"/>
      <c r="B274" s="107" t="s">
        <v>426</v>
      </c>
      <c r="C274" s="98" t="s">
        <v>1015</v>
      </c>
      <c r="D274" s="98"/>
      <c r="E274" s="99"/>
      <c r="F274" s="99"/>
      <c r="G274" s="99"/>
      <c r="H274" s="99"/>
      <c r="I274" s="99"/>
      <c r="J274" s="99"/>
      <c r="K274" s="99"/>
      <c r="L274" s="99"/>
      <c r="M274" s="99"/>
      <c r="N274" s="90"/>
    </row>
    <row r="275" spans="1:14" x14ac:dyDescent="0.2">
      <c r="A275" s="101"/>
      <c r="B275" s="102" t="s">
        <v>263</v>
      </c>
      <c r="C275" s="102"/>
      <c r="D275" s="102"/>
      <c r="E275" s="103"/>
      <c r="F275" s="103"/>
      <c r="G275" s="103"/>
      <c r="H275" s="103"/>
      <c r="I275" s="103"/>
      <c r="J275" s="114" t="s">
        <v>521</v>
      </c>
      <c r="K275" s="113" t="s">
        <v>246</v>
      </c>
      <c r="L275" s="113" t="s">
        <v>751</v>
      </c>
      <c r="M275" s="113" t="s">
        <v>1150</v>
      </c>
      <c r="N275" s="113"/>
    </row>
    <row r="276" spans="1:14" ht="13.5" thickBot="1" x14ac:dyDescent="0.25">
      <c r="A276" s="108"/>
      <c r="B276" s="109"/>
      <c r="C276" s="109"/>
      <c r="D276" s="109"/>
      <c r="E276" s="110"/>
      <c r="F276" s="110"/>
      <c r="G276" s="110"/>
      <c r="H276" s="110"/>
      <c r="I276" s="110"/>
      <c r="J276" s="112" t="s">
        <v>833</v>
      </c>
      <c r="K276" s="94" t="s">
        <v>1222</v>
      </c>
      <c r="L276" s="94" t="s">
        <v>341</v>
      </c>
      <c r="M276" s="94" t="s">
        <v>520</v>
      </c>
      <c r="N276" s="94" t="s">
        <v>123</v>
      </c>
    </row>
    <row r="277" spans="1:14" x14ac:dyDescent="0.2">
      <c r="A277" s="101"/>
      <c r="B277" s="448" t="s">
        <v>67</v>
      </c>
      <c r="C277" s="448"/>
      <c r="D277" s="448"/>
      <c r="E277" s="103"/>
      <c r="F277" s="103" t="s">
        <v>1180</v>
      </c>
      <c r="G277" s="103" t="s">
        <v>68</v>
      </c>
      <c r="H277" s="103" t="s">
        <v>702</v>
      </c>
      <c r="I277" s="103"/>
      <c r="J277" s="89">
        <f>55.5/ATHENS!O1*ATHENS!O2</f>
        <v>113.26530612244898</v>
      </c>
      <c r="K277" s="89">
        <f>68.8/ATHENS!O1*ATHENS!O2</f>
        <v>140.40816326530611</v>
      </c>
      <c r="L277" s="89">
        <f>90.5/ATHENS!O1*ATHENS!O2</f>
        <v>184.69387755102042</v>
      </c>
      <c r="M277" s="89">
        <f>105.5/ATHENS!O1*ATHENS!O2</f>
        <v>215.30612244897961</v>
      </c>
      <c r="N277" s="113">
        <f>136/ATHENS!O1*ATHENS!O2</f>
        <v>277.55102040816325</v>
      </c>
    </row>
    <row r="278" spans="1:14" x14ac:dyDescent="0.2">
      <c r="A278" s="105"/>
      <c r="B278" s="443" t="s">
        <v>67</v>
      </c>
      <c r="C278" s="443"/>
      <c r="D278" s="443"/>
      <c r="E278" s="99"/>
      <c r="F278" s="99" t="s">
        <v>1181</v>
      </c>
      <c r="G278" s="99" t="s">
        <v>68</v>
      </c>
      <c r="H278" s="99" t="s">
        <v>702</v>
      </c>
      <c r="I278" s="99"/>
      <c r="J278" s="89">
        <f>48.5/ATHENS!O1*ATHENS!O2</f>
        <v>98.979591836734699</v>
      </c>
      <c r="K278" s="89">
        <f>59.5/ATHENS!O1*ATHENS!O2</f>
        <v>121.42857142857143</v>
      </c>
      <c r="L278" s="89">
        <f>75.5/ATHENS!O1*ATHENS!O2</f>
        <v>154.08163265306123</v>
      </c>
      <c r="M278" s="89">
        <f>87.5/ATHENS!O1*ATHENS!O2</f>
        <v>178.57142857142858</v>
      </c>
      <c r="N278" s="89">
        <f>111/ATHENS!O1*ATHENS!O2</f>
        <v>226.53061224489795</v>
      </c>
    </row>
    <row r="279" spans="1:14" ht="13.5" thickBot="1" x14ac:dyDescent="0.25">
      <c r="A279" s="108"/>
      <c r="B279" s="436" t="s">
        <v>67</v>
      </c>
      <c r="C279" s="436"/>
      <c r="D279" s="436"/>
      <c r="E279" s="110"/>
      <c r="F279" s="110" t="s">
        <v>1182</v>
      </c>
      <c r="G279" s="110" t="s">
        <v>68</v>
      </c>
      <c r="H279" s="110" t="s">
        <v>702</v>
      </c>
      <c r="I279" s="110"/>
      <c r="J279" s="94">
        <f>44.5/ATHENS!O1*ATHENS!O2</f>
        <v>90.816326530612244</v>
      </c>
      <c r="K279" s="94">
        <f>54/ATHENS!O1*ATHENS!O2</f>
        <v>110.20408163265306</v>
      </c>
      <c r="L279" s="94">
        <f>68.5/ATHENS!O1*ATHENS!O2</f>
        <v>139.79591836734693</v>
      </c>
      <c r="M279" s="94">
        <f>79.5/ATHENS!O1*ATHENS!O2</f>
        <v>162.24489795918367</v>
      </c>
      <c r="N279" s="94">
        <f>99.9/ATHENS!O1*ATHENS!O2</f>
        <v>203.87755102040819</v>
      </c>
    </row>
    <row r="280" spans="1:14" x14ac:dyDescent="0.2">
      <c r="A280" s="97"/>
      <c r="B280" s="98"/>
      <c r="C280" s="98"/>
      <c r="D280" s="98"/>
      <c r="E280" s="99"/>
      <c r="F280" s="99"/>
      <c r="G280" s="99"/>
      <c r="H280" s="99"/>
      <c r="I280" s="99"/>
      <c r="J280" s="99"/>
      <c r="K280" s="99"/>
      <c r="L280" s="99"/>
      <c r="M280" s="99"/>
      <c r="N280" s="99"/>
    </row>
    <row r="281" spans="1:14" x14ac:dyDescent="0.2">
      <c r="A281" s="97"/>
      <c r="B281" s="98"/>
      <c r="C281" s="98"/>
      <c r="D281" s="98"/>
      <c r="E281" s="99"/>
      <c r="F281" s="99"/>
      <c r="G281" s="99"/>
      <c r="H281" s="99"/>
      <c r="I281" s="99"/>
      <c r="J281" s="99"/>
      <c r="K281" s="99"/>
      <c r="L281" s="99"/>
      <c r="M281" s="99"/>
      <c r="N281" s="99"/>
    </row>
    <row r="282" spans="1:14" x14ac:dyDescent="0.2">
      <c r="A282" s="97"/>
      <c r="B282" s="98"/>
      <c r="C282" s="98"/>
      <c r="D282" s="98"/>
      <c r="E282" s="99"/>
      <c r="F282" s="99"/>
      <c r="G282" s="99"/>
      <c r="H282" s="99"/>
      <c r="I282" s="99"/>
      <c r="J282" s="99"/>
      <c r="K282" s="99"/>
      <c r="L282" s="99"/>
      <c r="M282" s="99"/>
      <c r="N282" s="99"/>
    </row>
    <row r="283" spans="1:14" x14ac:dyDescent="0.2">
      <c r="A283" s="97"/>
      <c r="B283" s="98"/>
      <c r="C283" s="98"/>
      <c r="D283" s="98"/>
      <c r="E283" s="99"/>
      <c r="F283" s="99"/>
      <c r="G283" s="99"/>
      <c r="H283" s="99"/>
      <c r="I283" s="99"/>
      <c r="J283" s="99"/>
      <c r="K283" s="99"/>
      <c r="L283" s="99"/>
      <c r="M283" s="99"/>
      <c r="N283" s="99"/>
    </row>
    <row r="284" spans="1:14" x14ac:dyDescent="0.2">
      <c r="A284" s="97"/>
      <c r="B284" s="98"/>
      <c r="C284" s="98"/>
      <c r="D284" s="98"/>
      <c r="E284" s="99"/>
      <c r="F284" s="99"/>
      <c r="G284" s="99"/>
      <c r="H284" s="99"/>
      <c r="I284" s="99"/>
      <c r="J284" s="99"/>
      <c r="K284" s="99"/>
      <c r="L284" s="99"/>
      <c r="M284" s="99"/>
      <c r="N284" s="99"/>
    </row>
    <row r="285" spans="1:14" x14ac:dyDescent="0.2">
      <c r="A285" s="97"/>
      <c r="B285" s="98"/>
      <c r="C285" s="98"/>
      <c r="D285" s="98"/>
      <c r="E285" s="99"/>
      <c r="F285" s="99"/>
      <c r="G285" s="99"/>
      <c r="H285" s="99"/>
      <c r="I285" s="99"/>
      <c r="J285" s="99"/>
      <c r="K285" s="99"/>
      <c r="L285" s="99"/>
      <c r="M285" s="99"/>
      <c r="N285" s="99"/>
    </row>
    <row r="286" spans="1:14" x14ac:dyDescent="0.2">
      <c r="A286" s="97"/>
      <c r="B286" s="98"/>
      <c r="C286" s="98"/>
      <c r="D286" s="98"/>
      <c r="E286" s="99"/>
      <c r="F286" s="99"/>
      <c r="G286" s="99"/>
      <c r="H286" s="99"/>
      <c r="I286" s="99"/>
      <c r="J286" s="99"/>
      <c r="K286" s="99"/>
      <c r="L286" s="99"/>
      <c r="M286" s="99"/>
      <c r="N286" s="99"/>
    </row>
    <row r="287" spans="1:14" x14ac:dyDescent="0.2">
      <c r="A287" s="97"/>
      <c r="B287" s="98"/>
      <c r="C287" s="98"/>
      <c r="D287" s="98"/>
      <c r="E287" s="99"/>
      <c r="F287" s="99"/>
      <c r="G287" s="99"/>
      <c r="H287" s="99"/>
      <c r="I287" s="99"/>
      <c r="J287" s="99"/>
      <c r="K287" s="99"/>
      <c r="L287" s="99"/>
      <c r="M287" s="99"/>
      <c r="N287" s="99"/>
    </row>
    <row r="288" spans="1:14" x14ac:dyDescent="0.2">
      <c r="A288" s="97"/>
      <c r="B288" s="98"/>
      <c r="C288" s="98"/>
      <c r="D288" s="98"/>
      <c r="E288" s="99"/>
      <c r="F288" s="99"/>
      <c r="G288" s="99"/>
      <c r="H288" s="99"/>
      <c r="I288" s="99"/>
      <c r="J288" s="99"/>
      <c r="K288" s="99"/>
      <c r="L288" s="99"/>
      <c r="M288" s="99"/>
      <c r="N288" s="99"/>
    </row>
    <row r="289" spans="1:14" x14ac:dyDescent="0.2">
      <c r="A289" s="97"/>
      <c r="B289" s="98"/>
      <c r="C289" s="98"/>
      <c r="D289" s="98"/>
      <c r="E289" s="99"/>
      <c r="F289" s="99"/>
      <c r="G289" s="99"/>
      <c r="H289" s="99"/>
      <c r="I289" s="99"/>
      <c r="J289" s="99"/>
      <c r="K289" s="99"/>
      <c r="L289" s="99"/>
      <c r="M289" s="99"/>
      <c r="N289" s="99"/>
    </row>
    <row r="290" spans="1:14" x14ac:dyDescent="0.2">
      <c r="A290" s="97"/>
      <c r="B290" s="98"/>
      <c r="C290" s="98"/>
      <c r="D290" s="98"/>
      <c r="E290" s="99"/>
      <c r="F290" s="99"/>
      <c r="G290" s="99"/>
      <c r="H290" s="99"/>
      <c r="I290" s="99"/>
      <c r="J290" s="99"/>
      <c r="K290" s="99"/>
      <c r="L290" s="99"/>
      <c r="M290" s="99"/>
      <c r="N290" s="99"/>
    </row>
    <row r="291" spans="1:14" x14ac:dyDescent="0.2">
      <c r="A291" s="97"/>
      <c r="B291" s="98"/>
      <c r="C291" s="98"/>
      <c r="D291" s="98"/>
      <c r="E291" s="99"/>
      <c r="F291" s="99"/>
      <c r="G291" s="99"/>
      <c r="H291" s="99"/>
      <c r="I291" s="99"/>
      <c r="J291" s="99"/>
      <c r="K291" s="99"/>
      <c r="L291" s="99"/>
      <c r="M291" s="99"/>
      <c r="N291" s="99"/>
    </row>
    <row r="292" spans="1:14" x14ac:dyDescent="0.2">
      <c r="A292" s="97"/>
      <c r="B292" s="98"/>
      <c r="C292" s="98"/>
      <c r="D292" s="98"/>
      <c r="E292" s="99"/>
      <c r="F292" s="99"/>
      <c r="G292" s="99"/>
      <c r="H292" s="99"/>
      <c r="I292" s="99"/>
      <c r="J292" s="99"/>
      <c r="K292" s="99"/>
      <c r="L292" s="99"/>
      <c r="M292" s="99"/>
      <c r="N292" s="99"/>
    </row>
    <row r="293" spans="1:14" x14ac:dyDescent="0.2">
      <c r="A293" s="97"/>
      <c r="B293" s="98"/>
      <c r="C293" s="98"/>
      <c r="D293" s="98"/>
      <c r="E293" s="99"/>
      <c r="F293" s="99"/>
      <c r="G293" s="99"/>
      <c r="H293" s="99"/>
      <c r="I293" s="99"/>
      <c r="J293" s="99"/>
      <c r="K293" s="99"/>
      <c r="L293" s="99"/>
      <c r="M293" s="99"/>
      <c r="N293" s="99"/>
    </row>
    <row r="294" spans="1:14" x14ac:dyDescent="0.2">
      <c r="A294" s="97"/>
      <c r="B294" s="98"/>
      <c r="C294" s="98"/>
      <c r="D294" s="98"/>
      <c r="E294" s="99"/>
      <c r="F294" s="99"/>
      <c r="G294" s="99"/>
      <c r="H294" s="99"/>
      <c r="I294" s="99"/>
      <c r="J294" s="99"/>
      <c r="K294" s="99"/>
      <c r="L294" s="99"/>
      <c r="M294" s="99"/>
      <c r="N294" s="99"/>
    </row>
    <row r="295" spans="1:14" x14ac:dyDescent="0.2">
      <c r="A295" s="97"/>
      <c r="B295" s="98"/>
      <c r="C295" s="98"/>
      <c r="D295" s="98"/>
      <c r="E295" s="99"/>
      <c r="F295" s="99"/>
      <c r="G295" s="99"/>
      <c r="H295" s="99"/>
      <c r="I295" s="99"/>
      <c r="J295" s="99"/>
      <c r="K295" s="99"/>
      <c r="L295" s="99"/>
      <c r="M295" s="99"/>
      <c r="N295" s="99"/>
    </row>
    <row r="296" spans="1:14" x14ac:dyDescent="0.2">
      <c r="A296" s="97"/>
      <c r="B296" s="98"/>
      <c r="C296" s="98"/>
      <c r="D296" s="98"/>
      <c r="E296" s="99"/>
      <c r="F296" s="99"/>
      <c r="G296" s="99"/>
      <c r="H296" s="99"/>
      <c r="I296" s="99"/>
      <c r="J296" s="99"/>
      <c r="K296" s="99"/>
      <c r="L296" s="99"/>
      <c r="M296" s="99"/>
      <c r="N296" s="99"/>
    </row>
    <row r="297" spans="1:14" ht="13.5" thickBot="1" x14ac:dyDescent="0.25">
      <c r="A297" s="97"/>
      <c r="B297" s="98"/>
      <c r="C297" s="98"/>
      <c r="D297" s="98"/>
      <c r="E297" s="99"/>
      <c r="F297" s="99"/>
      <c r="G297" s="99"/>
      <c r="H297" s="99"/>
      <c r="I297" s="99"/>
      <c r="J297" s="99"/>
      <c r="K297" s="99"/>
      <c r="L297" s="99"/>
      <c r="M297" s="99"/>
      <c r="N297" s="99"/>
    </row>
    <row r="298" spans="1:14" ht="13.5" thickBot="1" x14ac:dyDescent="0.25">
      <c r="A298" s="101"/>
      <c r="B298" s="102"/>
      <c r="C298" s="102"/>
      <c r="D298" s="102"/>
      <c r="E298" s="103"/>
      <c r="F298" s="103"/>
      <c r="G298" s="103"/>
      <c r="H298" s="103"/>
      <c r="I298" s="103"/>
      <c r="J298" s="103"/>
      <c r="K298" s="103"/>
      <c r="L298" s="103"/>
      <c r="M298" s="103"/>
      <c r="N298" s="104"/>
    </row>
    <row r="299" spans="1:14" ht="15.75" thickBot="1" x14ac:dyDescent="0.25">
      <c r="A299" s="105"/>
      <c r="B299" s="459" t="s">
        <v>917</v>
      </c>
      <c r="C299" s="460"/>
      <c r="D299" s="460"/>
      <c r="E299" s="460"/>
      <c r="F299" s="460"/>
      <c r="G299" s="460"/>
      <c r="H299" s="460"/>
      <c r="I299" s="460"/>
      <c r="J299" s="460"/>
      <c r="K299" s="460"/>
      <c r="L299" s="460"/>
      <c r="M299" s="461"/>
      <c r="N299" s="106" t="s">
        <v>664</v>
      </c>
    </row>
    <row r="300" spans="1:14" x14ac:dyDescent="0.2">
      <c r="A300" s="105"/>
      <c r="B300" s="107" t="s">
        <v>428</v>
      </c>
      <c r="C300" s="98" t="s">
        <v>918</v>
      </c>
      <c r="D300" s="98"/>
      <c r="E300" s="99"/>
      <c r="F300" s="99"/>
      <c r="G300" s="99"/>
      <c r="H300" s="99"/>
      <c r="I300" s="99"/>
      <c r="J300" s="99"/>
      <c r="K300" s="99"/>
      <c r="L300" s="99"/>
      <c r="M300" s="99"/>
      <c r="N300" s="90"/>
    </row>
    <row r="301" spans="1:14" x14ac:dyDescent="0.2">
      <c r="A301" s="105"/>
      <c r="B301" s="107" t="s">
        <v>429</v>
      </c>
      <c r="C301" s="98" t="s">
        <v>784</v>
      </c>
      <c r="D301" s="98"/>
      <c r="E301" s="99"/>
      <c r="F301" s="99"/>
      <c r="G301" s="99"/>
      <c r="H301" s="99"/>
      <c r="I301" s="99"/>
      <c r="J301" s="99"/>
      <c r="K301" s="99"/>
      <c r="L301" s="99"/>
      <c r="M301" s="99"/>
      <c r="N301" s="90"/>
    </row>
    <row r="302" spans="1:14" x14ac:dyDescent="0.2">
      <c r="A302" s="105"/>
      <c r="B302" s="107" t="s">
        <v>427</v>
      </c>
      <c r="C302" s="455" t="s">
        <v>1237</v>
      </c>
      <c r="D302" s="455"/>
      <c r="E302" s="455"/>
      <c r="F302" s="455"/>
      <c r="G302" s="455"/>
      <c r="H302" s="455"/>
      <c r="I302" s="455"/>
      <c r="J302" s="455"/>
      <c r="K302" s="455"/>
      <c r="L302" s="455"/>
      <c r="M302" s="455"/>
      <c r="N302" s="456"/>
    </row>
    <row r="303" spans="1:14" x14ac:dyDescent="0.2">
      <c r="A303" s="105"/>
      <c r="B303" s="107"/>
      <c r="C303" s="455"/>
      <c r="D303" s="455"/>
      <c r="E303" s="455"/>
      <c r="F303" s="455"/>
      <c r="G303" s="455"/>
      <c r="H303" s="455"/>
      <c r="I303" s="455"/>
      <c r="J303" s="455"/>
      <c r="K303" s="455"/>
      <c r="L303" s="455"/>
      <c r="M303" s="455"/>
      <c r="N303" s="456"/>
    </row>
    <row r="304" spans="1:14" x14ac:dyDescent="0.2">
      <c r="A304" s="105"/>
      <c r="B304" s="98"/>
      <c r="C304" s="455"/>
      <c r="D304" s="455"/>
      <c r="E304" s="455"/>
      <c r="F304" s="455"/>
      <c r="G304" s="455"/>
      <c r="H304" s="455"/>
      <c r="I304" s="455"/>
      <c r="J304" s="455"/>
      <c r="K304" s="455"/>
      <c r="L304" s="455"/>
      <c r="M304" s="455"/>
      <c r="N304" s="456"/>
    </row>
    <row r="305" spans="1:14" ht="13.5" thickBot="1" x14ac:dyDescent="0.25">
      <c r="A305" s="105"/>
      <c r="B305" s="107" t="s">
        <v>426</v>
      </c>
      <c r="C305" s="98" t="s">
        <v>667</v>
      </c>
      <c r="D305" s="98"/>
      <c r="E305" s="99"/>
      <c r="F305" s="99"/>
      <c r="G305" s="99"/>
      <c r="H305" s="99"/>
      <c r="I305" s="99"/>
      <c r="J305" s="99"/>
      <c r="K305" s="99"/>
      <c r="L305" s="99"/>
      <c r="M305" s="99"/>
      <c r="N305" s="90"/>
    </row>
    <row r="306" spans="1:14" x14ac:dyDescent="0.2">
      <c r="A306" s="101"/>
      <c r="B306" s="102" t="s">
        <v>263</v>
      </c>
      <c r="C306" s="102"/>
      <c r="D306" s="102"/>
      <c r="E306" s="103"/>
      <c r="F306" s="103"/>
      <c r="G306" s="103"/>
      <c r="H306" s="103"/>
      <c r="I306" s="103"/>
      <c r="J306" s="114" t="s">
        <v>753</v>
      </c>
      <c r="K306" s="113"/>
      <c r="L306" s="113" t="s">
        <v>751</v>
      </c>
      <c r="M306" s="113"/>
      <c r="N306" s="113"/>
    </row>
    <row r="307" spans="1:14" ht="13.5" thickBot="1" x14ac:dyDescent="0.25">
      <c r="A307" s="108"/>
      <c r="B307" s="109"/>
      <c r="C307" s="109"/>
      <c r="D307" s="109"/>
      <c r="E307" s="110"/>
      <c r="F307" s="110"/>
      <c r="G307" s="110"/>
      <c r="H307" s="110"/>
      <c r="I307" s="110"/>
      <c r="J307" s="112" t="s">
        <v>481</v>
      </c>
      <c r="K307" s="94" t="s">
        <v>758</v>
      </c>
      <c r="L307" s="94" t="s">
        <v>341</v>
      </c>
      <c r="M307" s="94" t="s">
        <v>2031</v>
      </c>
      <c r="N307" s="94"/>
    </row>
    <row r="308" spans="1:14" x14ac:dyDescent="0.2">
      <c r="A308" s="101"/>
      <c r="B308" s="448" t="s">
        <v>67</v>
      </c>
      <c r="C308" s="448"/>
      <c r="D308" s="448"/>
      <c r="E308" s="103"/>
      <c r="F308" s="103" t="s">
        <v>1180</v>
      </c>
      <c r="G308" s="103" t="s">
        <v>1484</v>
      </c>
      <c r="H308" s="103" t="s">
        <v>702</v>
      </c>
      <c r="I308" s="103"/>
      <c r="J308" s="89">
        <f>40.5/ATHENS!O1*ATHENS!O2</f>
        <v>82.653061224489804</v>
      </c>
      <c r="K308" s="89">
        <f>56.9/ATHENS!O1*ATHENS!O2</f>
        <v>116.12244897959184</v>
      </c>
      <c r="L308" s="89">
        <f>71.5/ATHENS!O1*ATHENS!O2</f>
        <v>145.91836734693877</v>
      </c>
      <c r="M308" s="89">
        <f>94.5/ATHENS!O1*ATHENS!O2</f>
        <v>192.85714285714286</v>
      </c>
      <c r="N308" s="89"/>
    </row>
    <row r="309" spans="1:14" x14ac:dyDescent="0.2">
      <c r="A309" s="105"/>
      <c r="B309" s="443" t="s">
        <v>67</v>
      </c>
      <c r="C309" s="443"/>
      <c r="D309" s="443"/>
      <c r="E309" s="99"/>
      <c r="F309" s="99" t="s">
        <v>1181</v>
      </c>
      <c r="G309" s="99" t="s">
        <v>1484</v>
      </c>
      <c r="H309" s="99" t="s">
        <v>702</v>
      </c>
      <c r="I309" s="99"/>
      <c r="J309" s="89">
        <f>20.5/ATHENS!O1*ATHENS!O2</f>
        <v>41.836734693877553</v>
      </c>
      <c r="K309" s="89">
        <f>28.5/ATHENS!O1*ATHENS!O2</f>
        <v>58.163265306122447</v>
      </c>
      <c r="L309" s="89">
        <f>35.6/ATHENS!O1*ATHENS!O2</f>
        <v>72.653061224489804</v>
      </c>
      <c r="M309" s="89">
        <f>47.5/ATHENS!O1*ATHENS!O2</f>
        <v>96.938775510204081</v>
      </c>
      <c r="N309" s="89"/>
    </row>
    <row r="310" spans="1:14" ht="13.5" thickBot="1" x14ac:dyDescent="0.25">
      <c r="A310" s="108"/>
      <c r="B310" s="436" t="s">
        <v>67</v>
      </c>
      <c r="C310" s="436"/>
      <c r="D310" s="436"/>
      <c r="E310" s="110"/>
      <c r="F310" s="110" t="s">
        <v>1182</v>
      </c>
      <c r="G310" s="110" t="s">
        <v>1484</v>
      </c>
      <c r="H310" s="110" t="s">
        <v>702</v>
      </c>
      <c r="I310" s="110"/>
      <c r="J310" s="94">
        <f>18.5/ATHENS!O1*ATHENS!O2</f>
        <v>37.755102040816325</v>
      </c>
      <c r="K310" s="94">
        <f>25.6/ATHENS!O1*ATHENS!O2</f>
        <v>52.244897959183675</v>
      </c>
      <c r="L310" s="94">
        <f>32.5/ATHENS!O1*ATHENS!O2</f>
        <v>66.326530612244895</v>
      </c>
      <c r="M310" s="94">
        <f>42.7/ATHENS!O1*ATHENS!O2</f>
        <v>87.142857142857153</v>
      </c>
      <c r="N310" s="94"/>
    </row>
    <row r="311" spans="1:14" ht="13.5" thickBot="1" x14ac:dyDescent="0.25">
      <c r="A311" s="97"/>
      <c r="B311" s="98"/>
      <c r="C311" s="98"/>
      <c r="D311" s="98"/>
      <c r="E311" s="99"/>
      <c r="F311" s="99"/>
      <c r="G311" s="99"/>
      <c r="H311" s="99"/>
      <c r="I311" s="99"/>
      <c r="J311" s="99"/>
      <c r="K311" s="99"/>
      <c r="L311" s="99"/>
      <c r="M311" s="99"/>
      <c r="N311" s="99"/>
    </row>
    <row r="312" spans="1:14" ht="13.5" thickBot="1" x14ac:dyDescent="0.25">
      <c r="A312" s="101"/>
      <c r="B312" s="102"/>
      <c r="C312" s="102"/>
      <c r="D312" s="102"/>
      <c r="E312" s="103"/>
      <c r="F312" s="103"/>
      <c r="G312" s="103"/>
      <c r="H312" s="103"/>
      <c r="I312" s="103"/>
      <c r="J312" s="103"/>
      <c r="K312" s="103"/>
      <c r="L312" s="103"/>
      <c r="M312" s="103"/>
      <c r="N312" s="104"/>
    </row>
    <row r="313" spans="1:14" ht="15.75" thickBot="1" x14ac:dyDescent="0.25">
      <c r="A313" s="105"/>
      <c r="B313" s="459" t="s">
        <v>1500</v>
      </c>
      <c r="C313" s="460"/>
      <c r="D313" s="460"/>
      <c r="E313" s="460"/>
      <c r="F313" s="460"/>
      <c r="G313" s="460"/>
      <c r="H313" s="460"/>
      <c r="I313" s="460"/>
      <c r="J313" s="460"/>
      <c r="K313" s="460"/>
      <c r="L313" s="460"/>
      <c r="M313" s="461"/>
      <c r="N313" s="106" t="s">
        <v>664</v>
      </c>
    </row>
    <row r="314" spans="1:14" x14ac:dyDescent="0.2">
      <c r="A314" s="105"/>
      <c r="B314" s="107" t="s">
        <v>428</v>
      </c>
      <c r="C314" s="98" t="s">
        <v>1501</v>
      </c>
      <c r="D314" s="98"/>
      <c r="E314" s="99"/>
      <c r="F314" s="99"/>
      <c r="G314" s="99"/>
      <c r="H314" s="99"/>
      <c r="I314" s="99"/>
      <c r="J314" s="99"/>
      <c r="K314" s="99"/>
      <c r="L314" s="99"/>
      <c r="M314" s="99"/>
      <c r="N314" s="90"/>
    </row>
    <row r="315" spans="1:14" x14ac:dyDescent="0.2">
      <c r="A315" s="105"/>
      <c r="B315" s="107" t="s">
        <v>429</v>
      </c>
      <c r="C315" s="98" t="s">
        <v>785</v>
      </c>
      <c r="D315" s="98"/>
      <c r="E315" s="99"/>
      <c r="F315" s="99"/>
      <c r="G315" s="99"/>
      <c r="H315" s="99"/>
      <c r="I315" s="99"/>
      <c r="J315" s="99"/>
      <c r="K315" s="99"/>
      <c r="L315" s="99"/>
      <c r="M315" s="99"/>
      <c r="N315" s="90"/>
    </row>
    <row r="316" spans="1:14" x14ac:dyDescent="0.2">
      <c r="A316" s="105"/>
      <c r="B316" s="107" t="s">
        <v>427</v>
      </c>
      <c r="C316" s="455" t="s">
        <v>1238</v>
      </c>
      <c r="D316" s="455"/>
      <c r="E316" s="455"/>
      <c r="F316" s="455"/>
      <c r="G316" s="455"/>
      <c r="H316" s="455"/>
      <c r="I316" s="455"/>
      <c r="J316" s="455"/>
      <c r="K316" s="455"/>
      <c r="L316" s="455"/>
      <c r="M316" s="455"/>
      <c r="N316" s="456"/>
    </row>
    <row r="317" spans="1:14" x14ac:dyDescent="0.2">
      <c r="A317" s="105"/>
      <c r="B317" s="107"/>
      <c r="C317" s="455"/>
      <c r="D317" s="455"/>
      <c r="E317" s="455"/>
      <c r="F317" s="455"/>
      <c r="G317" s="455"/>
      <c r="H317" s="455"/>
      <c r="I317" s="455"/>
      <c r="J317" s="455"/>
      <c r="K317" s="455"/>
      <c r="L317" s="455"/>
      <c r="M317" s="455"/>
      <c r="N317" s="456"/>
    </row>
    <row r="318" spans="1:14" x14ac:dyDescent="0.2">
      <c r="A318" s="105"/>
      <c r="B318" s="107"/>
      <c r="C318" s="455"/>
      <c r="D318" s="455"/>
      <c r="E318" s="455"/>
      <c r="F318" s="455"/>
      <c r="G318" s="455"/>
      <c r="H318" s="455"/>
      <c r="I318" s="455"/>
      <c r="J318" s="455"/>
      <c r="K318" s="455"/>
      <c r="L318" s="455"/>
      <c r="M318" s="455"/>
      <c r="N318" s="456"/>
    </row>
    <row r="319" spans="1:14" x14ac:dyDescent="0.2">
      <c r="A319" s="105"/>
      <c r="B319" s="107"/>
      <c r="C319" s="455"/>
      <c r="D319" s="455"/>
      <c r="E319" s="455"/>
      <c r="F319" s="455"/>
      <c r="G319" s="455"/>
      <c r="H319" s="455"/>
      <c r="I319" s="455"/>
      <c r="J319" s="455"/>
      <c r="K319" s="455"/>
      <c r="L319" s="455"/>
      <c r="M319" s="455"/>
      <c r="N319" s="456"/>
    </row>
    <row r="320" spans="1:14" x14ac:dyDescent="0.2">
      <c r="A320" s="105"/>
      <c r="B320" s="107" t="s">
        <v>426</v>
      </c>
      <c r="C320" s="98" t="s">
        <v>431</v>
      </c>
      <c r="D320" s="98"/>
      <c r="E320" s="99"/>
      <c r="F320" s="99"/>
      <c r="G320" s="99"/>
      <c r="H320" s="99"/>
      <c r="I320" s="99"/>
      <c r="J320" s="99"/>
      <c r="K320" s="99"/>
      <c r="L320" s="99"/>
      <c r="M320" s="99"/>
      <c r="N320" s="90"/>
    </row>
    <row r="321" spans="1:14" ht="13.5" thickBot="1" x14ac:dyDescent="0.25">
      <c r="A321" s="108"/>
      <c r="B321" s="118" t="s">
        <v>430</v>
      </c>
      <c r="C321" s="109"/>
      <c r="D321" s="109"/>
      <c r="E321" s="110"/>
      <c r="F321" s="110"/>
      <c r="G321" s="110"/>
      <c r="H321" s="110"/>
      <c r="I321" s="110"/>
      <c r="J321" s="110"/>
      <c r="K321" s="110"/>
      <c r="L321" s="110"/>
      <c r="M321" s="110"/>
      <c r="N321" s="93"/>
    </row>
    <row r="322" spans="1:14" x14ac:dyDescent="0.2">
      <c r="A322" s="101"/>
      <c r="B322" s="102" t="s">
        <v>263</v>
      </c>
      <c r="C322" s="102"/>
      <c r="D322" s="102"/>
      <c r="E322" s="103"/>
      <c r="F322" s="103"/>
      <c r="G322" s="103"/>
      <c r="H322" s="103"/>
      <c r="I322" s="103"/>
      <c r="J322" s="114" t="s">
        <v>1560</v>
      </c>
      <c r="K322" s="113" t="s">
        <v>1561</v>
      </c>
      <c r="L322" s="113"/>
      <c r="M322" s="113"/>
      <c r="N322" s="113"/>
    </row>
    <row r="323" spans="1:14" ht="13.5" thickBot="1" x14ac:dyDescent="0.25">
      <c r="A323" s="108"/>
      <c r="B323" s="109"/>
      <c r="C323" s="109"/>
      <c r="D323" s="109"/>
      <c r="E323" s="110"/>
      <c r="F323" s="110"/>
      <c r="G323" s="110"/>
      <c r="H323" s="110"/>
      <c r="I323" s="110"/>
      <c r="J323" s="112" t="s">
        <v>168</v>
      </c>
      <c r="K323" s="94" t="s">
        <v>1562</v>
      </c>
      <c r="L323" s="94" t="s">
        <v>1563</v>
      </c>
      <c r="M323" s="94"/>
      <c r="N323" s="94"/>
    </row>
    <row r="324" spans="1:14" x14ac:dyDescent="0.2">
      <c r="A324" s="101"/>
      <c r="B324" s="448" t="s">
        <v>67</v>
      </c>
      <c r="C324" s="448"/>
      <c r="D324" s="448"/>
      <c r="E324" s="103"/>
      <c r="F324" s="103" t="s">
        <v>1180</v>
      </c>
      <c r="G324" s="103" t="s">
        <v>68</v>
      </c>
      <c r="H324" s="103" t="s">
        <v>702</v>
      </c>
      <c r="I324" s="103"/>
      <c r="J324" s="89">
        <f>31.68/ATHENS!O1*ATHENS!O2</f>
        <v>64.65306122448979</v>
      </c>
      <c r="K324" s="89">
        <f>44.8/ATHENS!O1*ATHENS!O2</f>
        <v>91.428571428571431</v>
      </c>
      <c r="L324" s="89">
        <f>64.9/ATHENS!O1*ATHENS!O2</f>
        <v>132.44897959183675</v>
      </c>
      <c r="M324" s="89"/>
      <c r="N324" s="113"/>
    </row>
    <row r="325" spans="1:14" x14ac:dyDescent="0.2">
      <c r="A325" s="105"/>
      <c r="B325" s="443" t="s">
        <v>67</v>
      </c>
      <c r="C325" s="443"/>
      <c r="D325" s="443"/>
      <c r="E325" s="99"/>
      <c r="F325" s="99" t="s">
        <v>1181</v>
      </c>
      <c r="G325" s="99" t="s">
        <v>68</v>
      </c>
      <c r="H325" s="99" t="s">
        <v>702</v>
      </c>
      <c r="I325" s="99"/>
      <c r="J325" s="89">
        <f>19.5/ATHENS!O1*ATHENS!O2</f>
        <v>39.795918367346943</v>
      </c>
      <c r="K325" s="89">
        <f>27.9/ATHENS!O1*ATHENS!O2</f>
        <v>56.938775510204081</v>
      </c>
      <c r="L325" s="89">
        <f>40.7/ATHENS!O1*ATHENS!O2</f>
        <v>83.061224489795919</v>
      </c>
      <c r="M325" s="89"/>
      <c r="N325" s="89"/>
    </row>
    <row r="326" spans="1:14" ht="13.5" thickBot="1" x14ac:dyDescent="0.25">
      <c r="A326" s="108"/>
      <c r="B326" s="436" t="s">
        <v>902</v>
      </c>
      <c r="C326" s="436"/>
      <c r="D326" s="436"/>
      <c r="E326" s="110"/>
      <c r="F326" s="110"/>
      <c r="G326" s="110"/>
      <c r="H326" s="110" t="s">
        <v>702</v>
      </c>
      <c r="I326" s="110"/>
      <c r="J326" s="94">
        <f>10/ATHENS!O1*ATHENS!O2</f>
        <v>20.408163265306122</v>
      </c>
      <c r="K326" s="94">
        <f>10/ATHENS!O1*ATHENS!O2</f>
        <v>20.408163265306122</v>
      </c>
      <c r="L326" s="94">
        <f>10/ATHENS!O1*ATHENS!O2</f>
        <v>20.408163265306122</v>
      </c>
      <c r="M326" s="94"/>
      <c r="N326" s="94"/>
    </row>
    <row r="327" spans="1:14" ht="13.5" thickBot="1" x14ac:dyDescent="0.25">
      <c r="A327" s="119"/>
      <c r="B327" s="120" t="s">
        <v>1118</v>
      </c>
      <c r="C327" s="120"/>
      <c r="D327" s="120"/>
      <c r="E327" s="121"/>
      <c r="F327" s="121"/>
      <c r="G327" s="121"/>
      <c r="H327" s="121"/>
      <c r="I327" s="121"/>
      <c r="J327" s="121"/>
      <c r="K327" s="121"/>
      <c r="L327" s="121"/>
      <c r="M327" s="121"/>
      <c r="N327" s="122"/>
    </row>
    <row r="328" spans="1:14" x14ac:dyDescent="0.2">
      <c r="A328" s="97"/>
      <c r="B328" s="98"/>
      <c r="C328" s="98"/>
      <c r="D328" s="98"/>
      <c r="E328" s="99"/>
      <c r="F328" s="99"/>
      <c r="G328" s="99"/>
      <c r="H328" s="99"/>
      <c r="I328" s="99"/>
      <c r="J328" s="99"/>
      <c r="K328" s="99"/>
      <c r="L328" s="99"/>
      <c r="M328" s="99"/>
      <c r="N328" s="99"/>
    </row>
    <row r="329" spans="1:14" ht="13.5" thickBot="1" x14ac:dyDescent="0.25">
      <c r="A329" s="97"/>
      <c r="B329" s="98"/>
      <c r="C329" s="98"/>
      <c r="D329" s="98"/>
      <c r="E329" s="99"/>
      <c r="F329" s="99"/>
      <c r="G329" s="99"/>
      <c r="H329" s="99"/>
      <c r="I329" s="99"/>
      <c r="J329" s="99"/>
      <c r="K329" s="99"/>
      <c r="L329" s="99"/>
      <c r="M329" s="99"/>
      <c r="N329" s="99"/>
    </row>
    <row r="330" spans="1:14" ht="13.5" thickBot="1" x14ac:dyDescent="0.25">
      <c r="A330" s="101"/>
      <c r="B330" s="102"/>
      <c r="C330" s="102"/>
      <c r="D330" s="102"/>
      <c r="E330" s="103"/>
      <c r="F330" s="103"/>
      <c r="G330" s="103"/>
      <c r="H330" s="103"/>
      <c r="I330" s="103"/>
      <c r="J330" s="103"/>
      <c r="K330" s="103"/>
      <c r="L330" s="103"/>
      <c r="M330" s="103"/>
      <c r="N330" s="104"/>
    </row>
    <row r="331" spans="1:14" ht="15.75" thickBot="1" x14ac:dyDescent="0.25">
      <c r="A331" s="105"/>
      <c r="B331" s="459" t="s">
        <v>668</v>
      </c>
      <c r="C331" s="460"/>
      <c r="D331" s="460"/>
      <c r="E331" s="460"/>
      <c r="F331" s="460"/>
      <c r="G331" s="460"/>
      <c r="H331" s="460"/>
      <c r="I331" s="460"/>
      <c r="J331" s="460"/>
      <c r="K331" s="460"/>
      <c r="L331" s="460"/>
      <c r="M331" s="461"/>
      <c r="N331" s="106" t="s">
        <v>664</v>
      </c>
    </row>
    <row r="332" spans="1:14" x14ac:dyDescent="0.2">
      <c r="A332" s="105"/>
      <c r="B332" s="107" t="s">
        <v>428</v>
      </c>
      <c r="C332" s="98" t="s">
        <v>626</v>
      </c>
      <c r="D332" s="98"/>
      <c r="E332" s="99"/>
      <c r="F332" s="99"/>
      <c r="G332" s="99"/>
      <c r="H332" s="99"/>
      <c r="I332" s="99"/>
      <c r="J332" s="99"/>
      <c r="K332" s="99"/>
      <c r="L332" s="99"/>
      <c r="M332" s="99"/>
      <c r="N332" s="90"/>
    </row>
    <row r="333" spans="1:14" x14ac:dyDescent="0.2">
      <c r="A333" s="105"/>
      <c r="B333" s="107" t="s">
        <v>429</v>
      </c>
      <c r="C333" s="98" t="s">
        <v>1071</v>
      </c>
      <c r="D333" s="98"/>
      <c r="E333" s="99"/>
      <c r="F333" s="99"/>
      <c r="G333" s="99"/>
      <c r="H333" s="99"/>
      <c r="I333" s="99"/>
      <c r="J333" s="99"/>
      <c r="K333" s="99"/>
      <c r="L333" s="99"/>
      <c r="M333" s="99"/>
      <c r="N333" s="90"/>
    </row>
    <row r="334" spans="1:14" x14ac:dyDescent="0.2">
      <c r="A334" s="105"/>
      <c r="B334" s="107" t="s">
        <v>427</v>
      </c>
      <c r="C334" s="455" t="s">
        <v>951</v>
      </c>
      <c r="D334" s="455"/>
      <c r="E334" s="455"/>
      <c r="F334" s="455"/>
      <c r="G334" s="455"/>
      <c r="H334" s="455"/>
      <c r="I334" s="455"/>
      <c r="J334" s="455"/>
      <c r="K334" s="455"/>
      <c r="L334" s="455"/>
      <c r="M334" s="455"/>
      <c r="N334" s="456"/>
    </row>
    <row r="335" spans="1:14" x14ac:dyDescent="0.2">
      <c r="A335" s="105"/>
      <c r="B335" s="98"/>
      <c r="C335" s="455"/>
      <c r="D335" s="455"/>
      <c r="E335" s="455"/>
      <c r="F335" s="455"/>
      <c r="G335" s="455"/>
      <c r="H335" s="455"/>
      <c r="I335" s="455"/>
      <c r="J335" s="455"/>
      <c r="K335" s="455"/>
      <c r="L335" s="455"/>
      <c r="M335" s="455"/>
      <c r="N335" s="456"/>
    </row>
    <row r="336" spans="1:14" x14ac:dyDescent="0.2">
      <c r="A336" s="105"/>
      <c r="B336" s="98"/>
      <c r="C336" s="455"/>
      <c r="D336" s="455"/>
      <c r="E336" s="455"/>
      <c r="F336" s="455"/>
      <c r="G336" s="455"/>
      <c r="H336" s="455"/>
      <c r="I336" s="455"/>
      <c r="J336" s="455"/>
      <c r="K336" s="455"/>
      <c r="L336" s="455"/>
      <c r="M336" s="455"/>
      <c r="N336" s="456"/>
    </row>
    <row r="337" spans="1:14" x14ac:dyDescent="0.2">
      <c r="A337" s="105"/>
      <c r="B337" s="98"/>
      <c r="C337" s="455"/>
      <c r="D337" s="455"/>
      <c r="E337" s="455"/>
      <c r="F337" s="455"/>
      <c r="G337" s="455"/>
      <c r="H337" s="455"/>
      <c r="I337" s="455"/>
      <c r="J337" s="455"/>
      <c r="K337" s="455"/>
      <c r="L337" s="455"/>
      <c r="M337" s="455"/>
      <c r="N337" s="456"/>
    </row>
    <row r="338" spans="1:14" x14ac:dyDescent="0.2">
      <c r="A338" s="105"/>
      <c r="B338" s="98"/>
      <c r="C338" s="455"/>
      <c r="D338" s="455"/>
      <c r="E338" s="455"/>
      <c r="F338" s="455"/>
      <c r="G338" s="455"/>
      <c r="H338" s="455"/>
      <c r="I338" s="455"/>
      <c r="J338" s="455"/>
      <c r="K338" s="455"/>
      <c r="L338" s="455"/>
      <c r="M338" s="455"/>
      <c r="N338" s="456"/>
    </row>
    <row r="339" spans="1:14" x14ac:dyDescent="0.2">
      <c r="A339" s="105"/>
      <c r="B339" s="98"/>
      <c r="C339" s="455"/>
      <c r="D339" s="455"/>
      <c r="E339" s="455"/>
      <c r="F339" s="455"/>
      <c r="G339" s="455"/>
      <c r="H339" s="455"/>
      <c r="I339" s="455"/>
      <c r="J339" s="455"/>
      <c r="K339" s="455"/>
      <c r="L339" s="455"/>
      <c r="M339" s="455"/>
      <c r="N339" s="456"/>
    </row>
    <row r="340" spans="1:14" x14ac:dyDescent="0.2">
      <c r="A340" s="105"/>
      <c r="B340" s="107" t="s">
        <v>426</v>
      </c>
      <c r="C340" s="98" t="s">
        <v>899</v>
      </c>
      <c r="D340" s="98"/>
      <c r="E340" s="99"/>
      <c r="F340" s="99"/>
      <c r="G340" s="99"/>
      <c r="H340" s="99"/>
      <c r="I340" s="99"/>
      <c r="J340" s="99"/>
      <c r="K340" s="99"/>
      <c r="L340" s="99"/>
      <c r="M340" s="99"/>
      <c r="N340" s="90"/>
    </row>
    <row r="341" spans="1:14" ht="13.5" thickBot="1" x14ac:dyDescent="0.25">
      <c r="A341" s="108"/>
      <c r="B341" s="107" t="s">
        <v>430</v>
      </c>
      <c r="C341" s="109"/>
      <c r="D341" s="109"/>
      <c r="E341" s="110"/>
      <c r="F341" s="110"/>
      <c r="G341" s="110"/>
      <c r="H341" s="110"/>
      <c r="I341" s="110"/>
      <c r="J341" s="110"/>
      <c r="K341" s="110"/>
      <c r="L341" s="110"/>
      <c r="M341" s="110"/>
      <c r="N341" s="93"/>
    </row>
    <row r="342" spans="1:14" x14ac:dyDescent="0.2">
      <c r="A342" s="101"/>
      <c r="B342" s="102" t="s">
        <v>263</v>
      </c>
      <c r="C342" s="102"/>
      <c r="D342" s="102"/>
      <c r="E342" s="103"/>
      <c r="F342" s="103"/>
      <c r="G342" s="103"/>
      <c r="H342" s="103"/>
      <c r="I342" s="103"/>
      <c r="J342" s="114" t="s">
        <v>339</v>
      </c>
      <c r="K342" s="113"/>
      <c r="L342" s="113"/>
      <c r="M342" s="113"/>
      <c r="N342" s="113"/>
    </row>
    <row r="343" spans="1:14" ht="13.5" thickBot="1" x14ac:dyDescent="0.25">
      <c r="A343" s="108"/>
      <c r="B343" s="109"/>
      <c r="C343" s="109"/>
      <c r="D343" s="109"/>
      <c r="E343" s="110"/>
      <c r="F343" s="110"/>
      <c r="G343" s="110"/>
      <c r="H343" s="110"/>
      <c r="I343" s="110"/>
      <c r="J343" s="112" t="s">
        <v>481</v>
      </c>
      <c r="K343" s="94" t="s">
        <v>279</v>
      </c>
      <c r="L343" s="94" t="s">
        <v>514</v>
      </c>
      <c r="M343" s="94" t="s">
        <v>832</v>
      </c>
      <c r="N343" s="94"/>
    </row>
    <row r="344" spans="1:14" x14ac:dyDescent="0.2">
      <c r="A344" s="101"/>
      <c r="B344" s="448" t="s">
        <v>67</v>
      </c>
      <c r="C344" s="448"/>
      <c r="D344" s="448"/>
      <c r="E344" s="103"/>
      <c r="F344" s="103" t="s">
        <v>1180</v>
      </c>
      <c r="G344" s="103" t="s">
        <v>68</v>
      </c>
      <c r="H344" s="103" t="s">
        <v>702</v>
      </c>
      <c r="I344" s="103"/>
      <c r="J344" s="89">
        <f>35/ATHENS!O1*ATHENS!O2</f>
        <v>71.428571428571431</v>
      </c>
      <c r="K344" s="89">
        <f>46/ATHENS!O1*ATHENS!O2</f>
        <v>93.877551020408163</v>
      </c>
      <c r="L344" s="89">
        <f>65/ATHENS!O1*ATHENS!O2</f>
        <v>132.65306122448979</v>
      </c>
      <c r="M344" s="89">
        <f>47/ATHENS!O1*ATHENS!O2</f>
        <v>95.91836734693878</v>
      </c>
      <c r="N344" s="89"/>
    </row>
    <row r="345" spans="1:14" x14ac:dyDescent="0.2">
      <c r="A345" s="105"/>
      <c r="B345" s="443" t="s">
        <v>67</v>
      </c>
      <c r="C345" s="443"/>
      <c r="D345" s="443"/>
      <c r="E345" s="99"/>
      <c r="F345" s="99" t="s">
        <v>1181</v>
      </c>
      <c r="G345" s="99" t="s">
        <v>68</v>
      </c>
      <c r="H345" s="99" t="s">
        <v>702</v>
      </c>
      <c r="I345" s="99"/>
      <c r="J345" s="89">
        <f>19/ATHENS!O1*ATHENS!O2</f>
        <v>38.775510204081634</v>
      </c>
      <c r="K345" s="89">
        <f>27/ATHENS!O1*ATHENS!O2</f>
        <v>55.102040816326529</v>
      </c>
      <c r="L345" s="89">
        <f>42.5/ATHENS!O1*ATHENS!O2</f>
        <v>86.734693877551024</v>
      </c>
      <c r="M345" s="89">
        <f>30.5/ATHENS!O1*ATHENS!O2</f>
        <v>62.244897959183675</v>
      </c>
      <c r="N345" s="89"/>
    </row>
    <row r="346" spans="1:14" ht="13.5" thickBot="1" x14ac:dyDescent="0.25">
      <c r="A346" s="108"/>
      <c r="B346" s="436" t="s">
        <v>67</v>
      </c>
      <c r="C346" s="436"/>
      <c r="D346" s="436"/>
      <c r="E346" s="110"/>
      <c r="F346" s="110" t="s">
        <v>1182</v>
      </c>
      <c r="G346" s="110" t="s">
        <v>68</v>
      </c>
      <c r="H346" s="110" t="s">
        <v>702</v>
      </c>
      <c r="I346" s="110"/>
      <c r="J346" s="94">
        <f>25.5/ATHENS!O1*ATHENS!O2</f>
        <v>52.04081632653061</v>
      </c>
      <c r="K346" s="94">
        <f>24.5/ATHENS!O1*ATHENS!O2</f>
        <v>50</v>
      </c>
      <c r="L346" s="94">
        <f>38.5/ATHENS!O1*ATHENS!O2</f>
        <v>78.571428571428569</v>
      </c>
      <c r="M346" s="94">
        <f>27.6/ATHENS!O1*ATHENS!O2</f>
        <v>56.326530612244902</v>
      </c>
      <c r="N346" s="94"/>
    </row>
    <row r="347" spans="1:14" x14ac:dyDescent="0.2">
      <c r="A347" s="97"/>
      <c r="B347" s="98"/>
      <c r="C347" s="98"/>
      <c r="D347" s="98"/>
      <c r="E347" s="99"/>
      <c r="F347" s="99"/>
      <c r="G347" s="99"/>
      <c r="H347" s="99"/>
      <c r="I347" s="99"/>
      <c r="J347" s="99"/>
      <c r="K347" s="99"/>
      <c r="L347" s="99"/>
      <c r="M347" s="99"/>
      <c r="N347" s="99"/>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view="pageLayout">
      <selection activeCell="M51" sqref="M51"/>
      <rowBreaks count="5" manualBreakCount="5">
        <brk id="33" max="16383" man="1"/>
        <brk id="113" max="16383" man="1"/>
        <brk id="165" max="16383" man="1"/>
        <brk id="183" max="16383" man="1"/>
        <brk id="237" max="16383" man="1"/>
      </rowBreaks>
      <pageMargins left="0.28125" right="0.25" top="0.6692913385826772" bottom="0.70866141732283472" header="0.23622047244094491" footer="0.47244094488188981"/>
      <printOptions horizontalCentered="1"/>
      <pageSetup paperSize="9" firstPageNumber="84"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97">
    <mergeCell ref="C316:N319"/>
    <mergeCell ref="B309:D309"/>
    <mergeCell ref="B344:D344"/>
    <mergeCell ref="B277:D277"/>
    <mergeCell ref="B310:D310"/>
    <mergeCell ref="B313:M313"/>
    <mergeCell ref="B279:D279"/>
    <mergeCell ref="B308:D308"/>
    <mergeCell ref="C302:N304"/>
    <mergeCell ref="B299:M299"/>
    <mergeCell ref="B278:D278"/>
    <mergeCell ref="B346:D346"/>
    <mergeCell ref="B331:M331"/>
    <mergeCell ref="B234:D234"/>
    <mergeCell ref="B265:D265"/>
    <mergeCell ref="B264:D264"/>
    <mergeCell ref="B236:D236"/>
    <mergeCell ref="B263:D263"/>
    <mergeCell ref="B345:D345"/>
    <mergeCell ref="B325:D325"/>
    <mergeCell ref="B326:D326"/>
    <mergeCell ref="B324:D324"/>
    <mergeCell ref="B268:M268"/>
    <mergeCell ref="C271:N273"/>
    <mergeCell ref="B253:M253"/>
    <mergeCell ref="C256:N259"/>
    <mergeCell ref="C334:N339"/>
    <mergeCell ref="B250:D250"/>
    <mergeCell ref="B249:D249"/>
    <mergeCell ref="B239:M239"/>
    <mergeCell ref="C222:N227"/>
    <mergeCell ref="B232:D232"/>
    <mergeCell ref="B235:D235"/>
    <mergeCell ref="B181:D181"/>
    <mergeCell ref="B233:D233"/>
    <mergeCell ref="B199:D199"/>
    <mergeCell ref="B248:D248"/>
    <mergeCell ref="B219:M219"/>
    <mergeCell ref="C188:N192"/>
    <mergeCell ref="B197:D197"/>
    <mergeCell ref="B203:M203"/>
    <mergeCell ref="B216:D216"/>
    <mergeCell ref="B214:D214"/>
    <mergeCell ref="B215:D215"/>
    <mergeCell ref="C242:N244"/>
    <mergeCell ref="B198:D198"/>
    <mergeCell ref="B134:M134"/>
    <mergeCell ref="C206:N208"/>
    <mergeCell ref="B160:D160"/>
    <mergeCell ref="B164:D164"/>
    <mergeCell ref="B149:M149"/>
    <mergeCell ref="B146:D146"/>
    <mergeCell ref="B144:D144"/>
    <mergeCell ref="B145:D145"/>
    <mergeCell ref="C137:N139"/>
    <mergeCell ref="C152:N154"/>
    <mergeCell ref="B161:D161"/>
    <mergeCell ref="B167:M167"/>
    <mergeCell ref="B179:D179"/>
    <mergeCell ref="B180:D180"/>
    <mergeCell ref="B185:M185"/>
    <mergeCell ref="C170:N174"/>
    <mergeCell ref="B129:D129"/>
    <mergeCell ref="B131:D131"/>
    <mergeCell ref="C118:N122"/>
    <mergeCell ref="B127:D127"/>
    <mergeCell ref="B128:D128"/>
    <mergeCell ref="B130:D130"/>
    <mergeCell ref="B111:D111"/>
    <mergeCell ref="B115:M115"/>
    <mergeCell ref="B94:M94"/>
    <mergeCell ref="C97:N102"/>
    <mergeCell ref="B107:D107"/>
    <mergeCell ref="B110:D110"/>
    <mergeCell ref="B112:D112"/>
    <mergeCell ref="B48:D48"/>
    <mergeCell ref="B31:D31"/>
    <mergeCell ref="B35:M35"/>
    <mergeCell ref="B32:D32"/>
    <mergeCell ref="B109:D109"/>
    <mergeCell ref="B108:D108"/>
    <mergeCell ref="B72:D72"/>
    <mergeCell ref="B52:M52"/>
    <mergeCell ref="B70:D70"/>
    <mergeCell ref="B71:D71"/>
    <mergeCell ref="C55:N67"/>
    <mergeCell ref="B4:M4"/>
    <mergeCell ref="C7:N10"/>
    <mergeCell ref="B15:D15"/>
    <mergeCell ref="B47:D47"/>
    <mergeCell ref="B17:D17"/>
    <mergeCell ref="C38:N42"/>
    <mergeCell ref="B20:M20"/>
    <mergeCell ref="C23:N25"/>
    <mergeCell ref="B30:D30"/>
    <mergeCell ref="B16:D16"/>
    <mergeCell ref="B46:D46"/>
  </mergeCells>
  <phoneticPr fontId="0" type="noConversion"/>
  <hyperlinks>
    <hyperlink ref="B35:M35" r:id="rId3" display="Grand - Rhodes" xr:uid="{00000000-0004-0000-2100-000000000000}"/>
    <hyperlink ref="B115:M115" r:id="rId4" display="Rodos Park" xr:uid="{00000000-0004-0000-2100-000001000000}"/>
    <hyperlink ref="B94:M94" r:id="rId5" display="Rodos Palace" xr:uid="{00000000-0004-0000-2100-000002000000}"/>
    <hyperlink ref="B167:M167" r:id="rId6" display="Belair Beach" xr:uid="{00000000-0004-0000-2100-000003000000}"/>
    <hyperlink ref="B185:M185" r:id="rId7" display="Dionyssos" xr:uid="{00000000-0004-0000-2100-000004000000}"/>
    <hyperlink ref="B20:M20" r:id="rId8" display="Electra Palace" xr:uid="{00000000-0004-0000-2100-000005000000}"/>
    <hyperlink ref="B203:M203" r:id="rId9" display="Ibiscus" xr:uid="{00000000-0004-0000-2100-000006000000}"/>
    <hyperlink ref="B219:M219" r:id="rId10" display="Kresten Palace" xr:uid="{00000000-0004-0000-2100-000007000000}"/>
    <hyperlink ref="B239:M239" r:id="rId11" display="Lindos Mare" xr:uid="{00000000-0004-0000-2100-000008000000}"/>
    <hyperlink ref="B253:M253" r:id="rId12" display="Mediterranean" xr:uid="{00000000-0004-0000-2100-000009000000}"/>
    <hyperlink ref="B268:M268" r:id="rId13" display="Plaza Best Western" xr:uid="{00000000-0004-0000-2100-00000A000000}"/>
    <hyperlink ref="B149:M149" r:id="rId14" display="Aquarium" xr:uid="{00000000-0004-0000-2100-00000B000000}"/>
    <hyperlink ref="B299:M299" r:id="rId15" display="Agla" xr:uid="{00000000-0004-0000-2100-00000C000000}"/>
    <hyperlink ref="B313:M313" r:id="rId16" display="Kipriotis" xr:uid="{00000000-0004-0000-2100-00000D000000}"/>
    <hyperlink ref="B331:M331" r:id="rId17" display="Manousos" xr:uid="{00000000-0004-0000-2100-00000E000000}"/>
    <hyperlink ref="B4:M4" r:id="rId18" display="Atrium Palace" xr:uid="{00000000-0004-0000-2100-00000F000000}"/>
    <hyperlink ref="B52:M52" r:id="rId19" display="Ixian Grand" xr:uid="{00000000-0004-0000-2100-000010000000}"/>
    <hyperlink ref="B134:M134" r:id="rId20" display="Sheraton Rhodos Resort" xr:uid="{00000000-0004-0000-2100-000011000000}"/>
  </hyperlinks>
  <printOptions horizontalCentered="1"/>
  <pageMargins left="0.28125" right="0.25" top="0.6692913385826772" bottom="0.70866141732283472" header="0.23622047244094491" footer="0.47244094488188981"/>
  <pageSetup paperSize="9" firstPageNumber="84" orientation="portrait" useFirstPageNumber="1" horizontalDpi="300" verticalDpi="300" r:id="rId21"/>
  <headerFooter scaleWithDoc="0" alignWithMargins="0">
    <oddHeader xml:space="preserve">&amp;C TARIFF 2026
 (EURO)
</oddHeader>
    <oddFooter>&amp;LAll rates are in EURO&amp;C
TARIFF 2026
&amp;RPage &amp;P</oddFooter>
  </headerFooter>
  <rowBreaks count="5" manualBreakCount="5">
    <brk id="33" max="16383" man="1"/>
    <brk id="113" max="16383" man="1"/>
    <brk id="165" max="16383" man="1"/>
    <brk id="183" max="16383" man="1"/>
    <brk id="237" max="16383"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1"/>
  <dimension ref="A1:N19"/>
  <sheetViews>
    <sheetView showGridLines="0" view="pageLayout" topLeftCell="A67" workbookViewId="0">
      <selection activeCell="L114" sqref="L114"/>
    </sheetView>
  </sheetViews>
  <sheetFormatPr defaultRowHeight="12.75" x14ac:dyDescent="0.2"/>
  <cols>
    <col min="1" max="1" width="1.85546875" style="100" customWidth="1"/>
    <col min="2" max="3" width="10.7109375" style="100" customWidth="1"/>
    <col min="4" max="9" width="3.7109375" style="100" customWidth="1"/>
    <col min="10" max="14" width="10.7109375" style="100" customWidth="1"/>
    <col min="15" max="15" width="9.28515625" style="100" customWidth="1"/>
    <col min="16" max="20" width="3.7109375" style="100" customWidth="1"/>
    <col min="21" max="21" width="3.28515625" style="100" customWidth="1"/>
    <col min="22" max="25" width="2.7109375" style="100" customWidth="1"/>
    <col min="26" max="16384" width="9.140625" style="100"/>
  </cols>
  <sheetData>
    <row r="1" spans="1:14" ht="13.5" thickBot="1" x14ac:dyDescent="0.25">
      <c r="A1" s="101"/>
      <c r="B1" s="102"/>
      <c r="C1" s="102"/>
      <c r="D1" s="102"/>
      <c r="E1" s="103"/>
      <c r="F1" s="103"/>
      <c r="G1" s="103"/>
      <c r="H1" s="103"/>
      <c r="I1" s="103"/>
      <c r="J1" s="103"/>
      <c r="K1" s="103"/>
      <c r="L1" s="103"/>
      <c r="M1" s="103"/>
      <c r="N1" s="104"/>
    </row>
    <row r="2" spans="1:14" ht="15.75" thickBot="1" x14ac:dyDescent="0.25">
      <c r="A2" s="105"/>
      <c r="B2" s="459" t="s">
        <v>1343</v>
      </c>
      <c r="C2" s="460"/>
      <c r="D2" s="460"/>
      <c r="E2" s="460"/>
      <c r="F2" s="460"/>
      <c r="G2" s="460"/>
      <c r="H2" s="460"/>
      <c r="I2" s="460"/>
      <c r="J2" s="460"/>
      <c r="K2" s="460"/>
      <c r="L2" s="460"/>
      <c r="M2" s="461"/>
      <c r="N2" s="106" t="s">
        <v>96</v>
      </c>
    </row>
    <row r="3" spans="1:14" x14ac:dyDescent="0.2">
      <c r="A3" s="105"/>
      <c r="B3" s="107" t="s">
        <v>428</v>
      </c>
      <c r="C3" s="98" t="s">
        <v>1344</v>
      </c>
      <c r="D3" s="98"/>
      <c r="E3" s="99"/>
      <c r="F3" s="99"/>
      <c r="G3" s="99"/>
      <c r="H3" s="99"/>
      <c r="I3" s="99"/>
      <c r="J3" s="99"/>
      <c r="K3" s="99"/>
      <c r="L3" s="99"/>
      <c r="M3" s="99"/>
      <c r="N3" s="90"/>
    </row>
    <row r="4" spans="1:14" x14ac:dyDescent="0.2">
      <c r="A4" s="105"/>
      <c r="B4" s="107" t="s">
        <v>429</v>
      </c>
      <c r="C4" s="98" t="s">
        <v>861</v>
      </c>
      <c r="D4" s="98"/>
      <c r="E4" s="99"/>
      <c r="F4" s="99"/>
      <c r="G4" s="99"/>
      <c r="H4" s="99"/>
      <c r="I4" s="99"/>
      <c r="J4" s="99"/>
      <c r="K4" s="99"/>
      <c r="L4" s="99"/>
      <c r="M4" s="99"/>
      <c r="N4" s="90"/>
    </row>
    <row r="5" spans="1:14" x14ac:dyDescent="0.2">
      <c r="A5" s="105"/>
      <c r="B5" s="107" t="s">
        <v>427</v>
      </c>
      <c r="C5" s="455" t="s">
        <v>953</v>
      </c>
      <c r="D5" s="455"/>
      <c r="E5" s="455"/>
      <c r="F5" s="455"/>
      <c r="G5" s="455"/>
      <c r="H5" s="455"/>
      <c r="I5" s="455"/>
      <c r="J5" s="455"/>
      <c r="K5" s="455"/>
      <c r="L5" s="455"/>
      <c r="M5" s="455"/>
      <c r="N5" s="456"/>
    </row>
    <row r="6" spans="1:14" x14ac:dyDescent="0.2">
      <c r="A6" s="105"/>
      <c r="B6" s="107"/>
      <c r="C6" s="455"/>
      <c r="D6" s="455"/>
      <c r="E6" s="455"/>
      <c r="F6" s="455"/>
      <c r="G6" s="455"/>
      <c r="H6" s="455"/>
      <c r="I6" s="455"/>
      <c r="J6" s="455"/>
      <c r="K6" s="455"/>
      <c r="L6" s="455"/>
      <c r="M6" s="455"/>
      <c r="N6" s="456"/>
    </row>
    <row r="7" spans="1:14" x14ac:dyDescent="0.2">
      <c r="A7" s="105"/>
      <c r="B7" s="107"/>
      <c r="C7" s="455"/>
      <c r="D7" s="455"/>
      <c r="E7" s="455"/>
      <c r="F7" s="455"/>
      <c r="G7" s="455"/>
      <c r="H7" s="455"/>
      <c r="I7" s="455"/>
      <c r="J7" s="455"/>
      <c r="K7" s="455"/>
      <c r="L7" s="455"/>
      <c r="M7" s="455"/>
      <c r="N7" s="456"/>
    </row>
    <row r="8" spans="1:14" x14ac:dyDescent="0.2">
      <c r="A8" s="105"/>
      <c r="B8" s="98"/>
      <c r="C8" s="455"/>
      <c r="D8" s="455"/>
      <c r="E8" s="455"/>
      <c r="F8" s="455"/>
      <c r="G8" s="455"/>
      <c r="H8" s="455"/>
      <c r="I8" s="455"/>
      <c r="J8" s="455"/>
      <c r="K8" s="455"/>
      <c r="L8" s="455"/>
      <c r="M8" s="455"/>
      <c r="N8" s="456"/>
    </row>
    <row r="9" spans="1:14" x14ac:dyDescent="0.2">
      <c r="A9" s="105"/>
      <c r="B9" s="98"/>
      <c r="C9" s="455"/>
      <c r="D9" s="455"/>
      <c r="E9" s="455"/>
      <c r="F9" s="455"/>
      <c r="G9" s="455"/>
      <c r="H9" s="455"/>
      <c r="I9" s="455"/>
      <c r="J9" s="455"/>
      <c r="K9" s="455"/>
      <c r="L9" s="455"/>
      <c r="M9" s="455"/>
      <c r="N9" s="456"/>
    </row>
    <row r="10" spans="1:14" x14ac:dyDescent="0.2">
      <c r="A10" s="105"/>
      <c r="B10" s="107" t="s">
        <v>426</v>
      </c>
      <c r="C10" s="98" t="s">
        <v>1345</v>
      </c>
      <c r="D10" s="98"/>
      <c r="E10" s="99"/>
      <c r="F10" s="99"/>
      <c r="G10" s="99"/>
      <c r="H10" s="99"/>
      <c r="I10" s="99"/>
      <c r="J10" s="99"/>
      <c r="K10" s="99"/>
      <c r="L10" s="99"/>
      <c r="M10" s="99"/>
      <c r="N10" s="90"/>
    </row>
    <row r="11" spans="1:14" ht="13.5" thickBot="1" x14ac:dyDescent="0.25">
      <c r="A11" s="108"/>
      <c r="B11" s="118" t="s">
        <v>430</v>
      </c>
      <c r="C11" s="109"/>
      <c r="D11" s="109"/>
      <c r="E11" s="110"/>
      <c r="F11" s="110"/>
      <c r="G11" s="110"/>
      <c r="H11" s="110"/>
      <c r="I11" s="110"/>
      <c r="J11" s="110"/>
      <c r="K11" s="110"/>
      <c r="L11" s="110"/>
      <c r="M11" s="110"/>
      <c r="N11" s="93"/>
    </row>
    <row r="12" spans="1:14" x14ac:dyDescent="0.2">
      <c r="A12" s="101"/>
      <c r="B12" s="102" t="s">
        <v>263</v>
      </c>
      <c r="C12" s="102"/>
      <c r="D12" s="102"/>
      <c r="E12" s="103"/>
      <c r="F12" s="103"/>
      <c r="G12" s="103"/>
      <c r="H12" s="103"/>
      <c r="I12" s="103"/>
      <c r="J12" s="114" t="s">
        <v>1408</v>
      </c>
      <c r="K12" s="114" t="s">
        <v>2065</v>
      </c>
      <c r="L12" s="114"/>
      <c r="M12" s="113"/>
      <c r="N12" s="113"/>
    </row>
    <row r="13" spans="1:14" ht="13.5" thickBot="1" x14ac:dyDescent="0.25">
      <c r="A13" s="108"/>
      <c r="B13" s="109"/>
      <c r="C13" s="109"/>
      <c r="D13" s="109"/>
      <c r="E13" s="110"/>
      <c r="F13" s="110"/>
      <c r="G13" s="110"/>
      <c r="H13" s="110"/>
      <c r="I13" s="110"/>
      <c r="J13" s="112" t="s">
        <v>2064</v>
      </c>
      <c r="K13" s="112" t="s">
        <v>578</v>
      </c>
      <c r="L13" s="112" t="s">
        <v>1589</v>
      </c>
      <c r="M13" s="94"/>
      <c r="N13" s="94"/>
    </row>
    <row r="14" spans="1:14" x14ac:dyDescent="0.2">
      <c r="A14" s="101"/>
      <c r="B14" s="448" t="s">
        <v>67</v>
      </c>
      <c r="C14" s="448"/>
      <c r="D14" s="448"/>
      <c r="E14" s="103"/>
      <c r="F14" s="103" t="s">
        <v>1180</v>
      </c>
      <c r="G14" s="103" t="s">
        <v>1484</v>
      </c>
      <c r="H14" s="103" t="s">
        <v>702</v>
      </c>
      <c r="I14" s="103"/>
      <c r="J14" s="89">
        <f>102.6/ATHENS!O1*ATHENS!O2</f>
        <v>209.38775510204081</v>
      </c>
      <c r="K14" s="89">
        <f>133.5/ATHENS!O1*ATHENS!O2</f>
        <v>272.44897959183675</v>
      </c>
      <c r="L14" s="89">
        <f>159.5/ATHENS!O1*ATHENS!O2</f>
        <v>325.51020408163265</v>
      </c>
      <c r="M14" s="113"/>
      <c r="N14" s="113"/>
    </row>
    <row r="15" spans="1:14" x14ac:dyDescent="0.2">
      <c r="A15" s="105"/>
      <c r="B15" s="443" t="s">
        <v>862</v>
      </c>
      <c r="C15" s="443"/>
      <c r="D15" s="443"/>
      <c r="E15" s="99"/>
      <c r="F15" s="99" t="s">
        <v>1181</v>
      </c>
      <c r="G15" s="99" t="s">
        <v>1484</v>
      </c>
      <c r="H15" s="99" t="s">
        <v>702</v>
      </c>
      <c r="I15" s="99"/>
      <c r="J15" s="89">
        <f>56.9/ATHENS!O1*ATHENS!O2</f>
        <v>116.12244897959184</v>
      </c>
      <c r="K15" s="89">
        <f>74.5/ATHENS!O1*ATHENS!O2</f>
        <v>152.0408163265306</v>
      </c>
      <c r="L15" s="89">
        <f>92.5/ATHENS!O1*ATHENS!O2</f>
        <v>188.77551020408163</v>
      </c>
      <c r="M15" s="89"/>
      <c r="N15" s="89"/>
    </row>
    <row r="16" spans="1:14" x14ac:dyDescent="0.2">
      <c r="A16" s="105"/>
      <c r="B16" s="443" t="s">
        <v>862</v>
      </c>
      <c r="C16" s="443"/>
      <c r="D16" s="443"/>
      <c r="E16" s="99"/>
      <c r="F16" s="99" t="s">
        <v>1182</v>
      </c>
      <c r="G16" s="99" t="s">
        <v>1484</v>
      </c>
      <c r="H16" s="99" t="s">
        <v>702</v>
      </c>
      <c r="I16" s="99"/>
      <c r="J16" s="89">
        <f>51.5/ATHENS!O1*ATHENS!O2</f>
        <v>105.10204081632654</v>
      </c>
      <c r="K16" s="89">
        <f>67.5/ATHENS!O1*ATHENS!O2</f>
        <v>137.75510204081633</v>
      </c>
      <c r="L16" s="89">
        <f>83.7/ATHENS!O1*ATHENS!O2</f>
        <v>170.81632653061226</v>
      </c>
      <c r="M16" s="89"/>
      <c r="N16" s="89"/>
    </row>
    <row r="17" spans="1:14" x14ac:dyDescent="0.2">
      <c r="A17" s="105"/>
      <c r="B17" s="443" t="s">
        <v>819</v>
      </c>
      <c r="C17" s="443"/>
      <c r="D17" s="443"/>
      <c r="E17" s="99"/>
      <c r="F17" s="99" t="s">
        <v>1181</v>
      </c>
      <c r="G17" s="99" t="s">
        <v>1484</v>
      </c>
      <c r="H17" s="99" t="s">
        <v>702</v>
      </c>
      <c r="I17" s="99"/>
      <c r="J17" s="89">
        <f>65.5/ATHENS!O1*ATHENS!O2</f>
        <v>133.67346938775509</v>
      </c>
      <c r="K17" s="89">
        <f>91.5/ATHENS!O1*ATHENS!O2</f>
        <v>186.73469387755102</v>
      </c>
      <c r="L17" s="89">
        <f>114.8/ATHENS!O1*ATHENS!O2</f>
        <v>234.28571428571428</v>
      </c>
      <c r="M17" s="89"/>
      <c r="N17" s="89"/>
    </row>
    <row r="18" spans="1:14" ht="13.5" thickBot="1" x14ac:dyDescent="0.25">
      <c r="A18" s="108"/>
      <c r="B18" s="436" t="s">
        <v>819</v>
      </c>
      <c r="C18" s="436"/>
      <c r="D18" s="436"/>
      <c r="E18" s="110"/>
      <c r="F18" s="110" t="s">
        <v>1182</v>
      </c>
      <c r="G18" s="110" t="s">
        <v>1484</v>
      </c>
      <c r="H18" s="110" t="s">
        <v>702</v>
      </c>
      <c r="I18" s="110"/>
      <c r="J18" s="94">
        <f>59.5/ATHENS!O1*ATHENS!O2</f>
        <v>121.42857142857143</v>
      </c>
      <c r="K18" s="94">
        <f>82.8/ATHENS!O1*ATHENS!O2</f>
        <v>168.9795918367347</v>
      </c>
      <c r="L18" s="94">
        <f>103.5/ATHENS!O1*ATHENS!O2</f>
        <v>211.22448979591837</v>
      </c>
      <c r="M18" s="94"/>
      <c r="N18" s="94"/>
    </row>
    <row r="19" spans="1:14" x14ac:dyDescent="0.2">
      <c r="A19" s="97"/>
      <c r="B19" s="98"/>
      <c r="C19" s="98"/>
      <c r="D19" s="98"/>
      <c r="E19" s="99"/>
      <c r="F19" s="99"/>
      <c r="G19" s="99"/>
      <c r="H19" s="99"/>
      <c r="I19" s="99"/>
      <c r="J19" s="99"/>
      <c r="K19" s="99"/>
      <c r="L19" s="99"/>
      <c r="M19" s="99"/>
      <c r="N19" s="99"/>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view="pageLayout" topLeftCell="A67">
      <selection activeCell="M51" sqref="M51"/>
      <pageMargins left="0.28125" right="0.25" top="0.6692913385826772" bottom="0.70866141732283472" header="0.23622047244094491" footer="0.47244094488188981"/>
      <printOptions horizontalCentered="1"/>
      <pageSetup paperSize="9" firstPageNumber="92"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7">
    <mergeCell ref="B2:M2"/>
    <mergeCell ref="B17:D17"/>
    <mergeCell ref="B18:D18"/>
    <mergeCell ref="B15:D15"/>
    <mergeCell ref="B16:D16"/>
    <mergeCell ref="C5:N9"/>
    <mergeCell ref="B14:D14"/>
  </mergeCells>
  <phoneticPr fontId="0" type="noConversion"/>
  <hyperlinks>
    <hyperlink ref="B2:M2" r:id="rId3" display="Doryssa Bay" xr:uid="{00000000-0004-0000-2200-000000000000}"/>
  </hyperlinks>
  <printOptions horizontalCentered="1"/>
  <pageMargins left="0.28125" right="0.25" top="0.6692913385826772" bottom="0.70866141732283472" header="0.23622047244094491" footer="0.47244094488188981"/>
  <pageSetup paperSize="9" firstPageNumber="92" orientation="portrait" useFirstPageNumber="1" horizontalDpi="300" verticalDpi="300" r:id="rId4"/>
  <headerFooter scaleWithDoc="0" alignWithMargins="0">
    <oddHeader xml:space="preserve">&amp;C TARIFF 2026
 (EURO)
</oddHeader>
    <oddFooter>&amp;LAll rates are in EURO&amp;C
TARIFF 2026
&amp;RPage &amp;P</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12"/>
  <dimension ref="A1:O549"/>
  <sheetViews>
    <sheetView showGridLines="0" view="pageLayout" topLeftCell="A545" zoomScaleNormal="100" workbookViewId="0">
      <selection activeCell="L114" sqref="L114"/>
    </sheetView>
  </sheetViews>
  <sheetFormatPr defaultRowHeight="12.75" x14ac:dyDescent="0.2"/>
  <cols>
    <col min="1" max="1" width="1.85546875" style="100" customWidth="1"/>
    <col min="2" max="2" width="10.7109375" style="100" customWidth="1"/>
    <col min="3" max="3" width="6.140625" style="100" customWidth="1"/>
    <col min="4" max="9" width="3.7109375" style="100" customWidth="1"/>
    <col min="10" max="12" width="10.7109375" style="100" customWidth="1"/>
    <col min="13" max="13" width="9.5703125" style="100" customWidth="1"/>
    <col min="14" max="14" width="14" style="100" customWidth="1"/>
    <col min="15" max="15" width="9.28515625" style="100" customWidth="1"/>
    <col min="16" max="16" width="3.28515625" style="100" customWidth="1"/>
    <col min="17" max="20" width="2.7109375" style="100" customWidth="1"/>
    <col min="21" max="16384" width="9.140625" style="100"/>
  </cols>
  <sheetData>
    <row r="1" spans="1:14" ht="13.5" thickBot="1" x14ac:dyDescent="0.25">
      <c r="A1" s="101"/>
      <c r="B1" s="102"/>
      <c r="C1" s="102"/>
      <c r="D1" s="102"/>
      <c r="E1" s="103"/>
      <c r="F1" s="103"/>
      <c r="G1" s="103"/>
      <c r="H1" s="103"/>
      <c r="I1" s="103"/>
      <c r="J1" s="103"/>
      <c r="K1" s="103"/>
      <c r="L1" s="103"/>
      <c r="M1" s="103"/>
      <c r="N1" s="104"/>
    </row>
    <row r="2" spans="1:14" ht="15.75" thickBot="1" x14ac:dyDescent="0.25">
      <c r="A2" s="105"/>
      <c r="B2" s="459" t="s">
        <v>1624</v>
      </c>
      <c r="C2" s="460"/>
      <c r="D2" s="460"/>
      <c r="E2" s="460"/>
      <c r="F2" s="460"/>
      <c r="G2" s="460"/>
      <c r="H2" s="460"/>
      <c r="I2" s="460"/>
      <c r="J2" s="460"/>
      <c r="K2" s="460"/>
      <c r="L2" s="460"/>
      <c r="M2" s="461"/>
      <c r="N2" s="106" t="s">
        <v>91</v>
      </c>
    </row>
    <row r="3" spans="1:14" x14ac:dyDescent="0.2">
      <c r="A3" s="105"/>
      <c r="B3" s="107" t="s">
        <v>428</v>
      </c>
      <c r="C3" s="98" t="s">
        <v>1346</v>
      </c>
      <c r="D3" s="98"/>
      <c r="E3" s="99"/>
      <c r="F3" s="99"/>
      <c r="G3" s="99"/>
      <c r="H3" s="99"/>
      <c r="I3" s="99"/>
      <c r="J3" s="99"/>
      <c r="K3" s="99"/>
      <c r="L3" s="99"/>
      <c r="M3" s="99"/>
      <c r="N3" s="90"/>
    </row>
    <row r="4" spans="1:14" x14ac:dyDescent="0.2">
      <c r="A4" s="105"/>
      <c r="B4" s="107" t="s">
        <v>429</v>
      </c>
      <c r="C4" s="98" t="s">
        <v>489</v>
      </c>
      <c r="D4" s="98"/>
      <c r="E4" s="99"/>
      <c r="F4" s="99"/>
      <c r="G4" s="99"/>
      <c r="H4" s="99"/>
      <c r="I4" s="99"/>
      <c r="J4" s="99"/>
      <c r="K4" s="99"/>
      <c r="L4" s="99"/>
      <c r="M4" s="99"/>
      <c r="N4" s="90"/>
    </row>
    <row r="5" spans="1:14" x14ac:dyDescent="0.2">
      <c r="A5" s="105"/>
      <c r="B5" s="107" t="s">
        <v>427</v>
      </c>
      <c r="C5" s="455" t="s">
        <v>1637</v>
      </c>
      <c r="D5" s="455"/>
      <c r="E5" s="455"/>
      <c r="F5" s="455"/>
      <c r="G5" s="455"/>
      <c r="H5" s="455"/>
      <c r="I5" s="455"/>
      <c r="J5" s="455"/>
      <c r="K5" s="455"/>
      <c r="L5" s="455"/>
      <c r="M5" s="455"/>
      <c r="N5" s="456"/>
    </row>
    <row r="6" spans="1:14" x14ac:dyDescent="0.2">
      <c r="A6" s="105"/>
      <c r="B6" s="107"/>
      <c r="C6" s="455"/>
      <c r="D6" s="455"/>
      <c r="E6" s="455"/>
      <c r="F6" s="455"/>
      <c r="G6" s="455"/>
      <c r="H6" s="455"/>
      <c r="I6" s="455"/>
      <c r="J6" s="455"/>
      <c r="K6" s="455"/>
      <c r="L6" s="455"/>
      <c r="M6" s="455"/>
      <c r="N6" s="456"/>
    </row>
    <row r="7" spans="1:14" x14ac:dyDescent="0.2">
      <c r="A7" s="105"/>
      <c r="B7" s="98"/>
      <c r="C7" s="455"/>
      <c r="D7" s="455"/>
      <c r="E7" s="455"/>
      <c r="F7" s="455"/>
      <c r="G7" s="455"/>
      <c r="H7" s="455"/>
      <c r="I7" s="455"/>
      <c r="J7" s="455"/>
      <c r="K7" s="455"/>
      <c r="L7" s="455"/>
      <c r="M7" s="455"/>
      <c r="N7" s="456"/>
    </row>
    <row r="8" spans="1:14" x14ac:dyDescent="0.2">
      <c r="A8" s="105"/>
      <c r="B8" s="107" t="s">
        <v>426</v>
      </c>
      <c r="C8" s="98" t="s">
        <v>255</v>
      </c>
      <c r="D8" s="98"/>
      <c r="E8" s="99"/>
      <c r="F8" s="99"/>
      <c r="G8" s="99"/>
      <c r="H8" s="99"/>
      <c r="I8" s="99"/>
      <c r="J8" s="99"/>
      <c r="K8" s="99"/>
      <c r="L8" s="99"/>
      <c r="M8" s="99"/>
      <c r="N8" s="90"/>
    </row>
    <row r="9" spans="1:14" ht="13.5" thickBot="1" x14ac:dyDescent="0.25">
      <c r="A9" s="105"/>
      <c r="B9" s="107" t="s">
        <v>430</v>
      </c>
      <c r="C9" s="98" t="s">
        <v>256</v>
      </c>
      <c r="D9" s="98"/>
      <c r="E9" s="99"/>
      <c r="F9" s="99"/>
      <c r="G9" s="99"/>
      <c r="H9" s="99"/>
      <c r="I9" s="99"/>
      <c r="J9" s="99"/>
      <c r="K9" s="99"/>
      <c r="L9" s="99"/>
      <c r="M9" s="99"/>
      <c r="N9" s="90"/>
    </row>
    <row r="10" spans="1:14" x14ac:dyDescent="0.2">
      <c r="A10" s="101"/>
      <c r="B10" s="102" t="s">
        <v>263</v>
      </c>
      <c r="C10" s="102"/>
      <c r="D10" s="102"/>
      <c r="E10" s="103"/>
      <c r="F10" s="103"/>
      <c r="G10" s="103"/>
      <c r="H10" s="103"/>
      <c r="I10" s="103"/>
      <c r="J10" s="114" t="s">
        <v>1980</v>
      </c>
      <c r="K10" s="113"/>
      <c r="L10" s="113" t="s">
        <v>279</v>
      </c>
      <c r="M10" s="113"/>
      <c r="N10" s="113"/>
    </row>
    <row r="11" spans="1:14" ht="13.5" thickBot="1" x14ac:dyDescent="0.25">
      <c r="A11" s="108"/>
      <c r="B11" s="109"/>
      <c r="C11" s="109"/>
      <c r="D11" s="109"/>
      <c r="E11" s="110"/>
      <c r="F11" s="110"/>
      <c r="G11" s="110"/>
      <c r="H11" s="110"/>
      <c r="I11" s="110"/>
      <c r="J11" s="112" t="s">
        <v>1981</v>
      </c>
      <c r="K11" s="94" t="s">
        <v>758</v>
      </c>
      <c r="L11" s="94" t="s">
        <v>1926</v>
      </c>
      <c r="M11" s="94" t="s">
        <v>1982</v>
      </c>
      <c r="N11" s="94"/>
    </row>
    <row r="12" spans="1:14" x14ac:dyDescent="0.2">
      <c r="A12" s="101"/>
      <c r="B12" s="448" t="s">
        <v>67</v>
      </c>
      <c r="C12" s="448"/>
      <c r="D12" s="448"/>
      <c r="E12" s="103"/>
      <c r="F12" s="103" t="s">
        <v>1180</v>
      </c>
      <c r="G12" s="103" t="s">
        <v>68</v>
      </c>
      <c r="H12" s="103" t="s">
        <v>702</v>
      </c>
      <c r="I12" s="103"/>
      <c r="J12" s="89">
        <f>70/ATHENS!O1*ATHENS!O2</f>
        <v>142.85714285714286</v>
      </c>
      <c r="K12" s="89">
        <f>115/ATHENS!O1*ATHENS!O2</f>
        <v>234.69387755102042</v>
      </c>
      <c r="L12" s="89">
        <f>150/ATHENS!O1*ATHENS!O2</f>
        <v>306.12244897959187</v>
      </c>
      <c r="M12" s="89">
        <f>190/ATHENS!O1*ATHENS!O2</f>
        <v>387.75510204081633</v>
      </c>
      <c r="N12" s="113"/>
    </row>
    <row r="13" spans="1:14" x14ac:dyDescent="0.2">
      <c r="A13" s="105"/>
      <c r="B13" s="443" t="s">
        <v>67</v>
      </c>
      <c r="C13" s="443"/>
      <c r="D13" s="443"/>
      <c r="E13" s="99"/>
      <c r="F13" s="99" t="s">
        <v>1181</v>
      </c>
      <c r="G13" s="99" t="s">
        <v>68</v>
      </c>
      <c r="H13" s="99" t="s">
        <v>702</v>
      </c>
      <c r="I13" s="99"/>
      <c r="J13" s="89">
        <f>45/ATHENS!O1*ATHENS!O2</f>
        <v>91.83673469387756</v>
      </c>
      <c r="K13" s="89">
        <f>75/ATHENS!O1*ATHENS!O2</f>
        <v>153.06122448979593</v>
      </c>
      <c r="L13" s="89">
        <f>90/ATHENS!O1*ATHENS!O2</f>
        <v>183.67346938775512</v>
      </c>
      <c r="M13" s="89">
        <f>107.5/ATHENS!O1*ATHENS!O2</f>
        <v>219.38775510204081</v>
      </c>
      <c r="N13" s="89"/>
    </row>
    <row r="14" spans="1:14" x14ac:dyDescent="0.2">
      <c r="A14" s="105"/>
      <c r="B14" s="443" t="s">
        <v>901</v>
      </c>
      <c r="C14" s="443"/>
      <c r="D14" s="443"/>
      <c r="E14" s="99"/>
      <c r="F14" s="99" t="s">
        <v>705</v>
      </c>
      <c r="G14" s="99" t="s">
        <v>68</v>
      </c>
      <c r="H14" s="99" t="s">
        <v>702</v>
      </c>
      <c r="I14" s="99"/>
      <c r="J14" s="89">
        <f>50/ATHENS!O1*ATHENS!O2</f>
        <v>102.04081632653062</v>
      </c>
      <c r="K14" s="89">
        <f>71.6/ATHENS!O1*ATHENS!O2</f>
        <v>146.12244897959184</v>
      </c>
      <c r="L14" s="89">
        <f>96.6/ATHENS!O1*ATHENS!O2</f>
        <v>197.14285714285714</v>
      </c>
      <c r="M14" s="89">
        <f>105/ATHENS!O1*ATHENS!O2</f>
        <v>214.28571428571428</v>
      </c>
      <c r="N14" s="89"/>
    </row>
    <row r="15" spans="1:14" x14ac:dyDescent="0.2">
      <c r="A15" s="105"/>
      <c r="B15" s="443" t="s">
        <v>901</v>
      </c>
      <c r="C15" s="443"/>
      <c r="D15" s="443"/>
      <c r="E15" s="99"/>
      <c r="F15" s="99" t="s">
        <v>706</v>
      </c>
      <c r="G15" s="99" t="s">
        <v>68</v>
      </c>
      <c r="H15" s="99" t="s">
        <v>702</v>
      </c>
      <c r="I15" s="99"/>
      <c r="J15" s="89">
        <f>37.5/ATHENS!O1*ATHENS!O2</f>
        <v>76.530612244897966</v>
      </c>
      <c r="K15" s="89">
        <f>53.75/ATHENS!O1*ATHENS!O2</f>
        <v>109.69387755102041</v>
      </c>
      <c r="L15" s="89">
        <f>72.5/ATHENS!O1*ATHENS!O2</f>
        <v>147.9591836734694</v>
      </c>
      <c r="M15" s="89">
        <f>78.75/ATHENS!O1*ATHENS!O2</f>
        <v>160.71428571428572</v>
      </c>
      <c r="N15" s="89"/>
    </row>
    <row r="16" spans="1:14" ht="13.5" thickBot="1" x14ac:dyDescent="0.25">
      <c r="A16" s="108"/>
      <c r="B16" s="436"/>
      <c r="C16" s="436"/>
      <c r="D16" s="436"/>
      <c r="E16" s="110"/>
      <c r="F16" s="110"/>
      <c r="G16" s="110"/>
      <c r="H16" s="110"/>
      <c r="I16" s="110"/>
      <c r="J16" s="94"/>
      <c r="K16" s="94"/>
      <c r="L16" s="94"/>
      <c r="M16" s="94"/>
      <c r="N16" s="94"/>
    </row>
    <row r="17" spans="1:14" ht="13.5" thickBot="1" x14ac:dyDescent="0.25">
      <c r="A17" s="97"/>
      <c r="B17" s="98"/>
      <c r="C17" s="98"/>
      <c r="D17" s="98"/>
      <c r="E17" s="99"/>
      <c r="F17" s="99"/>
      <c r="G17" s="99"/>
      <c r="H17" s="99"/>
      <c r="I17" s="99"/>
      <c r="J17" s="99"/>
      <c r="K17" s="99"/>
      <c r="L17" s="99"/>
      <c r="M17" s="99"/>
      <c r="N17" s="99"/>
    </row>
    <row r="18" spans="1:14" ht="13.5" thickBot="1" x14ac:dyDescent="0.25">
      <c r="A18" s="101"/>
      <c r="B18" s="102"/>
      <c r="C18" s="102"/>
      <c r="D18" s="102"/>
      <c r="E18" s="103"/>
      <c r="F18" s="103"/>
      <c r="G18" s="103"/>
      <c r="H18" s="103"/>
      <c r="I18" s="103"/>
      <c r="J18" s="103"/>
      <c r="K18" s="103"/>
      <c r="L18" s="103"/>
      <c r="M18" s="103"/>
      <c r="N18" s="104"/>
    </row>
    <row r="19" spans="1:14" ht="15.75" thickBot="1" x14ac:dyDescent="0.25">
      <c r="A19" s="105"/>
      <c r="B19" s="459" t="s">
        <v>1627</v>
      </c>
      <c r="C19" s="460"/>
      <c r="D19" s="460"/>
      <c r="E19" s="460"/>
      <c r="F19" s="460"/>
      <c r="G19" s="460"/>
      <c r="H19" s="460"/>
      <c r="I19" s="460"/>
      <c r="J19" s="460"/>
      <c r="K19" s="460"/>
      <c r="L19" s="460"/>
      <c r="M19" s="461"/>
      <c r="N19" s="106" t="s">
        <v>683</v>
      </c>
    </row>
    <row r="20" spans="1:14" x14ac:dyDescent="0.2">
      <c r="A20" s="105"/>
      <c r="B20" s="107" t="s">
        <v>428</v>
      </c>
      <c r="C20" s="98" t="s">
        <v>1472</v>
      </c>
      <c r="D20" s="98"/>
      <c r="E20" s="99"/>
      <c r="F20" s="99"/>
      <c r="G20" s="99"/>
      <c r="H20" s="99"/>
      <c r="I20" s="99"/>
      <c r="J20" s="99"/>
      <c r="K20" s="99"/>
      <c r="L20" s="99"/>
      <c r="M20" s="99"/>
      <c r="N20" s="90"/>
    </row>
    <row r="21" spans="1:14" x14ac:dyDescent="0.2">
      <c r="A21" s="105"/>
      <c r="B21" s="107" t="s">
        <v>429</v>
      </c>
      <c r="C21" s="98" t="s">
        <v>1338</v>
      </c>
      <c r="D21" s="98"/>
      <c r="E21" s="99"/>
      <c r="F21" s="99"/>
      <c r="G21" s="99"/>
      <c r="H21" s="99"/>
      <c r="I21" s="99"/>
      <c r="J21" s="99"/>
      <c r="K21" s="99"/>
      <c r="L21" s="99"/>
      <c r="M21" s="99"/>
      <c r="N21" s="90"/>
    </row>
    <row r="22" spans="1:14" x14ac:dyDescent="0.2">
      <c r="A22" s="105"/>
      <c r="B22" s="107" t="s">
        <v>427</v>
      </c>
      <c r="C22" s="455" t="s">
        <v>1265</v>
      </c>
      <c r="D22" s="455"/>
      <c r="E22" s="455"/>
      <c r="F22" s="455"/>
      <c r="G22" s="455"/>
      <c r="H22" s="455"/>
      <c r="I22" s="455"/>
      <c r="J22" s="455"/>
      <c r="K22" s="455"/>
      <c r="L22" s="455"/>
      <c r="M22" s="455"/>
      <c r="N22" s="456"/>
    </row>
    <row r="23" spans="1:14" x14ac:dyDescent="0.2">
      <c r="A23" s="105"/>
      <c r="B23" s="107"/>
      <c r="C23" s="455"/>
      <c r="D23" s="455"/>
      <c r="E23" s="455"/>
      <c r="F23" s="455"/>
      <c r="G23" s="455"/>
      <c r="H23" s="455"/>
      <c r="I23" s="455"/>
      <c r="J23" s="455"/>
      <c r="K23" s="455"/>
      <c r="L23" s="455"/>
      <c r="M23" s="455"/>
      <c r="N23" s="456"/>
    </row>
    <row r="24" spans="1:14" x14ac:dyDescent="0.2">
      <c r="A24" s="105"/>
      <c r="B24" s="107" t="s">
        <v>426</v>
      </c>
      <c r="C24" s="134" t="s">
        <v>1473</v>
      </c>
      <c r="D24" s="98"/>
      <c r="E24" s="99"/>
      <c r="F24" s="99"/>
      <c r="G24" s="99"/>
      <c r="H24" s="99"/>
      <c r="I24" s="99"/>
      <c r="J24" s="99"/>
      <c r="K24" s="99"/>
      <c r="L24" s="99"/>
      <c r="M24" s="99"/>
      <c r="N24" s="90"/>
    </row>
    <row r="25" spans="1:14" ht="13.5" thickBot="1" x14ac:dyDescent="0.25">
      <c r="A25" s="108"/>
      <c r="B25" s="118" t="s">
        <v>430</v>
      </c>
      <c r="C25" s="109"/>
      <c r="D25" s="109"/>
      <c r="E25" s="110"/>
      <c r="F25" s="110"/>
      <c r="G25" s="110"/>
      <c r="H25" s="110"/>
      <c r="I25" s="110"/>
      <c r="J25" s="110"/>
      <c r="K25" s="110"/>
      <c r="L25" s="110"/>
      <c r="M25" s="110"/>
      <c r="N25" s="93"/>
    </row>
    <row r="26" spans="1:14" x14ac:dyDescent="0.2">
      <c r="A26" s="101"/>
      <c r="B26" s="102" t="s">
        <v>263</v>
      </c>
      <c r="C26" s="102"/>
      <c r="D26" s="102"/>
      <c r="E26" s="103"/>
      <c r="F26" s="103"/>
      <c r="G26" s="103"/>
      <c r="H26" s="103"/>
      <c r="I26" s="103"/>
      <c r="J26" s="114" t="s">
        <v>753</v>
      </c>
      <c r="K26" s="113" t="s">
        <v>65</v>
      </c>
      <c r="L26" s="113"/>
      <c r="M26" s="113"/>
      <c r="N26" s="113"/>
    </row>
    <row r="27" spans="1:14" ht="13.5" thickBot="1" x14ac:dyDescent="0.25">
      <c r="A27" s="108"/>
      <c r="B27" s="109"/>
      <c r="C27" s="109"/>
      <c r="D27" s="109"/>
      <c r="E27" s="110"/>
      <c r="F27" s="110"/>
      <c r="G27" s="110"/>
      <c r="H27" s="110"/>
      <c r="I27" s="110"/>
      <c r="J27" s="112" t="s">
        <v>1832</v>
      </c>
      <c r="K27" s="94" t="s">
        <v>1222</v>
      </c>
      <c r="L27" s="94" t="s">
        <v>1833</v>
      </c>
      <c r="M27" s="94"/>
      <c r="N27" s="94"/>
    </row>
    <row r="28" spans="1:14" x14ac:dyDescent="0.2">
      <c r="A28" s="101"/>
      <c r="B28" s="448" t="s">
        <v>67</v>
      </c>
      <c r="C28" s="448"/>
      <c r="D28" s="448"/>
      <c r="E28" s="103"/>
      <c r="F28" s="103" t="s">
        <v>1181</v>
      </c>
      <c r="G28" s="103" t="s">
        <v>68</v>
      </c>
      <c r="H28" s="103" t="s">
        <v>1184</v>
      </c>
      <c r="I28" s="103"/>
      <c r="J28" s="89">
        <f>353/ATHENS!O1*ATHENS!O2</f>
        <v>720.40816326530614</v>
      </c>
      <c r="K28" s="89">
        <f>421/ATHENS!O1*ATHENS!O2</f>
        <v>859.18367346938783</v>
      </c>
      <c r="L28" s="89">
        <f>498/ATHENS!O1*ATHENS!O2</f>
        <v>1016.3265306122449</v>
      </c>
      <c r="M28" s="89"/>
      <c r="N28" s="113"/>
    </row>
    <row r="29" spans="1:14" ht="13.5" thickBot="1" x14ac:dyDescent="0.25">
      <c r="A29" s="108"/>
      <c r="B29" s="436" t="s">
        <v>1868</v>
      </c>
      <c r="C29" s="436"/>
      <c r="D29" s="436"/>
      <c r="E29" s="110"/>
      <c r="F29" s="110" t="s">
        <v>518</v>
      </c>
      <c r="G29" s="110" t="s">
        <v>68</v>
      </c>
      <c r="H29" s="110" t="s">
        <v>1184</v>
      </c>
      <c r="I29" s="110"/>
      <c r="J29" s="94">
        <f>400/ATHENS!O1*ATHENS!O2</f>
        <v>816.32653061224494</v>
      </c>
      <c r="K29" s="94">
        <f>498/ATHENS!O1*ATHENS!O2</f>
        <v>1016.3265306122449</v>
      </c>
      <c r="L29" s="94">
        <f>591/ATHENS!O1*ATHENS!O2</f>
        <v>1206.1224489795918</v>
      </c>
      <c r="M29" s="94"/>
      <c r="N29" s="94"/>
    </row>
    <row r="30" spans="1:14" ht="13.5" thickBot="1" x14ac:dyDescent="0.25">
      <c r="A30" s="97"/>
      <c r="B30" s="98"/>
      <c r="C30" s="98"/>
      <c r="D30" s="98"/>
      <c r="E30" s="99"/>
      <c r="F30" s="99"/>
      <c r="G30" s="99"/>
      <c r="H30" s="99"/>
      <c r="I30" s="99"/>
      <c r="J30" s="99"/>
      <c r="K30" s="99"/>
      <c r="L30" s="99"/>
      <c r="M30" s="99"/>
      <c r="N30" s="99"/>
    </row>
    <row r="31" spans="1:14" ht="13.5" thickBot="1" x14ac:dyDescent="0.25">
      <c r="A31" s="101"/>
      <c r="B31" s="102"/>
      <c r="C31" s="102"/>
      <c r="D31" s="102"/>
      <c r="E31" s="103"/>
      <c r="F31" s="103"/>
      <c r="G31" s="103"/>
      <c r="H31" s="103"/>
      <c r="I31" s="103"/>
      <c r="J31" s="103"/>
      <c r="K31" s="103"/>
      <c r="L31" s="103"/>
      <c r="M31" s="103"/>
      <c r="N31" s="104"/>
    </row>
    <row r="32" spans="1:14" ht="15.75" thickBot="1" x14ac:dyDescent="0.25">
      <c r="A32" s="105"/>
      <c r="B32" s="459" t="s">
        <v>930</v>
      </c>
      <c r="C32" s="460"/>
      <c r="D32" s="460"/>
      <c r="E32" s="460"/>
      <c r="F32" s="460"/>
      <c r="G32" s="460"/>
      <c r="H32" s="460"/>
      <c r="I32" s="460"/>
      <c r="J32" s="460"/>
      <c r="K32" s="460"/>
      <c r="L32" s="460"/>
      <c r="M32" s="461"/>
      <c r="N32" s="106" t="s">
        <v>91</v>
      </c>
    </row>
    <row r="33" spans="1:14" x14ac:dyDescent="0.2">
      <c r="A33" s="105"/>
      <c r="B33" s="107" t="s">
        <v>428</v>
      </c>
      <c r="C33" s="98" t="s">
        <v>1468</v>
      </c>
      <c r="D33" s="98"/>
      <c r="E33" s="99"/>
      <c r="F33" s="99"/>
      <c r="G33" s="99"/>
      <c r="H33" s="99"/>
      <c r="I33" s="99"/>
      <c r="J33" s="99"/>
      <c r="K33" s="99"/>
      <c r="L33" s="99"/>
      <c r="M33" s="99"/>
      <c r="N33" s="90"/>
    </row>
    <row r="34" spans="1:14" x14ac:dyDescent="0.2">
      <c r="A34" s="105"/>
      <c r="B34" s="107" t="s">
        <v>429</v>
      </c>
      <c r="C34" s="98" t="s">
        <v>486</v>
      </c>
      <c r="D34" s="98"/>
      <c r="E34" s="99"/>
      <c r="F34" s="99"/>
      <c r="G34" s="99"/>
      <c r="H34" s="99"/>
      <c r="I34" s="99"/>
      <c r="J34" s="99"/>
      <c r="K34" s="99"/>
      <c r="L34" s="99"/>
      <c r="M34" s="99"/>
      <c r="N34" s="90"/>
    </row>
    <row r="35" spans="1:14" x14ac:dyDescent="0.2">
      <c r="A35" s="105"/>
      <c r="B35" s="107" t="s">
        <v>427</v>
      </c>
      <c r="C35" s="455" t="s">
        <v>1638</v>
      </c>
      <c r="D35" s="455"/>
      <c r="E35" s="455"/>
      <c r="F35" s="455"/>
      <c r="G35" s="455"/>
      <c r="H35" s="455"/>
      <c r="I35" s="455"/>
      <c r="J35" s="455"/>
      <c r="K35" s="455"/>
      <c r="L35" s="455"/>
      <c r="M35" s="455"/>
      <c r="N35" s="456"/>
    </row>
    <row r="36" spans="1:14" x14ac:dyDescent="0.2">
      <c r="A36" s="105"/>
      <c r="B36" s="107"/>
      <c r="C36" s="455"/>
      <c r="D36" s="455"/>
      <c r="E36" s="455"/>
      <c r="F36" s="455"/>
      <c r="G36" s="455"/>
      <c r="H36" s="455"/>
      <c r="I36" s="455"/>
      <c r="J36" s="455"/>
      <c r="K36" s="455"/>
      <c r="L36" s="455"/>
      <c r="M36" s="455"/>
      <c r="N36" s="456"/>
    </row>
    <row r="37" spans="1:14" x14ac:dyDescent="0.2">
      <c r="A37" s="105"/>
      <c r="B37" s="98"/>
      <c r="C37" s="455"/>
      <c r="D37" s="455"/>
      <c r="E37" s="455"/>
      <c r="F37" s="455"/>
      <c r="G37" s="455"/>
      <c r="H37" s="455"/>
      <c r="I37" s="455"/>
      <c r="J37" s="455"/>
      <c r="K37" s="455"/>
      <c r="L37" s="455"/>
      <c r="M37" s="455"/>
      <c r="N37" s="456"/>
    </row>
    <row r="38" spans="1:14" x14ac:dyDescent="0.2">
      <c r="A38" s="105"/>
      <c r="B38" s="107" t="s">
        <v>426</v>
      </c>
      <c r="C38" s="98"/>
      <c r="D38" s="98"/>
      <c r="E38" s="99"/>
      <c r="F38" s="99"/>
      <c r="G38" s="99"/>
      <c r="H38" s="99"/>
      <c r="I38" s="99"/>
      <c r="J38" s="99"/>
      <c r="K38" s="99"/>
      <c r="L38" s="99"/>
      <c r="M38" s="99"/>
      <c r="N38" s="90"/>
    </row>
    <row r="39" spans="1:14" ht="13.5" thickBot="1" x14ac:dyDescent="0.25">
      <c r="A39" s="105"/>
      <c r="B39" s="107" t="s">
        <v>430</v>
      </c>
      <c r="C39" s="98"/>
      <c r="D39" s="98"/>
      <c r="E39" s="99"/>
      <c r="F39" s="99"/>
      <c r="G39" s="99"/>
      <c r="H39" s="99"/>
      <c r="I39" s="99"/>
      <c r="J39" s="99"/>
      <c r="K39" s="99"/>
      <c r="L39" s="99"/>
      <c r="M39" s="99"/>
      <c r="N39" s="90"/>
    </row>
    <row r="40" spans="1:14" x14ac:dyDescent="0.2">
      <c r="A40" s="101"/>
      <c r="B40" s="102" t="s">
        <v>263</v>
      </c>
      <c r="C40" s="102"/>
      <c r="D40" s="102"/>
      <c r="E40" s="103"/>
      <c r="F40" s="103"/>
      <c r="G40" s="103"/>
      <c r="H40" s="103"/>
      <c r="I40" s="103"/>
      <c r="J40" s="113" t="s">
        <v>753</v>
      </c>
      <c r="K40" s="113" t="s">
        <v>65</v>
      </c>
      <c r="L40" s="113"/>
      <c r="M40" s="113"/>
      <c r="N40" s="113"/>
    </row>
    <row r="41" spans="1:14" ht="13.5" thickBot="1" x14ac:dyDescent="0.25">
      <c r="A41" s="108"/>
      <c r="B41" s="109"/>
      <c r="C41" s="109"/>
      <c r="D41" s="109"/>
      <c r="E41" s="110"/>
      <c r="F41" s="110"/>
      <c r="G41" s="110"/>
      <c r="H41" s="110"/>
      <c r="I41" s="110"/>
      <c r="J41" s="94" t="s">
        <v>1832</v>
      </c>
      <c r="K41" s="94" t="s">
        <v>1222</v>
      </c>
      <c r="L41" s="94" t="s">
        <v>1833</v>
      </c>
      <c r="M41" s="94"/>
      <c r="N41" s="94"/>
    </row>
    <row r="42" spans="1:14" x14ac:dyDescent="0.2">
      <c r="A42" s="101"/>
      <c r="B42" s="448" t="s">
        <v>67</v>
      </c>
      <c r="C42" s="448"/>
      <c r="D42" s="448"/>
      <c r="E42" s="103"/>
      <c r="F42" s="103" t="s">
        <v>1181</v>
      </c>
      <c r="G42" s="103" t="s">
        <v>68</v>
      </c>
      <c r="H42" s="103" t="s">
        <v>1184</v>
      </c>
      <c r="I42" s="103"/>
      <c r="J42" s="113">
        <f>379/ATHENS!O1*ATHENS!O2</f>
        <v>773.46938775510205</v>
      </c>
      <c r="K42" s="113">
        <f>447/ATHENS!O1*ATHENS!O2</f>
        <v>912.24489795918373</v>
      </c>
      <c r="L42" s="113">
        <f>617/ATHENS!O1*ATHENS!O2</f>
        <v>1259.1836734693877</v>
      </c>
      <c r="M42" s="113"/>
      <c r="N42" s="113"/>
    </row>
    <row r="43" spans="1:14" ht="13.5" thickBot="1" x14ac:dyDescent="0.25">
      <c r="A43" s="108"/>
      <c r="B43" s="436" t="s">
        <v>1868</v>
      </c>
      <c r="C43" s="436"/>
      <c r="D43" s="436"/>
      <c r="E43" s="110"/>
      <c r="F43" s="110" t="s">
        <v>518</v>
      </c>
      <c r="G43" s="110" t="s">
        <v>68</v>
      </c>
      <c r="H43" s="110" t="s">
        <v>1184</v>
      </c>
      <c r="I43" s="110"/>
      <c r="J43" s="94">
        <f>430/ATHENS!O1*ATHENS!O2</f>
        <v>877.55102040816325</v>
      </c>
      <c r="K43" s="94">
        <f>536/ATHENS!O1*ATHENS!O2</f>
        <v>1093.8775510204082</v>
      </c>
      <c r="L43" s="94">
        <f>765/ATHENS!O1*ATHENS!O2</f>
        <v>1561.2244897959183</v>
      </c>
      <c r="M43" s="94"/>
      <c r="N43" s="94"/>
    </row>
    <row r="44" spans="1:14" ht="13.5" thickBot="1" x14ac:dyDescent="0.25">
      <c r="A44" s="119"/>
      <c r="B44" s="120" t="s">
        <v>780</v>
      </c>
      <c r="C44" s="120"/>
      <c r="D44" s="120"/>
      <c r="E44" s="121"/>
      <c r="F44" s="121"/>
      <c r="G44" s="121"/>
      <c r="H44" s="121"/>
      <c r="I44" s="121"/>
      <c r="J44" s="121"/>
      <c r="K44" s="121"/>
      <c r="L44" s="121"/>
      <c r="M44" s="121"/>
      <c r="N44" s="122"/>
    </row>
    <row r="45" spans="1:14" ht="13.5" thickBot="1" x14ac:dyDescent="0.25">
      <c r="A45" s="97"/>
      <c r="B45" s="98"/>
      <c r="C45" s="98"/>
      <c r="D45" s="98"/>
      <c r="E45" s="99"/>
      <c r="F45" s="99"/>
      <c r="G45" s="99"/>
      <c r="H45" s="99"/>
      <c r="I45" s="99"/>
      <c r="J45" s="99"/>
      <c r="K45" s="99"/>
      <c r="L45" s="99"/>
      <c r="M45" s="99"/>
      <c r="N45" s="99"/>
    </row>
    <row r="46" spans="1:14" ht="13.5" thickBot="1" x14ac:dyDescent="0.25">
      <c r="A46" s="101"/>
      <c r="B46" s="102"/>
      <c r="C46" s="102"/>
      <c r="D46" s="102"/>
      <c r="E46" s="103"/>
      <c r="F46" s="103"/>
      <c r="G46" s="103"/>
      <c r="H46" s="103"/>
      <c r="I46" s="103"/>
      <c r="J46" s="103"/>
      <c r="K46" s="103"/>
      <c r="L46" s="103"/>
      <c r="M46" s="103"/>
      <c r="N46" s="104"/>
    </row>
    <row r="47" spans="1:14" ht="15.75" thickBot="1" x14ac:dyDescent="0.25">
      <c r="A47" s="105"/>
      <c r="B47" s="459" t="s">
        <v>225</v>
      </c>
      <c r="C47" s="460"/>
      <c r="D47" s="460"/>
      <c r="E47" s="460"/>
      <c r="F47" s="460"/>
      <c r="G47" s="460"/>
      <c r="H47" s="460"/>
      <c r="I47" s="460"/>
      <c r="J47" s="460"/>
      <c r="K47" s="460"/>
      <c r="L47" s="460"/>
      <c r="M47" s="461"/>
      <c r="N47" s="106" t="s">
        <v>91</v>
      </c>
    </row>
    <row r="48" spans="1:14" x14ac:dyDescent="0.2">
      <c r="A48" s="105"/>
      <c r="B48" s="107" t="s">
        <v>428</v>
      </c>
      <c r="C48" s="98" t="s">
        <v>1072</v>
      </c>
      <c r="D48" s="98"/>
      <c r="E48" s="99"/>
      <c r="F48" s="99"/>
      <c r="G48" s="99"/>
      <c r="H48" s="99"/>
      <c r="I48" s="99"/>
      <c r="J48" s="99"/>
      <c r="K48" s="99"/>
      <c r="L48" s="99"/>
      <c r="M48" s="99"/>
      <c r="N48" s="90"/>
    </row>
    <row r="49" spans="1:14" x14ac:dyDescent="0.2">
      <c r="A49" s="105"/>
      <c r="B49" s="107" t="s">
        <v>429</v>
      </c>
      <c r="C49" s="98" t="s">
        <v>1073</v>
      </c>
      <c r="D49" s="98"/>
      <c r="E49" s="99"/>
      <c r="F49" s="99"/>
      <c r="G49" s="99"/>
      <c r="H49" s="99"/>
      <c r="I49" s="99"/>
      <c r="J49" s="99"/>
      <c r="K49" s="99"/>
      <c r="L49" s="99"/>
      <c r="M49" s="99"/>
      <c r="N49" s="90"/>
    </row>
    <row r="50" spans="1:14" ht="22.5" customHeight="1" x14ac:dyDescent="0.2">
      <c r="A50" s="105"/>
      <c r="B50" s="107" t="s">
        <v>427</v>
      </c>
      <c r="C50" s="455" t="s">
        <v>1093</v>
      </c>
      <c r="D50" s="455"/>
      <c r="E50" s="455"/>
      <c r="F50" s="455"/>
      <c r="G50" s="455"/>
      <c r="H50" s="455"/>
      <c r="I50" s="455"/>
      <c r="J50" s="455"/>
      <c r="K50" s="455"/>
      <c r="L50" s="455"/>
      <c r="M50" s="455"/>
      <c r="N50" s="456"/>
    </row>
    <row r="51" spans="1:14" ht="19.5" customHeight="1" x14ac:dyDescent="0.2">
      <c r="A51" s="105"/>
      <c r="B51" s="107"/>
      <c r="C51" s="455"/>
      <c r="D51" s="455"/>
      <c r="E51" s="455"/>
      <c r="F51" s="455"/>
      <c r="G51" s="455"/>
      <c r="H51" s="455"/>
      <c r="I51" s="455"/>
      <c r="J51" s="455"/>
      <c r="K51" s="455"/>
      <c r="L51" s="455"/>
      <c r="M51" s="455"/>
      <c r="N51" s="456"/>
    </row>
    <row r="52" spans="1:14" x14ac:dyDescent="0.2">
      <c r="A52" s="105"/>
      <c r="B52" s="107"/>
      <c r="C52" s="455"/>
      <c r="D52" s="455"/>
      <c r="E52" s="455"/>
      <c r="F52" s="455"/>
      <c r="G52" s="455"/>
      <c r="H52" s="455"/>
      <c r="I52" s="455"/>
      <c r="J52" s="455"/>
      <c r="K52" s="455"/>
      <c r="L52" s="455"/>
      <c r="M52" s="455"/>
      <c r="N52" s="456"/>
    </row>
    <row r="53" spans="1:14" x14ac:dyDescent="0.2">
      <c r="A53" s="105"/>
      <c r="B53" s="107"/>
      <c r="C53" s="421"/>
      <c r="D53" s="421"/>
      <c r="E53" s="421"/>
      <c r="F53" s="421"/>
      <c r="G53" s="421"/>
      <c r="H53" s="421"/>
      <c r="I53" s="421"/>
      <c r="J53" s="421"/>
      <c r="K53" s="421"/>
      <c r="L53" s="421"/>
      <c r="M53" s="421"/>
      <c r="N53" s="422"/>
    </row>
    <row r="54" spans="1:14" x14ac:dyDescent="0.2">
      <c r="A54" s="105"/>
      <c r="B54" s="107" t="s">
        <v>426</v>
      </c>
      <c r="C54" s="98"/>
      <c r="D54" s="98"/>
      <c r="E54" s="99"/>
      <c r="F54" s="99"/>
      <c r="G54" s="99"/>
      <c r="H54" s="99"/>
      <c r="I54" s="99"/>
      <c r="J54" s="99"/>
      <c r="K54" s="99"/>
      <c r="L54" s="99"/>
      <c r="M54" s="99"/>
      <c r="N54" s="90"/>
    </row>
    <row r="55" spans="1:14" x14ac:dyDescent="0.2">
      <c r="A55" s="105"/>
      <c r="B55" s="107" t="s">
        <v>430</v>
      </c>
      <c r="C55" s="98"/>
      <c r="D55" s="98"/>
      <c r="E55" s="99"/>
      <c r="F55" s="99"/>
      <c r="G55" s="99"/>
      <c r="H55" s="99"/>
      <c r="I55" s="99"/>
      <c r="J55" s="99"/>
      <c r="K55" s="99"/>
      <c r="L55" s="99"/>
      <c r="M55" s="99"/>
      <c r="N55" s="90"/>
    </row>
    <row r="56" spans="1:14" x14ac:dyDescent="0.2">
      <c r="A56" s="105"/>
      <c r="B56" s="107"/>
      <c r="C56" s="98"/>
      <c r="D56" s="98"/>
      <c r="E56" s="99"/>
      <c r="F56" s="99"/>
      <c r="G56" s="99"/>
      <c r="H56" s="99"/>
      <c r="I56" s="99"/>
      <c r="J56" s="99"/>
      <c r="K56" s="99"/>
      <c r="L56" s="99"/>
      <c r="M56" s="99"/>
      <c r="N56" s="90"/>
    </row>
    <row r="57" spans="1:14" ht="13.5" thickBot="1" x14ac:dyDescent="0.25">
      <c r="A57" s="105"/>
      <c r="B57" s="107"/>
      <c r="C57" s="98"/>
      <c r="D57" s="98"/>
      <c r="E57" s="99"/>
      <c r="F57" s="99"/>
      <c r="G57" s="99"/>
      <c r="H57" s="99"/>
      <c r="I57" s="99"/>
      <c r="J57" s="99"/>
      <c r="K57" s="99"/>
      <c r="L57" s="99"/>
      <c r="M57" s="99"/>
      <c r="N57" s="90"/>
    </row>
    <row r="58" spans="1:14" x14ac:dyDescent="0.2">
      <c r="A58" s="101"/>
      <c r="B58" s="102" t="s">
        <v>263</v>
      </c>
      <c r="C58" s="102"/>
      <c r="D58" s="102"/>
      <c r="E58" s="103"/>
      <c r="F58" s="103"/>
      <c r="G58" s="103"/>
      <c r="H58" s="103"/>
      <c r="I58" s="103"/>
      <c r="J58" s="113" t="s">
        <v>753</v>
      </c>
      <c r="K58" s="113" t="s">
        <v>65</v>
      </c>
      <c r="L58" s="113"/>
      <c r="M58" s="113"/>
      <c r="N58" s="113"/>
    </row>
    <row r="59" spans="1:14" ht="13.5" thickBot="1" x14ac:dyDescent="0.25">
      <c r="A59" s="108"/>
      <c r="B59" s="109"/>
      <c r="C59" s="109"/>
      <c r="D59" s="109"/>
      <c r="E59" s="110"/>
      <c r="F59" s="110"/>
      <c r="G59" s="110"/>
      <c r="H59" s="110"/>
      <c r="I59" s="110"/>
      <c r="J59" s="94" t="s">
        <v>1832</v>
      </c>
      <c r="K59" s="94" t="s">
        <v>1222</v>
      </c>
      <c r="L59" s="94" t="s">
        <v>1833</v>
      </c>
      <c r="M59" s="94"/>
      <c r="N59" s="94"/>
    </row>
    <row r="60" spans="1:14" x14ac:dyDescent="0.2">
      <c r="A60" s="101"/>
      <c r="B60" s="448" t="s">
        <v>522</v>
      </c>
      <c r="C60" s="448"/>
      <c r="D60" s="448"/>
      <c r="E60" s="103"/>
      <c r="F60" s="103" t="s">
        <v>518</v>
      </c>
      <c r="G60" s="103" t="s">
        <v>68</v>
      </c>
      <c r="H60" s="103" t="s">
        <v>1184</v>
      </c>
      <c r="I60" s="103"/>
      <c r="J60" s="113">
        <f>400/ATHENS!O1*ATHENS!O2</f>
        <v>816.32653061224494</v>
      </c>
      <c r="K60" s="113">
        <f>498/ATHENS!O1*ATHENS!O2</f>
        <v>1016.3265306122449</v>
      </c>
      <c r="L60" s="113">
        <f>655/ATHENS!O1*ATHENS!O2</f>
        <v>1336.7346938775511</v>
      </c>
      <c r="M60" s="113"/>
      <c r="N60" s="113"/>
    </row>
    <row r="61" spans="1:14" x14ac:dyDescent="0.2">
      <c r="A61" s="105"/>
      <c r="B61" s="443" t="s">
        <v>487</v>
      </c>
      <c r="C61" s="443"/>
      <c r="D61" s="443"/>
      <c r="E61" s="99"/>
      <c r="F61" s="99" t="s">
        <v>518</v>
      </c>
      <c r="G61" s="99" t="s">
        <v>68</v>
      </c>
      <c r="H61" s="99" t="s">
        <v>1184</v>
      </c>
      <c r="I61" s="99"/>
      <c r="J61" s="89">
        <f>515/ATHENS!O1*ATHENS!O2</f>
        <v>1051.0204081632653</v>
      </c>
      <c r="K61" s="89">
        <f>617/ATHENS!O1*ATHENS!O2</f>
        <v>1259.1836734693877</v>
      </c>
      <c r="L61" s="89">
        <f>808/ATHENS!O1*ATHENS!O2</f>
        <v>1648.9795918367347</v>
      </c>
      <c r="M61" s="89"/>
      <c r="N61" s="89"/>
    </row>
    <row r="62" spans="1:14" ht="13.5" thickBot="1" x14ac:dyDescent="0.25">
      <c r="A62" s="105"/>
      <c r="B62" s="443" t="s">
        <v>487</v>
      </c>
      <c r="C62" s="443"/>
      <c r="D62" s="443"/>
      <c r="E62" s="99"/>
      <c r="F62" s="99" t="s">
        <v>705</v>
      </c>
      <c r="G62" s="99" t="s">
        <v>68</v>
      </c>
      <c r="H62" s="99" t="s">
        <v>1184</v>
      </c>
      <c r="I62" s="99"/>
      <c r="J62" s="89">
        <f>617/ATHENS!O1*ATHENS!O2</f>
        <v>1259.1836734693877</v>
      </c>
      <c r="K62" s="89">
        <f>719/ATHENS!O1*ATHENS!O2</f>
        <v>1467.3469387755101</v>
      </c>
      <c r="L62" s="89">
        <f>910/ATHENS!O1*ATHENS!O2</f>
        <v>1857.1428571428571</v>
      </c>
      <c r="M62" s="89"/>
      <c r="N62" s="89"/>
    </row>
    <row r="63" spans="1:14" ht="13.5" thickBot="1" x14ac:dyDescent="0.25">
      <c r="A63" s="119"/>
      <c r="B63" s="120" t="s">
        <v>780</v>
      </c>
      <c r="C63" s="120"/>
      <c r="D63" s="120"/>
      <c r="E63" s="121"/>
      <c r="F63" s="121"/>
      <c r="G63" s="121"/>
      <c r="H63" s="121"/>
      <c r="I63" s="121"/>
      <c r="J63" s="121"/>
      <c r="K63" s="121"/>
      <c r="L63" s="121"/>
      <c r="M63" s="121"/>
      <c r="N63" s="122"/>
    </row>
    <row r="64" spans="1:14" ht="13.5" thickBot="1" x14ac:dyDescent="0.25">
      <c r="A64" s="97"/>
      <c r="B64" s="98"/>
      <c r="C64" s="98"/>
      <c r="D64" s="98"/>
      <c r="E64" s="99"/>
      <c r="F64" s="99"/>
      <c r="G64" s="99"/>
      <c r="H64" s="99"/>
      <c r="I64" s="99"/>
      <c r="J64" s="99"/>
      <c r="K64" s="99"/>
      <c r="L64" s="99"/>
      <c r="M64" s="99"/>
      <c r="N64" s="99"/>
    </row>
    <row r="65" spans="1:14" ht="13.5" thickBot="1" x14ac:dyDescent="0.25">
      <c r="A65" s="101"/>
      <c r="B65" s="102"/>
      <c r="C65" s="102"/>
      <c r="D65" s="102"/>
      <c r="E65" s="103"/>
      <c r="F65" s="103"/>
      <c r="G65" s="103"/>
      <c r="H65" s="103"/>
      <c r="I65" s="103"/>
      <c r="J65" s="103"/>
      <c r="K65" s="103"/>
      <c r="L65" s="103"/>
      <c r="M65" s="103"/>
      <c r="N65" s="104"/>
    </row>
    <row r="66" spans="1:14" ht="15.75" thickBot="1" x14ac:dyDescent="0.25">
      <c r="A66" s="105"/>
      <c r="B66" s="459" t="s">
        <v>1496</v>
      </c>
      <c r="C66" s="460"/>
      <c r="D66" s="460"/>
      <c r="E66" s="460"/>
      <c r="F66" s="460"/>
      <c r="G66" s="460"/>
      <c r="H66" s="460"/>
      <c r="I66" s="460"/>
      <c r="J66" s="460"/>
      <c r="K66" s="460"/>
      <c r="L66" s="460"/>
      <c r="M66" s="461"/>
      <c r="N66" s="106" t="s">
        <v>1104</v>
      </c>
    </row>
    <row r="67" spans="1:14" x14ac:dyDescent="0.2">
      <c r="A67" s="105"/>
      <c r="B67" s="107" t="s">
        <v>428</v>
      </c>
      <c r="C67" s="98" t="s">
        <v>1497</v>
      </c>
      <c r="D67" s="98"/>
      <c r="E67" s="99"/>
      <c r="F67" s="99"/>
      <c r="G67" s="99"/>
      <c r="H67" s="99"/>
      <c r="I67" s="99"/>
      <c r="J67" s="99"/>
      <c r="K67" s="99"/>
      <c r="L67" s="99"/>
      <c r="M67" s="99"/>
      <c r="N67" s="90"/>
    </row>
    <row r="68" spans="1:14" x14ac:dyDescent="0.2">
      <c r="A68" s="105"/>
      <c r="B68" s="107" t="s">
        <v>429</v>
      </c>
      <c r="C68" s="98" t="s">
        <v>1074</v>
      </c>
      <c r="D68" s="98"/>
      <c r="E68" s="99"/>
      <c r="F68" s="99"/>
      <c r="G68" s="99"/>
      <c r="H68" s="99"/>
      <c r="I68" s="99"/>
      <c r="J68" s="99"/>
      <c r="K68" s="99"/>
      <c r="L68" s="99"/>
      <c r="M68" s="99"/>
      <c r="N68" s="90"/>
    </row>
    <row r="69" spans="1:14" x14ac:dyDescent="0.2">
      <c r="A69" s="105"/>
      <c r="B69" s="107" t="s">
        <v>427</v>
      </c>
      <c r="C69" s="455" t="s">
        <v>1639</v>
      </c>
      <c r="D69" s="455"/>
      <c r="E69" s="455"/>
      <c r="F69" s="455"/>
      <c r="G69" s="455"/>
      <c r="H69" s="455"/>
      <c r="I69" s="455"/>
      <c r="J69" s="455"/>
      <c r="K69" s="455"/>
      <c r="L69" s="455"/>
      <c r="M69" s="455"/>
      <c r="N69" s="456"/>
    </row>
    <row r="70" spans="1:14" x14ac:dyDescent="0.2">
      <c r="A70" s="105"/>
      <c r="B70" s="107"/>
      <c r="C70" s="455"/>
      <c r="D70" s="455"/>
      <c r="E70" s="455"/>
      <c r="F70" s="455"/>
      <c r="G70" s="455"/>
      <c r="H70" s="455"/>
      <c r="I70" s="455"/>
      <c r="J70" s="455"/>
      <c r="K70" s="455"/>
      <c r="L70" s="455"/>
      <c r="M70" s="455"/>
      <c r="N70" s="456"/>
    </row>
    <row r="71" spans="1:14" x14ac:dyDescent="0.2">
      <c r="A71" s="105"/>
      <c r="B71" s="107"/>
      <c r="C71" s="455"/>
      <c r="D71" s="455"/>
      <c r="E71" s="455"/>
      <c r="F71" s="455"/>
      <c r="G71" s="455"/>
      <c r="H71" s="455"/>
      <c r="I71" s="455"/>
      <c r="J71" s="455"/>
      <c r="K71" s="455"/>
      <c r="L71" s="455"/>
      <c r="M71" s="455"/>
      <c r="N71" s="456"/>
    </row>
    <row r="72" spans="1:14" x14ac:dyDescent="0.2">
      <c r="A72" s="105"/>
      <c r="B72" s="107"/>
      <c r="C72" s="455"/>
      <c r="D72" s="455"/>
      <c r="E72" s="455"/>
      <c r="F72" s="455"/>
      <c r="G72" s="455"/>
      <c r="H72" s="455"/>
      <c r="I72" s="455"/>
      <c r="J72" s="455"/>
      <c r="K72" s="455"/>
      <c r="L72" s="455"/>
      <c r="M72" s="455"/>
      <c r="N72" s="456"/>
    </row>
    <row r="73" spans="1:14" x14ac:dyDescent="0.2">
      <c r="A73" s="105"/>
      <c r="B73" s="107"/>
      <c r="C73" s="455"/>
      <c r="D73" s="455"/>
      <c r="E73" s="455"/>
      <c r="F73" s="455"/>
      <c r="G73" s="455"/>
      <c r="H73" s="455"/>
      <c r="I73" s="455"/>
      <c r="J73" s="455"/>
      <c r="K73" s="455"/>
      <c r="L73" s="455"/>
      <c r="M73" s="455"/>
      <c r="N73" s="456"/>
    </row>
    <row r="74" spans="1:14" x14ac:dyDescent="0.2">
      <c r="A74" s="105"/>
      <c r="B74" s="107"/>
      <c r="C74" s="455"/>
      <c r="D74" s="455"/>
      <c r="E74" s="455"/>
      <c r="F74" s="455"/>
      <c r="G74" s="455"/>
      <c r="H74" s="455"/>
      <c r="I74" s="455"/>
      <c r="J74" s="455"/>
      <c r="K74" s="455"/>
      <c r="L74" s="455"/>
      <c r="M74" s="455"/>
      <c r="N74" s="456"/>
    </row>
    <row r="75" spans="1:14" x14ac:dyDescent="0.2">
      <c r="A75" s="105"/>
      <c r="B75" s="107"/>
      <c r="C75" s="455"/>
      <c r="D75" s="455"/>
      <c r="E75" s="455"/>
      <c r="F75" s="455"/>
      <c r="G75" s="455"/>
      <c r="H75" s="455"/>
      <c r="I75" s="455"/>
      <c r="J75" s="455"/>
      <c r="K75" s="455"/>
      <c r="L75" s="455"/>
      <c r="M75" s="455"/>
      <c r="N75" s="456"/>
    </row>
    <row r="76" spans="1:14" x14ac:dyDescent="0.2">
      <c r="A76" s="105"/>
      <c r="B76" s="107" t="s">
        <v>426</v>
      </c>
      <c r="C76" s="98"/>
      <c r="D76" s="98"/>
      <c r="E76" s="99"/>
      <c r="F76" s="99"/>
      <c r="G76" s="99"/>
      <c r="H76" s="99"/>
      <c r="I76" s="99"/>
      <c r="J76" s="99"/>
      <c r="K76" s="99"/>
      <c r="L76" s="99"/>
      <c r="M76" s="99"/>
      <c r="N76" s="90"/>
    </row>
    <row r="77" spans="1:14" ht="13.5" thickBot="1" x14ac:dyDescent="0.25">
      <c r="A77" s="108"/>
      <c r="B77" s="118" t="s">
        <v>430</v>
      </c>
      <c r="C77" s="109"/>
      <c r="D77" s="109"/>
      <c r="E77" s="110"/>
      <c r="F77" s="110"/>
      <c r="G77" s="110"/>
      <c r="H77" s="110"/>
      <c r="I77" s="110"/>
      <c r="J77" s="110"/>
      <c r="K77" s="110"/>
      <c r="L77" s="110"/>
      <c r="M77" s="110"/>
      <c r="N77" s="93"/>
    </row>
    <row r="78" spans="1:14" x14ac:dyDescent="0.2">
      <c r="A78" s="101"/>
      <c r="B78" s="102" t="s">
        <v>263</v>
      </c>
      <c r="C78" s="102"/>
      <c r="D78" s="102"/>
      <c r="E78" s="103"/>
      <c r="F78" s="103"/>
      <c r="G78" s="103"/>
      <c r="H78" s="103"/>
      <c r="I78" s="103"/>
      <c r="J78" s="114" t="s">
        <v>753</v>
      </c>
      <c r="K78" s="113" t="s">
        <v>758</v>
      </c>
      <c r="L78" s="113" t="s">
        <v>279</v>
      </c>
      <c r="M78" s="113"/>
      <c r="N78" s="113"/>
    </row>
    <row r="79" spans="1:14" ht="13.5" thickBot="1" x14ac:dyDescent="0.25">
      <c r="A79" s="108"/>
      <c r="B79" s="109"/>
      <c r="C79" s="109"/>
      <c r="D79" s="109"/>
      <c r="E79" s="110"/>
      <c r="F79" s="110"/>
      <c r="G79" s="110"/>
      <c r="H79" s="110"/>
      <c r="I79" s="110"/>
      <c r="J79" s="112" t="s">
        <v>1438</v>
      </c>
      <c r="K79" s="94" t="s">
        <v>197</v>
      </c>
      <c r="L79" s="94" t="s">
        <v>523</v>
      </c>
      <c r="M79" s="94" t="s">
        <v>570</v>
      </c>
      <c r="N79" s="94"/>
    </row>
    <row r="80" spans="1:14" x14ac:dyDescent="0.2">
      <c r="A80" s="101"/>
      <c r="B80" s="448" t="s">
        <v>67</v>
      </c>
      <c r="C80" s="448"/>
      <c r="D80" s="448"/>
      <c r="E80" s="103"/>
      <c r="F80" s="103" t="s">
        <v>1180</v>
      </c>
      <c r="G80" s="103" t="s">
        <v>68</v>
      </c>
      <c r="H80" s="103" t="s">
        <v>702</v>
      </c>
      <c r="I80" s="103"/>
      <c r="J80" s="89">
        <f>139.5/ATHENS!O1*ATHENS!O2</f>
        <v>284.69387755102042</v>
      </c>
      <c r="K80" s="89">
        <f>179.5/ATHENS!O1*ATHENS!O2</f>
        <v>366.32653061224488</v>
      </c>
      <c r="L80" s="89">
        <f>228.85/ATHENS!O1*ATHENS!O2</f>
        <v>467.0408163265306</v>
      </c>
      <c r="M80" s="89">
        <f>281.5/ATHENS!O1*ATHENS!O2</f>
        <v>574.48979591836735</v>
      </c>
      <c r="N80" s="113"/>
    </row>
    <row r="81" spans="1:14" x14ac:dyDescent="0.2">
      <c r="A81" s="105"/>
      <c r="B81" s="443" t="s">
        <v>67</v>
      </c>
      <c r="C81" s="443"/>
      <c r="D81" s="443"/>
      <c r="E81" s="99"/>
      <c r="F81" s="99" t="s">
        <v>1181</v>
      </c>
      <c r="G81" s="99" t="s">
        <v>68</v>
      </c>
      <c r="H81" s="99" t="s">
        <v>702</v>
      </c>
      <c r="I81" s="99"/>
      <c r="J81" s="89">
        <f>85.7/ATHENS!O1*ATHENS!O2</f>
        <v>174.89795918367346</v>
      </c>
      <c r="K81" s="89">
        <f>97.8/ATHENS!O1*ATHENS!O2</f>
        <v>199.59183673469389</v>
      </c>
      <c r="L81" s="89">
        <f>133.5/ATHENS!O1*ATHENS!O2</f>
        <v>272.44897959183675</v>
      </c>
      <c r="M81" s="89">
        <f>163.5/ATHENS!O1*ATHENS!O2</f>
        <v>333.67346938775512</v>
      </c>
      <c r="N81" s="89"/>
    </row>
    <row r="82" spans="1:14" ht="13.5" thickBot="1" x14ac:dyDescent="0.25">
      <c r="A82" s="108"/>
      <c r="B82" s="436" t="s">
        <v>67</v>
      </c>
      <c r="C82" s="436"/>
      <c r="D82" s="436"/>
      <c r="E82" s="110"/>
      <c r="F82" s="110" t="s">
        <v>1182</v>
      </c>
      <c r="G82" s="110" t="s">
        <v>68</v>
      </c>
      <c r="H82" s="110" t="s">
        <v>702</v>
      </c>
      <c r="I82" s="110"/>
      <c r="J82" s="94">
        <f>69.6/ATHENS!O1*ATHENS!O2</f>
        <v>142.0408163265306</v>
      </c>
      <c r="K82" s="94">
        <f>74.5/ATHENS!O1*ATHENS!O2</f>
        <v>152.0408163265306</v>
      </c>
      <c r="L82" s="94">
        <f>101.7/ATHENS!O1*ATHENS!O2</f>
        <v>207.55102040816328</v>
      </c>
      <c r="M82" s="94">
        <f>125.9/ATHENS!O1*ATHENS!O2</f>
        <v>256.9387755102041</v>
      </c>
      <c r="N82" s="94"/>
    </row>
    <row r="83" spans="1:14" ht="13.5" thickBot="1" x14ac:dyDescent="0.25">
      <c r="A83" s="97"/>
      <c r="B83" s="98"/>
      <c r="C83" s="98"/>
      <c r="D83" s="98"/>
      <c r="E83" s="99"/>
      <c r="F83" s="99"/>
      <c r="G83" s="99"/>
      <c r="H83" s="99"/>
      <c r="I83" s="99"/>
      <c r="J83" s="99"/>
      <c r="K83" s="99"/>
      <c r="L83" s="99"/>
      <c r="M83" s="99"/>
      <c r="N83" s="99"/>
    </row>
    <row r="84" spans="1:14" ht="13.5" thickBot="1" x14ac:dyDescent="0.25">
      <c r="A84" s="101"/>
      <c r="B84" s="102"/>
      <c r="C84" s="102"/>
      <c r="D84" s="102"/>
      <c r="E84" s="103"/>
      <c r="F84" s="103"/>
      <c r="G84" s="103"/>
      <c r="H84" s="103"/>
      <c r="I84" s="103"/>
      <c r="J84" s="103"/>
      <c r="K84" s="103"/>
      <c r="L84" s="103"/>
      <c r="M84" s="103"/>
      <c r="N84" s="104"/>
    </row>
    <row r="85" spans="1:14" ht="15.75" thickBot="1" x14ac:dyDescent="0.25">
      <c r="A85" s="105"/>
      <c r="B85" s="459" t="s">
        <v>1625</v>
      </c>
      <c r="C85" s="460"/>
      <c r="D85" s="460"/>
      <c r="E85" s="460"/>
      <c r="F85" s="460"/>
      <c r="G85" s="460"/>
      <c r="H85" s="460"/>
      <c r="I85" s="460"/>
      <c r="J85" s="460"/>
      <c r="K85" s="460"/>
      <c r="L85" s="460"/>
      <c r="M85" s="461"/>
      <c r="N85" s="106" t="s">
        <v>91</v>
      </c>
    </row>
    <row r="86" spans="1:14" x14ac:dyDescent="0.2">
      <c r="A86" s="105"/>
      <c r="B86" s="107" t="s">
        <v>428</v>
      </c>
      <c r="C86" s="98" t="s">
        <v>1072</v>
      </c>
      <c r="D86" s="98"/>
      <c r="E86" s="99"/>
      <c r="F86" s="99"/>
      <c r="G86" s="99"/>
      <c r="H86" s="99"/>
      <c r="I86" s="99"/>
      <c r="J86" s="99"/>
      <c r="K86" s="99"/>
      <c r="L86" s="99"/>
      <c r="M86" s="99"/>
      <c r="N86" s="90"/>
    </row>
    <row r="87" spans="1:14" x14ac:dyDescent="0.2">
      <c r="A87" s="105"/>
      <c r="B87" s="107" t="s">
        <v>429</v>
      </c>
      <c r="C87" s="98" t="s">
        <v>1075</v>
      </c>
      <c r="D87" s="98"/>
      <c r="E87" s="99"/>
      <c r="F87" s="99"/>
      <c r="G87" s="99"/>
      <c r="H87" s="99"/>
      <c r="I87" s="99"/>
      <c r="J87" s="99"/>
      <c r="K87" s="99"/>
      <c r="L87" s="99"/>
      <c r="M87" s="99"/>
      <c r="N87" s="90"/>
    </row>
    <row r="88" spans="1:14" x14ac:dyDescent="0.2">
      <c r="A88" s="105"/>
      <c r="B88" s="107" t="s">
        <v>427</v>
      </c>
      <c r="C88" s="455" t="s">
        <v>1056</v>
      </c>
      <c r="D88" s="455"/>
      <c r="E88" s="455"/>
      <c r="F88" s="455"/>
      <c r="G88" s="455"/>
      <c r="H88" s="455"/>
      <c r="I88" s="455"/>
      <c r="J88" s="455"/>
      <c r="K88" s="455"/>
      <c r="L88" s="455"/>
      <c r="M88" s="455"/>
      <c r="N88" s="456"/>
    </row>
    <row r="89" spans="1:14" x14ac:dyDescent="0.2">
      <c r="A89" s="105"/>
      <c r="B89" s="98"/>
      <c r="C89" s="455"/>
      <c r="D89" s="455"/>
      <c r="E89" s="455"/>
      <c r="F89" s="455"/>
      <c r="G89" s="455"/>
      <c r="H89" s="455"/>
      <c r="I89" s="455"/>
      <c r="J89" s="455"/>
      <c r="K89" s="455"/>
      <c r="L89" s="455"/>
      <c r="M89" s="455"/>
      <c r="N89" s="456"/>
    </row>
    <row r="90" spans="1:14" x14ac:dyDescent="0.2">
      <c r="A90" s="105"/>
      <c r="B90" s="107" t="s">
        <v>426</v>
      </c>
      <c r="C90" s="98"/>
      <c r="D90" s="98"/>
      <c r="E90" s="99"/>
      <c r="F90" s="99"/>
      <c r="G90" s="99"/>
      <c r="H90" s="99"/>
      <c r="I90" s="99"/>
      <c r="J90" s="99"/>
      <c r="K90" s="99"/>
      <c r="L90" s="99"/>
      <c r="M90" s="99"/>
      <c r="N90" s="90"/>
    </row>
    <row r="91" spans="1:14" ht="13.5" thickBot="1" x14ac:dyDescent="0.25">
      <c r="A91" s="105"/>
      <c r="B91" s="107" t="s">
        <v>430</v>
      </c>
      <c r="C91" s="98"/>
      <c r="D91" s="98"/>
      <c r="E91" s="99"/>
      <c r="F91" s="99"/>
      <c r="G91" s="99"/>
      <c r="H91" s="99"/>
      <c r="I91" s="99"/>
      <c r="J91" s="99"/>
      <c r="K91" s="99"/>
      <c r="L91" s="99"/>
      <c r="M91" s="99"/>
      <c r="N91" s="90"/>
    </row>
    <row r="92" spans="1:14" x14ac:dyDescent="0.2">
      <c r="A92" s="101"/>
      <c r="B92" s="102" t="s">
        <v>263</v>
      </c>
      <c r="C92" s="102"/>
      <c r="D92" s="102"/>
      <c r="E92" s="103"/>
      <c r="F92" s="103"/>
      <c r="G92" s="103"/>
      <c r="H92" s="103"/>
      <c r="I92" s="103"/>
      <c r="J92" s="113" t="s">
        <v>2200</v>
      </c>
      <c r="K92" s="113" t="s">
        <v>340</v>
      </c>
      <c r="L92" s="113"/>
      <c r="M92" s="113"/>
      <c r="N92" s="113"/>
    </row>
    <row r="93" spans="1:14" ht="13.5" thickBot="1" x14ac:dyDescent="0.25">
      <c r="A93" s="108"/>
      <c r="B93" s="109"/>
      <c r="C93" s="109"/>
      <c r="D93" s="109"/>
      <c r="E93" s="110"/>
      <c r="F93" s="110"/>
      <c r="G93" s="110"/>
      <c r="H93" s="110"/>
      <c r="I93" s="110"/>
      <c r="J93" s="94" t="s">
        <v>756</v>
      </c>
      <c r="K93" s="94" t="s">
        <v>2201</v>
      </c>
      <c r="L93" s="94" t="s">
        <v>1095</v>
      </c>
      <c r="M93" s="94"/>
      <c r="N93" s="94"/>
    </row>
    <row r="94" spans="1:14" x14ac:dyDescent="0.2">
      <c r="A94" s="105"/>
      <c r="B94" s="443" t="s">
        <v>901</v>
      </c>
      <c r="C94" s="443"/>
      <c r="D94" s="443"/>
      <c r="E94" s="99"/>
      <c r="F94" s="99" t="s">
        <v>518</v>
      </c>
      <c r="G94" s="99" t="s">
        <v>68</v>
      </c>
      <c r="H94" s="99" t="s">
        <v>1184</v>
      </c>
      <c r="I94" s="99"/>
      <c r="J94" s="89">
        <f>365/ATHENS!O1*ATHENS!O2</f>
        <v>744.89795918367349</v>
      </c>
      <c r="K94" s="89">
        <f>530/ATHENS!O1*ATHENS!O2</f>
        <v>1081.6326530612246</v>
      </c>
      <c r="L94" s="89">
        <f>690/ATHENS!O1*ATHENS!O2</f>
        <v>1408.1632653061224</v>
      </c>
      <c r="M94" s="89"/>
      <c r="N94" s="89"/>
    </row>
    <row r="95" spans="1:14" ht="13.5" thickBot="1" x14ac:dyDescent="0.25">
      <c r="A95" s="105"/>
      <c r="B95" s="443" t="s">
        <v>901</v>
      </c>
      <c r="C95" s="443"/>
      <c r="D95" s="443"/>
      <c r="E95" s="99"/>
      <c r="F95" s="99" t="s">
        <v>705</v>
      </c>
      <c r="G95" s="99" t="s">
        <v>68</v>
      </c>
      <c r="H95" s="99" t="s">
        <v>1184</v>
      </c>
      <c r="I95" s="99"/>
      <c r="J95" s="89">
        <f>475/ATHENS!O1*ATHENS!O2</f>
        <v>969.38775510204084</v>
      </c>
      <c r="K95" s="89">
        <f>660/ATHENS!O1*ATHENS!O2</f>
        <v>1346.9387755102041</v>
      </c>
      <c r="L95" s="89">
        <f>860/ATHENS!O1*ATHENS!O2</f>
        <v>1755.1020408163265</v>
      </c>
      <c r="M95" s="89"/>
      <c r="N95" s="89"/>
    </row>
    <row r="96" spans="1:14" ht="13.5" thickBot="1" x14ac:dyDescent="0.25">
      <c r="A96" s="119"/>
      <c r="B96" s="120" t="s">
        <v>1094</v>
      </c>
      <c r="C96" s="120"/>
      <c r="D96" s="120"/>
      <c r="E96" s="121"/>
      <c r="F96" s="121"/>
      <c r="G96" s="121"/>
      <c r="H96" s="121"/>
      <c r="I96" s="121"/>
      <c r="J96" s="121"/>
      <c r="K96" s="121"/>
      <c r="L96" s="121"/>
      <c r="M96" s="121"/>
      <c r="N96" s="122"/>
    </row>
    <row r="97" spans="1:14" ht="13.5" thickBot="1" x14ac:dyDescent="0.25">
      <c r="A97" s="97"/>
      <c r="B97" s="98"/>
      <c r="C97" s="98"/>
      <c r="D97" s="98"/>
      <c r="E97" s="99"/>
      <c r="F97" s="99"/>
      <c r="G97" s="99"/>
      <c r="H97" s="99"/>
      <c r="I97" s="99"/>
      <c r="J97" s="99"/>
      <c r="K97" s="99"/>
      <c r="L97" s="99"/>
      <c r="M97" s="99"/>
      <c r="N97" s="99"/>
    </row>
    <row r="98" spans="1:14" ht="13.5" thickBot="1" x14ac:dyDescent="0.25">
      <c r="A98" s="101"/>
      <c r="B98" s="102"/>
      <c r="C98" s="102"/>
      <c r="D98" s="102"/>
      <c r="E98" s="103"/>
      <c r="F98" s="103"/>
      <c r="G98" s="103"/>
      <c r="H98" s="103"/>
      <c r="I98" s="103"/>
      <c r="J98" s="103"/>
      <c r="K98" s="103"/>
      <c r="L98" s="103"/>
      <c r="M98" s="103"/>
      <c r="N98" s="104"/>
    </row>
    <row r="99" spans="1:14" ht="15.75" thickBot="1" x14ac:dyDescent="0.25">
      <c r="A99" s="105"/>
      <c r="B99" s="459" t="s">
        <v>190</v>
      </c>
      <c r="C99" s="460"/>
      <c r="D99" s="460"/>
      <c r="E99" s="460"/>
      <c r="F99" s="460"/>
      <c r="G99" s="460"/>
      <c r="H99" s="460"/>
      <c r="I99" s="460"/>
      <c r="J99" s="460"/>
      <c r="K99" s="460"/>
      <c r="L99" s="460"/>
      <c r="M99" s="461"/>
      <c r="N99" s="106" t="s">
        <v>91</v>
      </c>
    </row>
    <row r="100" spans="1:14" x14ac:dyDescent="0.2">
      <c r="A100" s="105"/>
      <c r="B100" s="107" t="s">
        <v>428</v>
      </c>
      <c r="C100" s="98" t="s">
        <v>1076</v>
      </c>
      <c r="D100" s="98"/>
      <c r="E100" s="99"/>
      <c r="F100" s="99"/>
      <c r="G100" s="99"/>
      <c r="H100" s="99"/>
      <c r="I100" s="99"/>
      <c r="J100" s="99"/>
      <c r="K100" s="99"/>
      <c r="L100" s="99"/>
      <c r="M100" s="99"/>
      <c r="N100" s="90"/>
    </row>
    <row r="101" spans="1:14" x14ac:dyDescent="0.2">
      <c r="A101" s="105"/>
      <c r="B101" s="107" t="s">
        <v>429</v>
      </c>
      <c r="C101" s="98" t="s">
        <v>1077</v>
      </c>
      <c r="D101" s="98"/>
      <c r="E101" s="99"/>
      <c r="F101" s="99"/>
      <c r="G101" s="99"/>
      <c r="H101" s="99"/>
      <c r="I101" s="99"/>
      <c r="J101" s="99"/>
      <c r="K101" s="99"/>
      <c r="L101" s="99"/>
      <c r="M101" s="99"/>
      <c r="N101" s="90"/>
    </row>
    <row r="102" spans="1:14" x14ac:dyDescent="0.2">
      <c r="A102" s="105"/>
      <c r="B102" s="107" t="s">
        <v>427</v>
      </c>
      <c r="C102" s="455" t="s">
        <v>1640</v>
      </c>
      <c r="D102" s="455"/>
      <c r="E102" s="455"/>
      <c r="F102" s="455"/>
      <c r="G102" s="455"/>
      <c r="H102" s="455"/>
      <c r="I102" s="455"/>
      <c r="J102" s="455"/>
      <c r="K102" s="455"/>
      <c r="L102" s="455"/>
      <c r="M102" s="455"/>
      <c r="N102" s="456"/>
    </row>
    <row r="103" spans="1:14" x14ac:dyDescent="0.2">
      <c r="A103" s="105"/>
      <c r="B103" s="107"/>
      <c r="C103" s="455"/>
      <c r="D103" s="455"/>
      <c r="E103" s="455"/>
      <c r="F103" s="455"/>
      <c r="G103" s="455"/>
      <c r="H103" s="455"/>
      <c r="I103" s="455"/>
      <c r="J103" s="455"/>
      <c r="K103" s="455"/>
      <c r="L103" s="455"/>
      <c r="M103" s="455"/>
      <c r="N103" s="456"/>
    </row>
    <row r="104" spans="1:14" x14ac:dyDescent="0.2">
      <c r="A104" s="105"/>
      <c r="B104" s="107"/>
      <c r="C104" s="455"/>
      <c r="D104" s="455"/>
      <c r="E104" s="455"/>
      <c r="F104" s="455"/>
      <c r="G104" s="455"/>
      <c r="H104" s="455"/>
      <c r="I104" s="455"/>
      <c r="J104" s="455"/>
      <c r="K104" s="455"/>
      <c r="L104" s="455"/>
      <c r="M104" s="455"/>
      <c r="N104" s="456"/>
    </row>
    <row r="105" spans="1:14" x14ac:dyDescent="0.2">
      <c r="A105" s="105"/>
      <c r="B105" s="98"/>
      <c r="C105" s="455"/>
      <c r="D105" s="455"/>
      <c r="E105" s="455"/>
      <c r="F105" s="455"/>
      <c r="G105" s="455"/>
      <c r="H105" s="455"/>
      <c r="I105" s="455"/>
      <c r="J105" s="455"/>
      <c r="K105" s="455"/>
      <c r="L105" s="455"/>
      <c r="M105" s="455"/>
      <c r="N105" s="456"/>
    </row>
    <row r="106" spans="1:14" x14ac:dyDescent="0.2">
      <c r="A106" s="105"/>
      <c r="B106" s="98"/>
      <c r="C106" s="455"/>
      <c r="D106" s="455"/>
      <c r="E106" s="455"/>
      <c r="F106" s="455"/>
      <c r="G106" s="455"/>
      <c r="H106" s="455"/>
      <c r="I106" s="455"/>
      <c r="J106" s="455"/>
      <c r="K106" s="455"/>
      <c r="L106" s="455"/>
      <c r="M106" s="455"/>
      <c r="N106" s="456"/>
    </row>
    <row r="107" spans="1:14" x14ac:dyDescent="0.2">
      <c r="A107" s="105"/>
      <c r="B107" s="107" t="s">
        <v>426</v>
      </c>
      <c r="C107" s="130" t="s">
        <v>647</v>
      </c>
      <c r="D107" s="98"/>
      <c r="E107" s="99"/>
      <c r="F107" s="99"/>
      <c r="G107" s="99"/>
      <c r="H107" s="99"/>
      <c r="I107" s="99"/>
      <c r="J107" s="99"/>
      <c r="K107" s="99"/>
      <c r="L107" s="99"/>
      <c r="M107" s="99"/>
      <c r="N107" s="90"/>
    </row>
    <row r="108" spans="1:14" ht="13.5" thickBot="1" x14ac:dyDescent="0.25">
      <c r="A108" s="105"/>
      <c r="B108" s="107" t="s">
        <v>430</v>
      </c>
      <c r="C108" s="98"/>
      <c r="D108" s="98"/>
      <c r="E108" s="99"/>
      <c r="F108" s="99"/>
      <c r="G108" s="99"/>
      <c r="H108" s="99"/>
      <c r="I108" s="99"/>
      <c r="J108" s="99"/>
      <c r="K108" s="99"/>
      <c r="L108" s="99"/>
      <c r="M108" s="99"/>
      <c r="N108" s="90"/>
    </row>
    <row r="109" spans="1:14" x14ac:dyDescent="0.2">
      <c r="A109" s="101"/>
      <c r="B109" s="102" t="s">
        <v>263</v>
      </c>
      <c r="C109" s="102"/>
      <c r="D109" s="102"/>
      <c r="E109" s="103"/>
      <c r="F109" s="103"/>
      <c r="G109" s="103"/>
      <c r="H109" s="103"/>
      <c r="I109" s="103"/>
      <c r="J109" s="114" t="s">
        <v>758</v>
      </c>
      <c r="K109" s="113" t="s">
        <v>187</v>
      </c>
      <c r="L109" s="113" t="s">
        <v>188</v>
      </c>
      <c r="M109" s="113"/>
      <c r="N109" s="113"/>
    </row>
    <row r="110" spans="1:14" ht="13.5" thickBot="1" x14ac:dyDescent="0.25">
      <c r="A110" s="108"/>
      <c r="B110" s="109"/>
      <c r="C110" s="109"/>
      <c r="D110" s="109"/>
      <c r="E110" s="110"/>
      <c r="F110" s="110"/>
      <c r="G110" s="110"/>
      <c r="H110" s="110"/>
      <c r="I110" s="110"/>
      <c r="J110" s="112" t="s">
        <v>481</v>
      </c>
      <c r="K110" s="94" t="s">
        <v>832</v>
      </c>
      <c r="L110" s="94"/>
      <c r="M110" s="94"/>
      <c r="N110" s="94"/>
    </row>
    <row r="111" spans="1:14" x14ac:dyDescent="0.2">
      <c r="A111" s="101"/>
      <c r="B111" s="448" t="s">
        <v>67</v>
      </c>
      <c r="C111" s="448"/>
      <c r="D111" s="448"/>
      <c r="E111" s="103"/>
      <c r="F111" s="103" t="s">
        <v>1180</v>
      </c>
      <c r="G111" s="103" t="s">
        <v>68</v>
      </c>
      <c r="H111" s="103" t="s">
        <v>702</v>
      </c>
      <c r="I111" s="103"/>
      <c r="J111" s="89">
        <f>110.5/ATHENS!O1*ATHENS!O2</f>
        <v>225.51020408163265</v>
      </c>
      <c r="K111" s="89">
        <f>145.7/ATHENS!O1*ATHENS!O2</f>
        <v>297.34693877551018</v>
      </c>
      <c r="L111" s="89">
        <f>169.5/ATHENS!O1*ATHENS!O2</f>
        <v>345.91836734693879</v>
      </c>
      <c r="M111" s="89"/>
      <c r="N111" s="113"/>
    </row>
    <row r="112" spans="1:14" x14ac:dyDescent="0.2">
      <c r="A112" s="105"/>
      <c r="B112" s="443" t="s">
        <v>67</v>
      </c>
      <c r="C112" s="443"/>
      <c r="D112" s="443"/>
      <c r="E112" s="99"/>
      <c r="F112" s="99" t="s">
        <v>1181</v>
      </c>
      <c r="G112" s="99" t="s">
        <v>68</v>
      </c>
      <c r="H112" s="99" t="s">
        <v>702</v>
      </c>
      <c r="I112" s="99"/>
      <c r="J112" s="89">
        <f>61.5/ATHENS!O1*ATHENS!O2</f>
        <v>125.51020408163265</v>
      </c>
      <c r="K112" s="89">
        <f>86.5/ATHENS!O1*ATHENS!O2</f>
        <v>176.53061224489795</v>
      </c>
      <c r="L112" s="89">
        <f>99.5/ATHENS!O1*ATHENS!O2</f>
        <v>203.06122448979593</v>
      </c>
      <c r="M112" s="89"/>
      <c r="N112" s="89"/>
    </row>
    <row r="113" spans="1:14" ht="13.5" thickBot="1" x14ac:dyDescent="0.25">
      <c r="A113" s="105"/>
      <c r="B113" s="436" t="s">
        <v>67</v>
      </c>
      <c r="C113" s="436"/>
      <c r="D113" s="436"/>
      <c r="E113" s="110"/>
      <c r="F113" s="110" t="s">
        <v>1182</v>
      </c>
      <c r="G113" s="110" t="s">
        <v>68</v>
      </c>
      <c r="H113" s="110" t="s">
        <v>702</v>
      </c>
      <c r="I113" s="110"/>
      <c r="J113" s="94">
        <f>46.5/ATHENS!O1*ATHENS!O2</f>
        <v>94.897959183673464</v>
      </c>
      <c r="K113" s="94">
        <f>65.5/ATHENS!O1*ATHENS!O2</f>
        <v>133.67346938775509</v>
      </c>
      <c r="L113" s="94">
        <f>41.6/ATHENS!O1*ATHENS!O2</f>
        <v>84.897959183673478</v>
      </c>
      <c r="M113" s="94"/>
      <c r="N113" s="94"/>
    </row>
    <row r="114" spans="1:14" ht="13.5" thickBot="1" x14ac:dyDescent="0.25">
      <c r="A114" s="97"/>
      <c r="B114" s="98"/>
      <c r="C114" s="98"/>
      <c r="D114" s="98"/>
      <c r="E114" s="99"/>
      <c r="F114" s="99"/>
      <c r="G114" s="99"/>
      <c r="H114" s="99"/>
      <c r="I114" s="99"/>
      <c r="J114" s="99"/>
      <c r="K114" s="99"/>
      <c r="L114" s="99"/>
      <c r="M114" s="99"/>
      <c r="N114" s="99"/>
    </row>
    <row r="115" spans="1:14" ht="13.5" thickBot="1" x14ac:dyDescent="0.25">
      <c r="A115" s="101"/>
      <c r="B115" s="102"/>
      <c r="C115" s="102"/>
      <c r="D115" s="102"/>
      <c r="E115" s="103"/>
      <c r="F115" s="103"/>
      <c r="G115" s="103"/>
      <c r="H115" s="103"/>
      <c r="I115" s="103"/>
      <c r="J115" s="103"/>
      <c r="K115" s="103"/>
      <c r="L115" s="103"/>
      <c r="M115" s="103"/>
      <c r="N115" s="104"/>
    </row>
    <row r="116" spans="1:14" ht="15.75" thickBot="1" x14ac:dyDescent="0.25">
      <c r="A116" s="105"/>
      <c r="B116" s="467" t="s">
        <v>1626</v>
      </c>
      <c r="C116" s="468"/>
      <c r="D116" s="468"/>
      <c r="E116" s="468"/>
      <c r="F116" s="468"/>
      <c r="G116" s="468"/>
      <c r="H116" s="468"/>
      <c r="I116" s="468"/>
      <c r="J116" s="468"/>
      <c r="K116" s="468"/>
      <c r="L116" s="468"/>
      <c r="M116" s="469"/>
      <c r="N116" s="106" t="s">
        <v>91</v>
      </c>
    </row>
    <row r="117" spans="1:14" x14ac:dyDescent="0.2">
      <c r="A117" s="105"/>
      <c r="B117" s="107" t="s">
        <v>428</v>
      </c>
      <c r="C117" s="98" t="s">
        <v>1468</v>
      </c>
      <c r="D117" s="98"/>
      <c r="E117" s="99"/>
      <c r="F117" s="99"/>
      <c r="G117" s="99"/>
      <c r="H117" s="99"/>
      <c r="I117" s="99"/>
      <c r="J117" s="99"/>
      <c r="K117" s="99"/>
      <c r="L117" s="99"/>
      <c r="M117" s="99"/>
      <c r="N117" s="90"/>
    </row>
    <row r="118" spans="1:14" x14ac:dyDescent="0.2">
      <c r="A118" s="105"/>
      <c r="B118" s="107" t="s">
        <v>429</v>
      </c>
      <c r="C118" s="98" t="s">
        <v>826</v>
      </c>
      <c r="D118" s="98"/>
      <c r="E118" s="99"/>
      <c r="F118" s="99"/>
      <c r="G118" s="99"/>
      <c r="H118" s="99"/>
      <c r="I118" s="99"/>
      <c r="J118" s="99"/>
      <c r="K118" s="99"/>
      <c r="L118" s="99"/>
      <c r="M118" s="99"/>
      <c r="N118" s="90"/>
    </row>
    <row r="119" spans="1:14" x14ac:dyDescent="0.2">
      <c r="A119" s="105"/>
      <c r="B119" s="107" t="s">
        <v>427</v>
      </c>
      <c r="C119" s="455" t="s">
        <v>1641</v>
      </c>
      <c r="D119" s="455"/>
      <c r="E119" s="455"/>
      <c r="F119" s="455"/>
      <c r="G119" s="455"/>
      <c r="H119" s="455"/>
      <c r="I119" s="455"/>
      <c r="J119" s="455"/>
      <c r="K119" s="455"/>
      <c r="L119" s="455"/>
      <c r="M119" s="455"/>
      <c r="N119" s="456"/>
    </row>
    <row r="120" spans="1:14" x14ac:dyDescent="0.2">
      <c r="A120" s="105"/>
      <c r="B120" s="98"/>
      <c r="C120" s="455"/>
      <c r="D120" s="455"/>
      <c r="E120" s="455"/>
      <c r="F120" s="455"/>
      <c r="G120" s="455"/>
      <c r="H120" s="455"/>
      <c r="I120" s="455"/>
      <c r="J120" s="455"/>
      <c r="K120" s="455"/>
      <c r="L120" s="455"/>
      <c r="M120" s="455"/>
      <c r="N120" s="456"/>
    </row>
    <row r="121" spans="1:14" x14ac:dyDescent="0.2">
      <c r="A121" s="105"/>
      <c r="B121" s="107" t="s">
        <v>426</v>
      </c>
      <c r="C121" s="98" t="s">
        <v>441</v>
      </c>
      <c r="D121" s="98"/>
      <c r="E121" s="99"/>
      <c r="F121" s="99"/>
      <c r="G121" s="99"/>
      <c r="H121" s="99"/>
      <c r="I121" s="99"/>
      <c r="J121" s="99"/>
      <c r="K121" s="99"/>
      <c r="L121" s="99"/>
      <c r="M121" s="99"/>
      <c r="N121" s="90"/>
    </row>
    <row r="122" spans="1:14" ht="13.5" thickBot="1" x14ac:dyDescent="0.25">
      <c r="A122" s="108"/>
      <c r="B122" s="118" t="s">
        <v>430</v>
      </c>
      <c r="C122" s="109" t="s">
        <v>1105</v>
      </c>
      <c r="D122" s="109"/>
      <c r="E122" s="110"/>
      <c r="F122" s="110"/>
      <c r="G122" s="110"/>
      <c r="H122" s="110"/>
      <c r="I122" s="110"/>
      <c r="J122" s="110"/>
      <c r="K122" s="110"/>
      <c r="L122" s="110"/>
      <c r="M122" s="110"/>
      <c r="N122" s="93"/>
    </row>
    <row r="123" spans="1:14" x14ac:dyDescent="0.2">
      <c r="A123" s="101"/>
      <c r="B123" s="102" t="s">
        <v>263</v>
      </c>
      <c r="C123" s="102"/>
      <c r="D123" s="102"/>
      <c r="E123" s="103"/>
      <c r="F123" s="103"/>
      <c r="G123" s="103"/>
      <c r="H123" s="103"/>
      <c r="I123" s="103"/>
      <c r="J123" s="113" t="s">
        <v>1441</v>
      </c>
      <c r="K123" s="113" t="s">
        <v>1619</v>
      </c>
      <c r="L123" s="113"/>
      <c r="M123" s="113"/>
      <c r="N123" s="113"/>
    </row>
    <row r="124" spans="1:14" ht="13.5" thickBot="1" x14ac:dyDescent="0.25">
      <c r="A124" s="108"/>
      <c r="B124" s="109"/>
      <c r="C124" s="109"/>
      <c r="D124" s="109"/>
      <c r="E124" s="110"/>
      <c r="F124" s="110"/>
      <c r="G124" s="110"/>
      <c r="H124" s="110"/>
      <c r="I124" s="110"/>
      <c r="J124" s="94" t="s">
        <v>481</v>
      </c>
      <c r="K124" s="94"/>
      <c r="L124" s="94"/>
      <c r="M124" s="94"/>
      <c r="N124" s="94"/>
    </row>
    <row r="125" spans="1:14" x14ac:dyDescent="0.2">
      <c r="A125" s="101"/>
      <c r="B125" s="448" t="s">
        <v>901</v>
      </c>
      <c r="C125" s="448"/>
      <c r="D125" s="448"/>
      <c r="E125" s="103"/>
      <c r="F125" s="103" t="s">
        <v>518</v>
      </c>
      <c r="G125" s="103" t="s">
        <v>68</v>
      </c>
      <c r="H125" s="103" t="s">
        <v>1184</v>
      </c>
      <c r="I125" s="103"/>
      <c r="J125" s="89">
        <f>585/ATHENS!O1*ATHENS!O2</f>
        <v>1193.8775510204082</v>
      </c>
      <c r="K125" s="89">
        <f>695/ATHENS!O1*ATHENS!O2</f>
        <v>1418.3673469387754</v>
      </c>
      <c r="L125" s="89"/>
      <c r="M125" s="89"/>
      <c r="N125" s="113"/>
    </row>
    <row r="126" spans="1:14" x14ac:dyDescent="0.2">
      <c r="A126" s="105"/>
      <c r="B126" s="443" t="s">
        <v>522</v>
      </c>
      <c r="C126" s="443"/>
      <c r="D126" s="443"/>
      <c r="E126" s="99"/>
      <c r="F126" s="99" t="s">
        <v>518</v>
      </c>
      <c r="G126" s="99" t="s">
        <v>68</v>
      </c>
      <c r="H126" s="99" t="s">
        <v>1184</v>
      </c>
      <c r="I126" s="99"/>
      <c r="J126" s="89">
        <f>535/ATHENS!O1*ATHENS!O2</f>
        <v>1091.8367346938776</v>
      </c>
      <c r="K126" s="89">
        <f>640/ATHENS!O1*ATHENS!O2</f>
        <v>1306.1224489795918</v>
      </c>
      <c r="L126" s="89"/>
      <c r="M126" s="89"/>
      <c r="N126" s="89"/>
    </row>
    <row r="127" spans="1:14" ht="13.5" thickBot="1" x14ac:dyDescent="0.25">
      <c r="A127" s="108"/>
      <c r="B127" s="436" t="s">
        <v>284</v>
      </c>
      <c r="C127" s="436"/>
      <c r="D127" s="436"/>
      <c r="E127" s="110"/>
      <c r="F127" s="110" t="s">
        <v>706</v>
      </c>
      <c r="G127" s="110" t="s">
        <v>68</v>
      </c>
      <c r="H127" s="110" t="s">
        <v>1184</v>
      </c>
      <c r="I127" s="110"/>
      <c r="J127" s="94">
        <f>650/ATHENS!O1*ATHENS!O2</f>
        <v>1326.5306122448981</v>
      </c>
      <c r="K127" s="94">
        <f>770/ATHENS!O1*ATHENS!O2</f>
        <v>1571.4285714285716</v>
      </c>
      <c r="L127" s="94"/>
      <c r="M127" s="94"/>
      <c r="N127" s="94"/>
    </row>
    <row r="128" spans="1:14" ht="13.5" thickBot="1" x14ac:dyDescent="0.25">
      <c r="A128" s="131"/>
      <c r="B128" s="132" t="s">
        <v>338</v>
      </c>
      <c r="C128" s="132"/>
      <c r="D128" s="132"/>
      <c r="E128" s="132"/>
      <c r="F128" s="132"/>
      <c r="G128" s="132"/>
      <c r="H128" s="132"/>
      <c r="I128" s="132"/>
      <c r="J128" s="132"/>
      <c r="K128" s="132"/>
      <c r="L128" s="132"/>
      <c r="M128" s="132"/>
      <c r="N128" s="133"/>
    </row>
    <row r="129" spans="1:14" ht="13.5" thickBot="1" x14ac:dyDescent="0.25">
      <c r="A129" s="97"/>
      <c r="B129" s="98"/>
      <c r="C129" s="98"/>
      <c r="D129" s="98"/>
      <c r="E129" s="99"/>
      <c r="F129" s="99"/>
      <c r="G129" s="99"/>
      <c r="H129" s="99"/>
      <c r="I129" s="99"/>
      <c r="J129" s="99"/>
      <c r="K129" s="99"/>
      <c r="L129" s="99"/>
      <c r="M129" s="99"/>
      <c r="N129" s="99"/>
    </row>
    <row r="130" spans="1:14" ht="13.5" thickBot="1" x14ac:dyDescent="0.25">
      <c r="A130" s="101"/>
      <c r="B130" s="102"/>
      <c r="C130" s="102"/>
      <c r="D130" s="102"/>
      <c r="E130" s="103"/>
      <c r="F130" s="103"/>
      <c r="G130" s="103"/>
      <c r="H130" s="103"/>
      <c r="I130" s="103"/>
      <c r="J130" s="103"/>
      <c r="K130" s="103"/>
      <c r="L130" s="103"/>
      <c r="M130" s="103"/>
      <c r="N130" s="104"/>
    </row>
    <row r="131" spans="1:14" ht="15.75" thickBot="1" x14ac:dyDescent="0.25">
      <c r="A131" s="105"/>
      <c r="B131" s="459" t="s">
        <v>600</v>
      </c>
      <c r="C131" s="460"/>
      <c r="D131" s="460"/>
      <c r="E131" s="460"/>
      <c r="F131" s="460"/>
      <c r="G131" s="460"/>
      <c r="H131" s="460"/>
      <c r="I131" s="460"/>
      <c r="J131" s="460"/>
      <c r="K131" s="460"/>
      <c r="L131" s="460"/>
      <c r="M131" s="461"/>
      <c r="N131" s="106" t="s">
        <v>91</v>
      </c>
    </row>
    <row r="132" spans="1:14" x14ac:dyDescent="0.2">
      <c r="A132" s="105"/>
      <c r="B132" s="107" t="s">
        <v>428</v>
      </c>
      <c r="C132" s="98" t="s">
        <v>1078</v>
      </c>
      <c r="D132" s="98"/>
      <c r="E132" s="99"/>
      <c r="F132" s="99"/>
      <c r="G132" s="99"/>
      <c r="H132" s="99"/>
      <c r="I132" s="99"/>
      <c r="J132" s="99"/>
      <c r="K132" s="99"/>
      <c r="L132" s="99"/>
      <c r="M132" s="99"/>
      <c r="N132" s="90"/>
    </row>
    <row r="133" spans="1:14" ht="11.25" customHeight="1" x14ac:dyDescent="0.2">
      <c r="A133" s="105"/>
      <c r="B133" s="107" t="s">
        <v>429</v>
      </c>
      <c r="C133" s="98" t="s">
        <v>1079</v>
      </c>
      <c r="D133" s="98"/>
      <c r="E133" s="99"/>
      <c r="F133" s="99"/>
      <c r="G133" s="99"/>
      <c r="H133" s="99"/>
      <c r="I133" s="99"/>
      <c r="J133" s="99"/>
      <c r="K133" s="99"/>
      <c r="L133" s="99"/>
      <c r="M133" s="99"/>
      <c r="N133" s="90"/>
    </row>
    <row r="134" spans="1:14" ht="24.75" customHeight="1" x14ac:dyDescent="0.2">
      <c r="A134" s="105"/>
      <c r="B134" s="107" t="s">
        <v>427</v>
      </c>
      <c r="C134" s="455" t="s">
        <v>582</v>
      </c>
      <c r="D134" s="455"/>
      <c r="E134" s="455"/>
      <c r="F134" s="455"/>
      <c r="G134" s="455"/>
      <c r="H134" s="455"/>
      <c r="I134" s="455"/>
      <c r="J134" s="455"/>
      <c r="K134" s="455"/>
      <c r="L134" s="455"/>
      <c r="M134" s="455"/>
      <c r="N134" s="456"/>
    </row>
    <row r="135" spans="1:14" x14ac:dyDescent="0.2">
      <c r="A135" s="105"/>
      <c r="B135" s="107"/>
      <c r="C135" s="455"/>
      <c r="D135" s="455"/>
      <c r="E135" s="455"/>
      <c r="F135" s="455"/>
      <c r="G135" s="455"/>
      <c r="H135" s="455"/>
      <c r="I135" s="455"/>
      <c r="J135" s="455"/>
      <c r="K135" s="455"/>
      <c r="L135" s="455"/>
      <c r="M135" s="455"/>
      <c r="N135" s="456"/>
    </row>
    <row r="136" spans="1:14" x14ac:dyDescent="0.2">
      <c r="A136" s="105"/>
      <c r="B136" s="107"/>
      <c r="C136" s="455"/>
      <c r="D136" s="455"/>
      <c r="E136" s="455"/>
      <c r="F136" s="455"/>
      <c r="G136" s="455"/>
      <c r="H136" s="455"/>
      <c r="I136" s="455"/>
      <c r="J136" s="455"/>
      <c r="K136" s="455"/>
      <c r="L136" s="455"/>
      <c r="M136" s="455"/>
      <c r="N136" s="456"/>
    </row>
    <row r="137" spans="1:14" x14ac:dyDescent="0.2">
      <c r="A137" s="105"/>
      <c r="B137" s="107"/>
      <c r="C137" s="455"/>
      <c r="D137" s="455"/>
      <c r="E137" s="455"/>
      <c r="F137" s="455"/>
      <c r="G137" s="455"/>
      <c r="H137" s="455"/>
      <c r="I137" s="455"/>
      <c r="J137" s="455"/>
      <c r="K137" s="455"/>
      <c r="L137" s="455"/>
      <c r="M137" s="455"/>
      <c r="N137" s="456"/>
    </row>
    <row r="138" spans="1:14" ht="10.5" customHeight="1" x14ac:dyDescent="0.2">
      <c r="A138" s="105"/>
      <c r="B138" s="98"/>
      <c r="C138" s="455"/>
      <c r="D138" s="455"/>
      <c r="E138" s="455"/>
      <c r="F138" s="455"/>
      <c r="G138" s="455"/>
      <c r="H138" s="455"/>
      <c r="I138" s="455"/>
      <c r="J138" s="455"/>
      <c r="K138" s="455"/>
      <c r="L138" s="455"/>
      <c r="M138" s="455"/>
      <c r="N138" s="456"/>
    </row>
    <row r="139" spans="1:14" ht="10.5" customHeight="1" x14ac:dyDescent="0.2">
      <c r="A139" s="105"/>
      <c r="B139" s="107" t="s">
        <v>426</v>
      </c>
      <c r="C139" s="98"/>
      <c r="D139" s="98"/>
      <c r="E139" s="99"/>
      <c r="F139" s="99"/>
      <c r="G139" s="99"/>
      <c r="H139" s="99"/>
      <c r="I139" s="99"/>
      <c r="J139" s="99"/>
      <c r="K139" s="99"/>
      <c r="L139" s="99"/>
      <c r="M139" s="99"/>
      <c r="N139" s="90"/>
    </row>
    <row r="140" spans="1:14" ht="13.5" thickBot="1" x14ac:dyDescent="0.25">
      <c r="A140" s="105"/>
      <c r="B140" s="107" t="s">
        <v>430</v>
      </c>
      <c r="C140" s="98"/>
      <c r="D140" s="98"/>
      <c r="E140" s="99"/>
      <c r="F140" s="99"/>
      <c r="G140" s="99"/>
      <c r="H140" s="99"/>
      <c r="I140" s="99"/>
      <c r="J140" s="99"/>
      <c r="K140" s="99"/>
      <c r="L140" s="99"/>
      <c r="M140" s="99"/>
      <c r="N140" s="90"/>
    </row>
    <row r="141" spans="1:14" x14ac:dyDescent="0.2">
      <c r="A141" s="101"/>
      <c r="B141" s="102" t="s">
        <v>263</v>
      </c>
      <c r="C141" s="102"/>
      <c r="D141" s="102"/>
      <c r="E141" s="103"/>
      <c r="F141" s="103"/>
      <c r="G141" s="103"/>
      <c r="H141" s="103"/>
      <c r="I141" s="103"/>
      <c r="J141" s="113" t="s">
        <v>1787</v>
      </c>
      <c r="K141" s="113" t="s">
        <v>776</v>
      </c>
      <c r="L141" s="113"/>
      <c r="M141" s="113"/>
      <c r="N141" s="113"/>
    </row>
    <row r="142" spans="1:14" ht="13.5" thickBot="1" x14ac:dyDescent="0.25">
      <c r="A142" s="108"/>
      <c r="B142" s="109"/>
      <c r="C142" s="109"/>
      <c r="D142" s="109"/>
      <c r="E142" s="110"/>
      <c r="F142" s="110"/>
      <c r="G142" s="110"/>
      <c r="H142" s="110"/>
      <c r="I142" s="110"/>
      <c r="J142" s="94" t="s">
        <v>833</v>
      </c>
      <c r="K142" s="94" t="s">
        <v>1222</v>
      </c>
      <c r="L142" s="94" t="s">
        <v>610</v>
      </c>
      <c r="M142" s="94"/>
      <c r="N142" s="94"/>
    </row>
    <row r="143" spans="1:14" x14ac:dyDescent="0.2">
      <c r="A143" s="105"/>
      <c r="B143" s="443" t="s">
        <v>67</v>
      </c>
      <c r="C143" s="443"/>
      <c r="D143" s="443"/>
      <c r="E143" s="99"/>
      <c r="F143" s="99" t="s">
        <v>1180</v>
      </c>
      <c r="G143" s="99" t="s">
        <v>68</v>
      </c>
      <c r="H143" s="99" t="s">
        <v>702</v>
      </c>
      <c r="I143" s="99"/>
      <c r="J143" s="89">
        <f>200/ATHENS!O1*ATHENS!O2</f>
        <v>408.16326530612247</v>
      </c>
      <c r="K143" s="89">
        <f>240/ATHENS!O1*ATHENS!O2</f>
        <v>489.79591836734693</v>
      </c>
      <c r="L143" s="89">
        <f>280/ATHENS!O1*ATHENS!O2</f>
        <v>571.42857142857144</v>
      </c>
      <c r="M143" s="89"/>
      <c r="N143" s="89"/>
    </row>
    <row r="144" spans="1:14" x14ac:dyDescent="0.2">
      <c r="A144" s="105"/>
      <c r="B144" s="98" t="s">
        <v>67</v>
      </c>
      <c r="C144" s="98"/>
      <c r="D144" s="98"/>
      <c r="E144" s="99"/>
      <c r="F144" s="99" t="s">
        <v>1181</v>
      </c>
      <c r="G144" s="99" t="s">
        <v>68</v>
      </c>
      <c r="H144" s="99" t="s">
        <v>702</v>
      </c>
      <c r="I144" s="99"/>
      <c r="J144" s="89">
        <f>100/ATHENS!O1*ATHENS!O2</f>
        <v>204.08163265306123</v>
      </c>
      <c r="K144" s="89">
        <f>120/ATHENS!O1*ATHENS!O2</f>
        <v>244.89795918367346</v>
      </c>
      <c r="L144" s="89">
        <f>140/ATHENS!O1*ATHENS!O2</f>
        <v>285.71428571428572</v>
      </c>
      <c r="M144" s="89"/>
      <c r="N144" s="89"/>
    </row>
    <row r="145" spans="1:14" x14ac:dyDescent="0.2">
      <c r="A145" s="105"/>
      <c r="B145" s="98" t="s">
        <v>67</v>
      </c>
      <c r="C145" s="98"/>
      <c r="D145" s="98"/>
      <c r="E145" s="99"/>
      <c r="F145" s="99" t="s">
        <v>1182</v>
      </c>
      <c r="G145" s="99" t="s">
        <v>68</v>
      </c>
      <c r="H145" s="99" t="s">
        <v>702</v>
      </c>
      <c r="I145" s="99"/>
      <c r="J145" s="89">
        <f>80/ATHENS!O1*ATHENS!O2</f>
        <v>163.26530612244898</v>
      </c>
      <c r="K145" s="89">
        <f>93.5/ATHENS!O1*ATHENS!O2</f>
        <v>190.81632653061226</v>
      </c>
      <c r="L145" s="89">
        <f>106.6/ATHENS!O1*ATHENS!O2</f>
        <v>217.55102040816325</v>
      </c>
      <c r="M145" s="89"/>
      <c r="N145" s="89"/>
    </row>
    <row r="146" spans="1:14" ht="13.5" thickBot="1" x14ac:dyDescent="0.25">
      <c r="A146" s="108"/>
      <c r="B146" s="436" t="s">
        <v>67</v>
      </c>
      <c r="C146" s="436"/>
      <c r="D146" s="436"/>
      <c r="E146" s="110"/>
      <c r="F146" s="110" t="s">
        <v>257</v>
      </c>
      <c r="G146" s="110" t="s">
        <v>68</v>
      </c>
      <c r="H146" s="110" t="s">
        <v>702</v>
      </c>
      <c r="I146" s="110"/>
      <c r="J146" s="94">
        <f>80/ATHENS!O1*ATHENS!O2</f>
        <v>163.26530612244898</v>
      </c>
      <c r="K146" s="94">
        <f>90/ATHENS!O1*ATHENS!O2</f>
        <v>183.67346938775512</v>
      </c>
      <c r="L146" s="94">
        <f>100/ATHENS!O1*ATHENS!O2</f>
        <v>204.08163265306123</v>
      </c>
      <c r="M146" s="94"/>
      <c r="N146" s="94"/>
    </row>
    <row r="147" spans="1:14" ht="13.5" thickBot="1" x14ac:dyDescent="0.25">
      <c r="A147" s="97"/>
      <c r="B147" s="98"/>
      <c r="C147" s="98"/>
      <c r="D147" s="98"/>
      <c r="E147" s="99"/>
      <c r="F147" s="99"/>
      <c r="G147" s="99"/>
      <c r="H147" s="99"/>
      <c r="I147" s="99"/>
      <c r="J147" s="99"/>
      <c r="K147" s="99"/>
      <c r="L147" s="99"/>
      <c r="M147" s="99"/>
      <c r="N147" s="99"/>
    </row>
    <row r="148" spans="1:14" x14ac:dyDescent="0.2">
      <c r="A148" s="20"/>
      <c r="B148" s="21"/>
      <c r="C148" s="21"/>
      <c r="D148" s="21"/>
      <c r="E148" s="22"/>
      <c r="F148" s="22"/>
      <c r="G148" s="22"/>
      <c r="H148" s="22"/>
      <c r="I148" s="22"/>
      <c r="J148" s="22"/>
      <c r="K148" s="22"/>
      <c r="L148" s="22"/>
      <c r="M148" s="22"/>
      <c r="N148" s="23"/>
    </row>
    <row r="149" spans="1:14" ht="15" x14ac:dyDescent="0.2">
      <c r="A149" s="24"/>
      <c r="B149" s="413" t="s">
        <v>1677</v>
      </c>
      <c r="C149" s="414"/>
      <c r="D149" s="414"/>
      <c r="E149" s="414"/>
      <c r="F149" s="414"/>
      <c r="G149" s="414"/>
      <c r="H149" s="414"/>
      <c r="I149" s="414"/>
      <c r="J149" s="414"/>
      <c r="K149" s="414"/>
      <c r="L149" s="414"/>
      <c r="M149" s="415"/>
      <c r="N149" s="25" t="s">
        <v>91</v>
      </c>
    </row>
    <row r="150" spans="1:14" x14ac:dyDescent="0.2">
      <c r="A150" s="24"/>
      <c r="B150" s="26" t="s">
        <v>428</v>
      </c>
      <c r="C150" s="15" t="s">
        <v>1679</v>
      </c>
      <c r="D150" s="15"/>
      <c r="E150" s="16"/>
      <c r="F150" s="16"/>
      <c r="G150" s="16"/>
      <c r="H150" s="16"/>
      <c r="I150" s="16"/>
      <c r="J150" s="16"/>
      <c r="K150" s="16"/>
      <c r="L150" s="16"/>
      <c r="M150" s="16"/>
      <c r="N150" s="27"/>
    </row>
    <row r="151" spans="1:14" x14ac:dyDescent="0.2">
      <c r="A151" s="24"/>
      <c r="B151" s="26" t="s">
        <v>429</v>
      </c>
      <c r="C151" s="15" t="s">
        <v>1673</v>
      </c>
      <c r="D151" s="15"/>
      <c r="E151" s="16"/>
      <c r="F151" s="16"/>
      <c r="G151" s="16"/>
      <c r="H151" s="16"/>
      <c r="I151" s="16"/>
      <c r="J151" s="16"/>
      <c r="K151" s="16"/>
      <c r="L151" s="16"/>
      <c r="M151" s="16"/>
      <c r="N151" s="27"/>
    </row>
    <row r="152" spans="1:14" x14ac:dyDescent="0.2">
      <c r="A152" s="24"/>
      <c r="B152" s="26" t="s">
        <v>427</v>
      </c>
      <c r="C152" s="416" t="s">
        <v>1680</v>
      </c>
      <c r="D152" s="416"/>
      <c r="E152" s="416"/>
      <c r="F152" s="416"/>
      <c r="G152" s="416"/>
      <c r="H152" s="416"/>
      <c r="I152" s="416"/>
      <c r="J152" s="416"/>
      <c r="K152" s="416"/>
      <c r="L152" s="416"/>
      <c r="M152" s="416"/>
      <c r="N152" s="417"/>
    </row>
    <row r="153" spans="1:14" x14ac:dyDescent="0.2">
      <c r="A153" s="24"/>
      <c r="B153" s="15"/>
      <c r="C153" s="416"/>
      <c r="D153" s="416"/>
      <c r="E153" s="416"/>
      <c r="F153" s="416"/>
      <c r="G153" s="416"/>
      <c r="H153" s="416"/>
      <c r="I153" s="416"/>
      <c r="J153" s="416"/>
      <c r="K153" s="416"/>
      <c r="L153" s="416"/>
      <c r="M153" s="416"/>
      <c r="N153" s="417"/>
    </row>
    <row r="154" spans="1:14" x14ac:dyDescent="0.2">
      <c r="A154" s="24"/>
      <c r="B154" s="26" t="s">
        <v>426</v>
      </c>
      <c r="C154" s="15" t="s">
        <v>1678</v>
      </c>
      <c r="D154" s="15"/>
      <c r="E154" s="16"/>
      <c r="F154" s="16"/>
      <c r="G154" s="16"/>
      <c r="H154" s="16"/>
      <c r="I154" s="16"/>
      <c r="J154" s="16"/>
      <c r="K154" s="16"/>
      <c r="L154" s="16"/>
      <c r="M154" s="16"/>
      <c r="N154" s="27"/>
    </row>
    <row r="155" spans="1:14" ht="13.5" thickBot="1" x14ac:dyDescent="0.25">
      <c r="A155" s="28"/>
      <c r="B155" s="26" t="s">
        <v>430</v>
      </c>
      <c r="C155" s="29"/>
      <c r="D155" s="29"/>
      <c r="E155" s="30"/>
      <c r="F155" s="30"/>
      <c r="G155" s="30"/>
      <c r="H155" s="30"/>
      <c r="I155" s="30"/>
      <c r="J155" s="30"/>
      <c r="K155" s="30"/>
      <c r="L155" s="30"/>
      <c r="M155" s="30"/>
      <c r="N155" s="31"/>
    </row>
    <row r="156" spans="1:14" x14ac:dyDescent="0.2">
      <c r="A156" s="24"/>
      <c r="B156" s="21" t="s">
        <v>263</v>
      </c>
      <c r="C156" s="15"/>
      <c r="D156" s="15"/>
      <c r="E156" s="16"/>
      <c r="F156" s="16"/>
      <c r="G156" s="16"/>
      <c r="H156" s="16"/>
      <c r="I156" s="16"/>
      <c r="J156" s="58" t="s">
        <v>2108</v>
      </c>
      <c r="K156" s="55" t="s">
        <v>2109</v>
      </c>
      <c r="L156" s="55"/>
      <c r="M156" s="55"/>
      <c r="N156" s="55"/>
    </row>
    <row r="157" spans="1:14" ht="13.5" thickBot="1" x14ac:dyDescent="0.25">
      <c r="A157" s="28"/>
      <c r="B157" s="29"/>
      <c r="C157" s="29"/>
      <c r="D157" s="29"/>
      <c r="E157" s="30"/>
      <c r="F157" s="30"/>
      <c r="G157" s="30"/>
      <c r="H157" s="30"/>
      <c r="I157" s="30"/>
      <c r="J157" s="44" t="s">
        <v>481</v>
      </c>
      <c r="K157" s="36" t="s">
        <v>832</v>
      </c>
      <c r="L157" s="36" t="s">
        <v>2110</v>
      </c>
      <c r="M157" s="36"/>
      <c r="N157" s="36"/>
    </row>
    <row r="158" spans="1:14" x14ac:dyDescent="0.2">
      <c r="A158" s="20"/>
      <c r="B158" s="412" t="s">
        <v>67</v>
      </c>
      <c r="C158" s="412"/>
      <c r="D158" s="412"/>
      <c r="E158" s="22"/>
      <c r="F158" s="22" t="s">
        <v>1180</v>
      </c>
      <c r="G158" s="22" t="s">
        <v>68</v>
      </c>
      <c r="H158" s="22" t="s">
        <v>702</v>
      </c>
      <c r="I158" s="16"/>
      <c r="J158" s="66">
        <f>110.9/ATHENS!O1*ATHENS!O2</f>
        <v>226.32653061224491</v>
      </c>
      <c r="K158" s="66">
        <f>176.9/ATHENS!O1*ATHENS!O2</f>
        <v>361.0204081632653</v>
      </c>
      <c r="L158" s="40">
        <f>222/ATHENS!O1*ATHENS!O2</f>
        <v>453.0612244897959</v>
      </c>
      <c r="M158" s="38"/>
      <c r="N158" s="38"/>
    </row>
    <row r="159" spans="1:14" x14ac:dyDescent="0.2">
      <c r="A159" s="24"/>
      <c r="B159" s="411" t="s">
        <v>67</v>
      </c>
      <c r="C159" s="411"/>
      <c r="D159" s="411"/>
      <c r="E159" s="16"/>
      <c r="F159" s="16" t="s">
        <v>1181</v>
      </c>
      <c r="G159" s="16" t="s">
        <v>68</v>
      </c>
      <c r="H159" s="16" t="s">
        <v>702</v>
      </c>
      <c r="I159" s="16"/>
      <c r="J159" s="66">
        <f>55.5/ATHENS!O1*ATHENS!O2</f>
        <v>113.26530612244898</v>
      </c>
      <c r="K159" s="66">
        <f>88.5/ATHENS!O1*ATHENS!O2</f>
        <v>180.61224489795919</v>
      </c>
      <c r="L159" s="40">
        <f>111/ATHENS!O1*ATHENS!O2</f>
        <v>226.53061224489795</v>
      </c>
      <c r="M159" s="40"/>
      <c r="N159" s="40"/>
    </row>
    <row r="160" spans="1:14" x14ac:dyDescent="0.2">
      <c r="A160" s="24"/>
      <c r="B160" s="59" t="s">
        <v>67</v>
      </c>
      <c r="C160" s="15"/>
      <c r="D160" s="15"/>
      <c r="E160" s="16"/>
      <c r="F160" s="16" t="s">
        <v>1182</v>
      </c>
      <c r="G160" s="16" t="s">
        <v>68</v>
      </c>
      <c r="H160" s="16" t="s">
        <v>702</v>
      </c>
      <c r="I160" s="16"/>
      <c r="J160" s="66">
        <f>49.9/ATHENS!O1*ATHENS!O2</f>
        <v>101.83673469387755</v>
      </c>
      <c r="K160" s="66">
        <f>79.6/ATHENS!O1*ATHENS!O2</f>
        <v>162.44897959183672</v>
      </c>
      <c r="L160" s="40">
        <f>98/ATHENS!O1*ATHENS!O2</f>
        <v>200</v>
      </c>
      <c r="M160" s="40"/>
      <c r="N160" s="40"/>
    </row>
    <row r="161" spans="1:14" ht="13.5" thickBot="1" x14ac:dyDescent="0.25">
      <c r="A161" s="28"/>
      <c r="B161" s="418"/>
      <c r="C161" s="418"/>
      <c r="D161" s="418"/>
      <c r="E161" s="30"/>
      <c r="F161" s="80"/>
      <c r="G161" s="80"/>
      <c r="H161" s="30"/>
      <c r="I161" s="30"/>
      <c r="J161" s="67"/>
      <c r="K161" s="67"/>
      <c r="L161" s="42"/>
      <c r="M161" s="42"/>
      <c r="N161" s="42"/>
    </row>
    <row r="162" spans="1:14" x14ac:dyDescent="0.2">
      <c r="A162" s="97"/>
      <c r="B162" s="98"/>
      <c r="C162" s="98"/>
      <c r="D162" s="98"/>
      <c r="E162" s="99"/>
      <c r="F162" s="99"/>
      <c r="G162" s="99"/>
      <c r="H162" s="99"/>
      <c r="I162" s="99"/>
      <c r="J162" s="99"/>
      <c r="K162" s="99"/>
      <c r="L162" s="99"/>
      <c r="M162" s="99"/>
      <c r="N162" s="99"/>
    </row>
    <row r="163" spans="1:14" x14ac:dyDescent="0.2">
      <c r="A163" s="97"/>
      <c r="B163" s="98"/>
      <c r="C163" s="98"/>
      <c r="D163" s="98"/>
      <c r="E163" s="99"/>
      <c r="F163" s="99"/>
      <c r="G163" s="99"/>
      <c r="H163" s="99"/>
      <c r="I163" s="99"/>
      <c r="J163" s="99"/>
      <c r="K163" s="99"/>
      <c r="L163" s="99"/>
      <c r="M163" s="99"/>
      <c r="N163" s="99"/>
    </row>
    <row r="164" spans="1:14" x14ac:dyDescent="0.2">
      <c r="A164" s="97"/>
      <c r="B164" s="98"/>
      <c r="C164" s="98"/>
      <c r="D164" s="98"/>
      <c r="E164" s="99"/>
      <c r="F164" s="99"/>
      <c r="G164" s="99"/>
      <c r="H164" s="99"/>
      <c r="I164" s="99"/>
      <c r="J164" s="99"/>
      <c r="K164" s="99"/>
      <c r="L164" s="99"/>
      <c r="M164" s="99"/>
      <c r="N164" s="99"/>
    </row>
    <row r="165" spans="1:14" x14ac:dyDescent="0.2">
      <c r="A165" s="97"/>
      <c r="B165" s="98"/>
      <c r="C165" s="98"/>
      <c r="D165" s="98"/>
      <c r="E165" s="99"/>
      <c r="F165" s="99"/>
      <c r="G165" s="99"/>
      <c r="H165" s="99"/>
      <c r="I165" s="99"/>
      <c r="J165" s="99"/>
      <c r="K165" s="99"/>
      <c r="L165" s="99"/>
      <c r="M165" s="99"/>
      <c r="N165" s="99"/>
    </row>
    <row r="166" spans="1:14" x14ac:dyDescent="0.2">
      <c r="A166" s="97"/>
      <c r="B166" s="98"/>
      <c r="C166" s="98"/>
      <c r="D166" s="98"/>
      <c r="E166" s="99"/>
      <c r="F166" s="99"/>
      <c r="G166" s="99"/>
      <c r="H166" s="99"/>
      <c r="I166" s="99"/>
      <c r="J166" s="99"/>
      <c r="K166" s="99"/>
      <c r="L166" s="99"/>
      <c r="M166" s="99"/>
      <c r="N166" s="99"/>
    </row>
    <row r="167" spans="1:14" x14ac:dyDescent="0.2">
      <c r="A167" s="97"/>
      <c r="B167" s="98"/>
      <c r="C167" s="98"/>
      <c r="D167" s="98"/>
      <c r="E167" s="99"/>
      <c r="F167" s="99"/>
      <c r="G167" s="99"/>
      <c r="H167" s="99"/>
      <c r="I167" s="99"/>
      <c r="J167" s="99"/>
      <c r="K167" s="99"/>
      <c r="L167" s="99"/>
      <c r="M167" s="99"/>
      <c r="N167" s="99"/>
    </row>
    <row r="168" spans="1:14" x14ac:dyDescent="0.2">
      <c r="A168" s="97"/>
      <c r="B168" s="98"/>
      <c r="C168" s="98"/>
      <c r="D168" s="98"/>
      <c r="E168" s="99"/>
      <c r="F168" s="99"/>
      <c r="G168" s="99"/>
      <c r="H168" s="99"/>
      <c r="I168" s="99"/>
      <c r="J168" s="99"/>
      <c r="K168" s="99"/>
      <c r="L168" s="99"/>
      <c r="M168" s="99"/>
      <c r="N168" s="99"/>
    </row>
    <row r="169" spans="1:14" x14ac:dyDescent="0.2">
      <c r="A169" s="97"/>
      <c r="B169" s="98"/>
      <c r="C169" s="98"/>
      <c r="D169" s="98"/>
      <c r="E169" s="99"/>
      <c r="F169" s="99"/>
      <c r="G169" s="99"/>
      <c r="H169" s="99"/>
      <c r="I169" s="99"/>
      <c r="J169" s="99"/>
      <c r="K169" s="99"/>
      <c r="L169" s="99"/>
      <c r="M169" s="99"/>
      <c r="N169" s="99"/>
    </row>
    <row r="170" spans="1:14" x14ac:dyDescent="0.2">
      <c r="A170" s="97"/>
      <c r="B170" s="98"/>
      <c r="C170" s="98"/>
      <c r="D170" s="98"/>
      <c r="E170" s="99"/>
      <c r="F170" s="99"/>
      <c r="G170" s="99"/>
      <c r="H170" s="99"/>
      <c r="I170" s="99"/>
      <c r="J170" s="99"/>
      <c r="K170" s="99"/>
      <c r="L170" s="99"/>
      <c r="M170" s="99"/>
      <c r="N170" s="99"/>
    </row>
    <row r="171" spans="1:14" x14ac:dyDescent="0.2">
      <c r="A171" s="97"/>
      <c r="B171" s="98"/>
      <c r="C171" s="98"/>
      <c r="D171" s="98"/>
      <c r="E171" s="99"/>
      <c r="F171" s="99"/>
      <c r="G171" s="99"/>
      <c r="H171" s="99"/>
      <c r="I171" s="99"/>
      <c r="J171" s="99"/>
      <c r="K171" s="99"/>
      <c r="L171" s="99"/>
      <c r="M171" s="99"/>
      <c r="N171" s="99"/>
    </row>
    <row r="172" spans="1:14" x14ac:dyDescent="0.2">
      <c r="A172" s="97"/>
      <c r="B172" s="98"/>
      <c r="C172" s="98"/>
      <c r="D172" s="98"/>
      <c r="E172" s="99"/>
      <c r="F172" s="99"/>
      <c r="G172" s="99"/>
      <c r="H172" s="99"/>
      <c r="I172" s="99"/>
      <c r="J172" s="99"/>
      <c r="K172" s="99"/>
      <c r="L172" s="99"/>
      <c r="M172" s="99"/>
      <c r="N172" s="99"/>
    </row>
    <row r="173" spans="1:14" ht="13.5" thickBot="1" x14ac:dyDescent="0.25">
      <c r="A173" s="97"/>
      <c r="B173" s="98"/>
      <c r="C173" s="98"/>
      <c r="D173" s="98"/>
      <c r="E173" s="99"/>
      <c r="F173" s="99"/>
      <c r="G173" s="99"/>
      <c r="H173" s="99"/>
      <c r="I173" s="99"/>
      <c r="J173" s="99"/>
      <c r="K173" s="99"/>
      <c r="L173" s="99"/>
      <c r="M173" s="99"/>
      <c r="N173" s="99"/>
    </row>
    <row r="174" spans="1:14" ht="13.5" thickBot="1" x14ac:dyDescent="0.25">
      <c r="A174" s="101"/>
      <c r="B174" s="102"/>
      <c r="C174" s="102"/>
      <c r="D174" s="102"/>
      <c r="E174" s="103"/>
      <c r="F174" s="103"/>
      <c r="G174" s="103"/>
      <c r="H174" s="103"/>
      <c r="I174" s="103"/>
      <c r="J174" s="103"/>
      <c r="K174" s="103"/>
      <c r="L174" s="103"/>
      <c r="M174" s="103"/>
      <c r="N174" s="104"/>
    </row>
    <row r="175" spans="1:14" ht="15.75" thickBot="1" x14ac:dyDescent="0.25">
      <c r="A175" s="105"/>
      <c r="B175" s="459" t="s">
        <v>1620</v>
      </c>
      <c r="C175" s="460"/>
      <c r="D175" s="460"/>
      <c r="E175" s="460"/>
      <c r="F175" s="460"/>
      <c r="G175" s="460"/>
      <c r="H175" s="460"/>
      <c r="I175" s="460"/>
      <c r="J175" s="460"/>
      <c r="K175" s="460"/>
      <c r="L175" s="460"/>
      <c r="M175" s="461"/>
      <c r="N175" s="106" t="s">
        <v>683</v>
      </c>
    </row>
    <row r="176" spans="1:14" x14ac:dyDescent="0.2">
      <c r="A176" s="105"/>
      <c r="B176" s="107" t="s">
        <v>428</v>
      </c>
      <c r="C176" s="98" t="s">
        <v>1474</v>
      </c>
      <c r="D176" s="98"/>
      <c r="E176" s="99"/>
      <c r="F176" s="99"/>
      <c r="G176" s="99"/>
      <c r="H176" s="99"/>
      <c r="I176" s="99"/>
      <c r="J176" s="99"/>
      <c r="K176" s="99"/>
      <c r="L176" s="99"/>
      <c r="M176" s="99"/>
      <c r="N176" s="90"/>
    </row>
    <row r="177" spans="1:14" x14ac:dyDescent="0.2">
      <c r="A177" s="105"/>
      <c r="B177" s="107" t="s">
        <v>429</v>
      </c>
      <c r="C177" s="98" t="s">
        <v>1215</v>
      </c>
      <c r="D177" s="98"/>
      <c r="E177" s="99"/>
      <c r="F177" s="99"/>
      <c r="G177" s="99"/>
      <c r="H177" s="99"/>
      <c r="I177" s="99"/>
      <c r="J177" s="99"/>
      <c r="K177" s="99"/>
      <c r="L177" s="99"/>
      <c r="M177" s="99"/>
      <c r="N177" s="90"/>
    </row>
    <row r="178" spans="1:14" x14ac:dyDescent="0.2">
      <c r="A178" s="105"/>
      <c r="B178" s="107" t="s">
        <v>427</v>
      </c>
      <c r="C178" s="455" t="s">
        <v>1003</v>
      </c>
      <c r="D178" s="455"/>
      <c r="E178" s="455"/>
      <c r="F178" s="455"/>
      <c r="G178" s="455"/>
      <c r="H178" s="455"/>
      <c r="I178" s="455"/>
      <c r="J178" s="455"/>
      <c r="K178" s="455"/>
      <c r="L178" s="455"/>
      <c r="M178" s="455"/>
      <c r="N178" s="456"/>
    </row>
    <row r="179" spans="1:14" x14ac:dyDescent="0.2">
      <c r="A179" s="105"/>
      <c r="B179" s="107"/>
      <c r="C179" s="455"/>
      <c r="D179" s="455"/>
      <c r="E179" s="455"/>
      <c r="F179" s="455"/>
      <c r="G179" s="455"/>
      <c r="H179" s="455"/>
      <c r="I179" s="455"/>
      <c r="J179" s="455"/>
      <c r="K179" s="455"/>
      <c r="L179" s="455"/>
      <c r="M179" s="455"/>
      <c r="N179" s="456"/>
    </row>
    <row r="180" spans="1:14" x14ac:dyDescent="0.2">
      <c r="A180" s="105"/>
      <c r="B180" s="98"/>
      <c r="C180" s="455"/>
      <c r="D180" s="455"/>
      <c r="E180" s="455"/>
      <c r="F180" s="455"/>
      <c r="G180" s="455"/>
      <c r="H180" s="455"/>
      <c r="I180" s="455"/>
      <c r="J180" s="455"/>
      <c r="K180" s="455"/>
      <c r="L180" s="455"/>
      <c r="M180" s="455"/>
      <c r="N180" s="456"/>
    </row>
    <row r="181" spans="1:14" x14ac:dyDescent="0.2">
      <c r="A181" s="105"/>
      <c r="B181" s="107" t="s">
        <v>426</v>
      </c>
      <c r="C181" s="98" t="s">
        <v>407</v>
      </c>
      <c r="D181" s="98"/>
      <c r="E181" s="99"/>
      <c r="F181" s="99"/>
      <c r="G181" s="99"/>
      <c r="H181" s="99"/>
      <c r="I181" s="99"/>
      <c r="J181" s="99"/>
      <c r="K181" s="99"/>
      <c r="L181" s="99"/>
      <c r="M181" s="99"/>
      <c r="N181" s="90"/>
    </row>
    <row r="182" spans="1:14" ht="13.5" thickBot="1" x14ac:dyDescent="0.25">
      <c r="A182" s="105"/>
      <c r="B182" s="107" t="s">
        <v>430</v>
      </c>
      <c r="C182" s="98" t="s">
        <v>408</v>
      </c>
      <c r="D182" s="98"/>
      <c r="E182" s="99"/>
      <c r="F182" s="99"/>
      <c r="G182" s="99"/>
      <c r="H182" s="99"/>
      <c r="I182" s="99"/>
      <c r="J182" s="99"/>
      <c r="K182" s="99"/>
      <c r="L182" s="99"/>
      <c r="M182" s="99"/>
      <c r="N182" s="90"/>
    </row>
    <row r="183" spans="1:14" x14ac:dyDescent="0.2">
      <c r="A183" s="101"/>
      <c r="B183" s="102" t="s">
        <v>263</v>
      </c>
      <c r="C183" s="102"/>
      <c r="D183" s="102"/>
      <c r="E183" s="103"/>
      <c r="F183" s="103"/>
      <c r="G183" s="103"/>
      <c r="H183" s="103"/>
      <c r="I183" s="103"/>
      <c r="J183" s="114" t="s">
        <v>1810</v>
      </c>
      <c r="K183" s="113" t="s">
        <v>173</v>
      </c>
      <c r="L183" s="113"/>
      <c r="M183" s="113"/>
      <c r="N183" s="113"/>
    </row>
    <row r="184" spans="1:14" ht="13.5" thickBot="1" x14ac:dyDescent="0.25">
      <c r="A184" s="108"/>
      <c r="B184" s="109"/>
      <c r="C184" s="109"/>
      <c r="D184" s="109"/>
      <c r="E184" s="110"/>
      <c r="F184" s="110"/>
      <c r="G184" s="110"/>
      <c r="H184" s="110"/>
      <c r="I184" s="110"/>
      <c r="J184" s="112" t="s">
        <v>1400</v>
      </c>
      <c r="K184" s="94" t="s">
        <v>341</v>
      </c>
      <c r="L184" s="94" t="s">
        <v>1834</v>
      </c>
      <c r="M184" s="94"/>
      <c r="N184" s="94"/>
    </row>
    <row r="185" spans="1:14" x14ac:dyDescent="0.2">
      <c r="A185" s="101"/>
      <c r="B185" s="448" t="s">
        <v>67</v>
      </c>
      <c r="C185" s="448"/>
      <c r="D185" s="448"/>
      <c r="E185" s="103"/>
      <c r="F185" s="103" t="s">
        <v>1181</v>
      </c>
      <c r="G185" s="103" t="s">
        <v>68</v>
      </c>
      <c r="H185" s="103" t="s">
        <v>1184</v>
      </c>
      <c r="I185" s="103"/>
      <c r="J185" s="89">
        <f>349/ATHENS!O1*ATHENS!O2</f>
        <v>712.24489795918373</v>
      </c>
      <c r="K185" s="89">
        <f>417/ATHENS!O1*ATHENS!O2</f>
        <v>851.0204081632653</v>
      </c>
      <c r="L185" s="89">
        <f>498/ATHENS!O1*ATHENS!O2</f>
        <v>1016.3265306122449</v>
      </c>
      <c r="M185" s="89"/>
      <c r="N185" s="113"/>
    </row>
    <row r="186" spans="1:14" ht="13.5" thickBot="1" x14ac:dyDescent="0.25">
      <c r="A186" s="108"/>
      <c r="B186" s="436" t="s">
        <v>1861</v>
      </c>
      <c r="C186" s="436"/>
      <c r="D186" s="436"/>
      <c r="E186" s="110"/>
      <c r="F186" s="110" t="s">
        <v>518</v>
      </c>
      <c r="G186" s="110" t="s">
        <v>68</v>
      </c>
      <c r="H186" s="110" t="s">
        <v>1184</v>
      </c>
      <c r="I186" s="110"/>
      <c r="J186" s="94">
        <f>400/ATHENS!O1*ATHENS!O2</f>
        <v>816.32653061224494</v>
      </c>
      <c r="K186" s="94">
        <f>498/ATHENS!O1*ATHENS!O2</f>
        <v>1016.3265306122449</v>
      </c>
      <c r="L186" s="94">
        <f>587/ATHENS!O1*ATHENS!O2</f>
        <v>1197.9591836734694</v>
      </c>
      <c r="M186" s="94"/>
      <c r="N186" s="94"/>
    </row>
    <row r="187" spans="1:14" ht="13.5" thickBot="1" x14ac:dyDescent="0.25">
      <c r="A187" s="119"/>
      <c r="B187" s="120" t="s">
        <v>409</v>
      </c>
      <c r="C187" s="120"/>
      <c r="D187" s="120"/>
      <c r="E187" s="121"/>
      <c r="F187" s="121"/>
      <c r="G187" s="121"/>
      <c r="H187" s="121"/>
      <c r="I187" s="121"/>
      <c r="J187" s="121"/>
      <c r="K187" s="121"/>
      <c r="L187" s="121"/>
      <c r="M187" s="121"/>
      <c r="N187" s="122"/>
    </row>
    <row r="188" spans="1:14" ht="13.5" thickBot="1" x14ac:dyDescent="0.25">
      <c r="A188" s="97"/>
      <c r="B188" s="98"/>
      <c r="C188" s="98"/>
      <c r="D188" s="98"/>
      <c r="E188" s="99"/>
      <c r="F188" s="99"/>
      <c r="G188" s="99"/>
      <c r="H188" s="99"/>
      <c r="I188" s="99"/>
      <c r="J188" s="99"/>
      <c r="K188" s="99"/>
      <c r="L188" s="99"/>
      <c r="M188" s="99"/>
      <c r="N188" s="99"/>
    </row>
    <row r="189" spans="1:14" ht="13.5" thickBot="1" x14ac:dyDescent="0.25">
      <c r="A189" s="101"/>
      <c r="B189" s="102"/>
      <c r="C189" s="102"/>
      <c r="D189" s="102"/>
      <c r="E189" s="103"/>
      <c r="F189" s="103"/>
      <c r="G189" s="103"/>
      <c r="H189" s="103"/>
      <c r="I189" s="103"/>
      <c r="J189" s="103"/>
      <c r="K189" s="103"/>
      <c r="L189" s="103"/>
      <c r="M189" s="103"/>
      <c r="N189" s="104"/>
    </row>
    <row r="190" spans="1:14" ht="15.75" thickBot="1" x14ac:dyDescent="0.25">
      <c r="A190" s="105"/>
      <c r="B190" s="459" t="s">
        <v>781</v>
      </c>
      <c r="C190" s="460"/>
      <c r="D190" s="460"/>
      <c r="E190" s="460"/>
      <c r="F190" s="460"/>
      <c r="G190" s="460"/>
      <c r="H190" s="460"/>
      <c r="I190" s="460"/>
      <c r="J190" s="460"/>
      <c r="K190" s="460"/>
      <c r="L190" s="460"/>
      <c r="M190" s="461"/>
      <c r="N190" s="106" t="s">
        <v>91</v>
      </c>
    </row>
    <row r="191" spans="1:14" x14ac:dyDescent="0.2">
      <c r="A191" s="105"/>
      <c r="B191" s="107" t="s">
        <v>428</v>
      </c>
      <c r="C191" s="98" t="s">
        <v>782</v>
      </c>
      <c r="D191" s="98"/>
      <c r="E191" s="99"/>
      <c r="F191" s="99"/>
      <c r="G191" s="99"/>
      <c r="H191" s="99"/>
      <c r="I191" s="99"/>
      <c r="J191" s="99"/>
      <c r="K191" s="99"/>
      <c r="L191" s="99"/>
      <c r="M191" s="99"/>
      <c r="N191" s="90"/>
    </row>
    <row r="192" spans="1:14" x14ac:dyDescent="0.2">
      <c r="A192" s="105"/>
      <c r="B192" s="107" t="s">
        <v>429</v>
      </c>
      <c r="C192" s="98" t="s">
        <v>488</v>
      </c>
      <c r="D192" s="98"/>
      <c r="E192" s="99"/>
      <c r="F192" s="99"/>
      <c r="G192" s="99"/>
      <c r="H192" s="99"/>
      <c r="I192" s="99"/>
      <c r="J192" s="99"/>
      <c r="K192" s="99"/>
      <c r="L192" s="99"/>
      <c r="M192" s="99"/>
      <c r="N192" s="90"/>
    </row>
    <row r="193" spans="1:14" x14ac:dyDescent="0.2">
      <c r="A193" s="105"/>
      <c r="B193" s="107" t="s">
        <v>427</v>
      </c>
      <c r="C193" s="455" t="s">
        <v>1535</v>
      </c>
      <c r="D193" s="455"/>
      <c r="E193" s="455"/>
      <c r="F193" s="455"/>
      <c r="G193" s="455"/>
      <c r="H193" s="455"/>
      <c r="I193" s="455"/>
      <c r="J193" s="455"/>
      <c r="K193" s="455"/>
      <c r="L193" s="455"/>
      <c r="M193" s="455"/>
      <c r="N193" s="456"/>
    </row>
    <row r="194" spans="1:14" x14ac:dyDescent="0.2">
      <c r="A194" s="105"/>
      <c r="B194" s="107"/>
      <c r="C194" s="455"/>
      <c r="D194" s="455"/>
      <c r="E194" s="455"/>
      <c r="F194" s="455"/>
      <c r="G194" s="455"/>
      <c r="H194" s="455"/>
      <c r="I194" s="455"/>
      <c r="J194" s="455"/>
      <c r="K194" s="455"/>
      <c r="L194" s="455"/>
      <c r="M194" s="455"/>
      <c r="N194" s="456"/>
    </row>
    <row r="195" spans="1:14" x14ac:dyDescent="0.2">
      <c r="A195" s="105"/>
      <c r="B195" s="107"/>
      <c r="C195" s="455"/>
      <c r="D195" s="455"/>
      <c r="E195" s="455"/>
      <c r="F195" s="455"/>
      <c r="G195" s="455"/>
      <c r="H195" s="455"/>
      <c r="I195" s="455"/>
      <c r="J195" s="455"/>
      <c r="K195" s="455"/>
      <c r="L195" s="455"/>
      <c r="M195" s="455"/>
      <c r="N195" s="456"/>
    </row>
    <row r="196" spans="1:14" x14ac:dyDescent="0.2">
      <c r="A196" s="105"/>
      <c r="B196" s="107"/>
      <c r="C196" s="455"/>
      <c r="D196" s="455"/>
      <c r="E196" s="455"/>
      <c r="F196" s="455"/>
      <c r="G196" s="455"/>
      <c r="H196" s="455"/>
      <c r="I196" s="455"/>
      <c r="J196" s="455"/>
      <c r="K196" s="455"/>
      <c r="L196" s="455"/>
      <c r="M196" s="455"/>
      <c r="N196" s="456"/>
    </row>
    <row r="197" spans="1:14" x14ac:dyDescent="0.2">
      <c r="A197" s="105"/>
      <c r="B197" s="107"/>
      <c r="C197" s="455"/>
      <c r="D197" s="455"/>
      <c r="E197" s="455"/>
      <c r="F197" s="455"/>
      <c r="G197" s="455"/>
      <c r="H197" s="455"/>
      <c r="I197" s="455"/>
      <c r="J197" s="455"/>
      <c r="K197" s="455"/>
      <c r="L197" s="455"/>
      <c r="M197" s="455"/>
      <c r="N197" s="456"/>
    </row>
    <row r="198" spans="1:14" x14ac:dyDescent="0.2">
      <c r="A198" s="105"/>
      <c r="B198" s="107"/>
      <c r="C198" s="455"/>
      <c r="D198" s="455"/>
      <c r="E198" s="455"/>
      <c r="F198" s="455"/>
      <c r="G198" s="455"/>
      <c r="H198" s="455"/>
      <c r="I198" s="455"/>
      <c r="J198" s="455"/>
      <c r="K198" s="455"/>
      <c r="L198" s="455"/>
      <c r="M198" s="455"/>
      <c r="N198" s="456"/>
    </row>
    <row r="199" spans="1:14" x14ac:dyDescent="0.2">
      <c r="A199" s="105"/>
      <c r="B199" s="107"/>
      <c r="C199" s="455"/>
      <c r="D199" s="455"/>
      <c r="E199" s="455"/>
      <c r="F199" s="455"/>
      <c r="G199" s="455"/>
      <c r="H199" s="455"/>
      <c r="I199" s="455"/>
      <c r="J199" s="455"/>
      <c r="K199" s="455"/>
      <c r="L199" s="455"/>
      <c r="M199" s="455"/>
      <c r="N199" s="456"/>
    </row>
    <row r="200" spans="1:14" ht="13.5" thickBot="1" x14ac:dyDescent="0.25">
      <c r="A200" s="105"/>
      <c r="B200" s="107" t="s">
        <v>426</v>
      </c>
      <c r="C200" s="98" t="s">
        <v>783</v>
      </c>
      <c r="D200" s="98"/>
      <c r="E200" s="99"/>
      <c r="F200" s="99"/>
      <c r="G200" s="99"/>
      <c r="H200" s="99"/>
      <c r="I200" s="99"/>
      <c r="J200" s="99"/>
      <c r="K200" s="99"/>
      <c r="L200" s="99"/>
      <c r="M200" s="99"/>
      <c r="N200" s="90"/>
    </row>
    <row r="201" spans="1:14" x14ac:dyDescent="0.2">
      <c r="A201" s="101"/>
      <c r="B201" s="102" t="s">
        <v>263</v>
      </c>
      <c r="C201" s="102"/>
      <c r="D201" s="102"/>
      <c r="E201" s="103"/>
      <c r="F201" s="103"/>
      <c r="G201" s="103"/>
      <c r="H201" s="103"/>
      <c r="I201" s="103"/>
      <c r="J201" s="114" t="s">
        <v>2183</v>
      </c>
      <c r="K201" s="113" t="s">
        <v>279</v>
      </c>
      <c r="L201" s="113"/>
      <c r="M201" s="113"/>
      <c r="N201" s="113"/>
    </row>
    <row r="202" spans="1:14" ht="13.5" thickBot="1" x14ac:dyDescent="0.25">
      <c r="A202" s="108"/>
      <c r="B202" s="109"/>
      <c r="C202" s="109"/>
      <c r="D202" s="109"/>
      <c r="E202" s="110"/>
      <c r="F202" s="110"/>
      <c r="G202" s="110"/>
      <c r="H202" s="110"/>
      <c r="I202" s="110"/>
      <c r="J202" s="112" t="s">
        <v>1436</v>
      </c>
      <c r="K202" s="94" t="s">
        <v>520</v>
      </c>
      <c r="L202" s="94" t="s">
        <v>514</v>
      </c>
      <c r="M202" s="94"/>
      <c r="N202" s="94"/>
    </row>
    <row r="203" spans="1:14" x14ac:dyDescent="0.2">
      <c r="A203" s="101"/>
      <c r="B203" s="448" t="s">
        <v>901</v>
      </c>
      <c r="C203" s="448"/>
      <c r="D203" s="448"/>
      <c r="E203" s="103"/>
      <c r="F203" s="103" t="s">
        <v>518</v>
      </c>
      <c r="G203" s="103" t="s">
        <v>68</v>
      </c>
      <c r="H203" s="103" t="s">
        <v>1184</v>
      </c>
      <c r="I203" s="103"/>
      <c r="J203" s="89">
        <f>260/ATHENS!O1*ATHENS!O2</f>
        <v>530.61224489795916</v>
      </c>
      <c r="K203" s="89">
        <f>340/ATHENS!O1*ATHENS!O2</f>
        <v>693.87755102040819</v>
      </c>
      <c r="L203" s="89">
        <f>420/ATHENS!O1*ATHENS!O2</f>
        <v>857.14285714285711</v>
      </c>
      <c r="M203" s="89"/>
      <c r="N203" s="89"/>
    </row>
    <row r="204" spans="1:14" ht="13.5" thickBot="1" x14ac:dyDescent="0.25">
      <c r="A204" s="108"/>
      <c r="B204" s="436" t="s">
        <v>901</v>
      </c>
      <c r="C204" s="436"/>
      <c r="D204" s="436"/>
      <c r="E204" s="110"/>
      <c r="F204" s="110" t="s">
        <v>706</v>
      </c>
      <c r="G204" s="110" t="s">
        <v>68</v>
      </c>
      <c r="H204" s="110" t="s">
        <v>1184</v>
      </c>
      <c r="I204" s="110"/>
      <c r="J204" s="94">
        <f>435/ATHENS!O1*ATHENS!O2</f>
        <v>887.75510204081638</v>
      </c>
      <c r="K204" s="94">
        <f>550/ATHENS!O1*ATHENS!O2</f>
        <v>1122.4489795918369</v>
      </c>
      <c r="L204" s="94">
        <f>665/ATHENS!O1*ATHENS!O2</f>
        <v>1357.1428571428571</v>
      </c>
      <c r="M204" s="94"/>
      <c r="N204" s="94"/>
    </row>
    <row r="205" spans="1:14" ht="13.5" thickBot="1" x14ac:dyDescent="0.25">
      <c r="A205" s="97"/>
      <c r="B205" s="98"/>
      <c r="C205" s="98"/>
      <c r="D205" s="98"/>
      <c r="E205" s="99"/>
      <c r="F205" s="99"/>
      <c r="G205" s="99"/>
      <c r="H205" s="99"/>
      <c r="I205" s="99"/>
      <c r="J205" s="99"/>
      <c r="K205" s="99"/>
      <c r="L205" s="99"/>
      <c r="M205" s="99"/>
      <c r="N205" s="99"/>
    </row>
    <row r="206" spans="1:14" ht="13.5" thickBot="1" x14ac:dyDescent="0.25">
      <c r="A206" s="101"/>
      <c r="B206" s="102"/>
      <c r="C206" s="102"/>
      <c r="D206" s="102"/>
      <c r="E206" s="103"/>
      <c r="F206" s="103"/>
      <c r="G206" s="103"/>
      <c r="H206" s="103"/>
      <c r="I206" s="103"/>
      <c r="J206" s="103"/>
      <c r="K206" s="103"/>
      <c r="L206" s="103"/>
      <c r="M206" s="103"/>
      <c r="N206" s="104"/>
    </row>
    <row r="207" spans="1:14" ht="15.75" thickBot="1" x14ac:dyDescent="0.25">
      <c r="A207" s="105"/>
      <c r="B207" s="459" t="s">
        <v>421</v>
      </c>
      <c r="C207" s="460"/>
      <c r="D207" s="460"/>
      <c r="E207" s="460"/>
      <c r="F207" s="460"/>
      <c r="G207" s="460"/>
      <c r="H207" s="460"/>
      <c r="I207" s="460"/>
      <c r="J207" s="460"/>
      <c r="K207" s="460"/>
      <c r="L207" s="460"/>
      <c r="M207" s="461"/>
      <c r="N207" s="106" t="s">
        <v>91</v>
      </c>
    </row>
    <row r="208" spans="1:14" x14ac:dyDescent="0.2">
      <c r="A208" s="105"/>
      <c r="B208" s="107" t="s">
        <v>428</v>
      </c>
      <c r="C208" s="98" t="s">
        <v>422</v>
      </c>
      <c r="D208" s="98"/>
      <c r="E208" s="99"/>
      <c r="F208" s="99"/>
      <c r="G208" s="99"/>
      <c r="H208" s="99"/>
      <c r="I208" s="99"/>
      <c r="J208" s="99"/>
      <c r="K208" s="99"/>
      <c r="L208" s="99"/>
      <c r="M208" s="99"/>
      <c r="N208" s="90"/>
    </row>
    <row r="209" spans="1:14" x14ac:dyDescent="0.2">
      <c r="A209" s="105"/>
      <c r="B209" s="107" t="s">
        <v>429</v>
      </c>
      <c r="C209" s="98" t="s">
        <v>1061</v>
      </c>
      <c r="D209" s="98"/>
      <c r="E209" s="99"/>
      <c r="F209" s="99"/>
      <c r="G209" s="99"/>
      <c r="H209" s="99"/>
      <c r="I209" s="99"/>
      <c r="J209" s="99"/>
      <c r="K209" s="99"/>
      <c r="L209" s="99"/>
      <c r="M209" s="99"/>
      <c r="N209" s="90"/>
    </row>
    <row r="210" spans="1:14" x14ac:dyDescent="0.2">
      <c r="A210" s="105"/>
      <c r="B210" s="107" t="s">
        <v>427</v>
      </c>
      <c r="C210" s="455" t="s">
        <v>1536</v>
      </c>
      <c r="D210" s="455"/>
      <c r="E210" s="455"/>
      <c r="F210" s="455"/>
      <c r="G210" s="455"/>
      <c r="H210" s="455"/>
      <c r="I210" s="455"/>
      <c r="J210" s="455"/>
      <c r="K210" s="455"/>
      <c r="L210" s="455"/>
      <c r="M210" s="455"/>
      <c r="N210" s="456"/>
    </row>
    <row r="211" spans="1:14" x14ac:dyDescent="0.2">
      <c r="A211" s="105"/>
      <c r="B211" s="107"/>
      <c r="C211" s="455"/>
      <c r="D211" s="455"/>
      <c r="E211" s="455"/>
      <c r="F211" s="455"/>
      <c r="G211" s="455"/>
      <c r="H211" s="455"/>
      <c r="I211" s="455"/>
      <c r="J211" s="455"/>
      <c r="K211" s="455"/>
      <c r="L211" s="455"/>
      <c r="M211" s="455"/>
      <c r="N211" s="456"/>
    </row>
    <row r="212" spans="1:14" x14ac:dyDescent="0.2">
      <c r="A212" s="105"/>
      <c r="B212" s="107"/>
      <c r="C212" s="455"/>
      <c r="D212" s="455"/>
      <c r="E212" s="455"/>
      <c r="F212" s="455"/>
      <c r="G212" s="455"/>
      <c r="H212" s="455"/>
      <c r="I212" s="455"/>
      <c r="J212" s="455"/>
      <c r="K212" s="455"/>
      <c r="L212" s="455"/>
      <c r="M212" s="455"/>
      <c r="N212" s="456"/>
    </row>
    <row r="213" spans="1:14" x14ac:dyDescent="0.2">
      <c r="A213" s="105"/>
      <c r="B213" s="107"/>
      <c r="C213" s="455"/>
      <c r="D213" s="455"/>
      <c r="E213" s="455"/>
      <c r="F213" s="455"/>
      <c r="G213" s="455"/>
      <c r="H213" s="455"/>
      <c r="I213" s="455"/>
      <c r="J213" s="455"/>
      <c r="K213" s="455"/>
      <c r="L213" s="455"/>
      <c r="M213" s="455"/>
      <c r="N213" s="456"/>
    </row>
    <row r="214" spans="1:14" x14ac:dyDescent="0.2">
      <c r="A214" s="105"/>
      <c r="B214" s="107"/>
      <c r="C214" s="455"/>
      <c r="D214" s="455"/>
      <c r="E214" s="455"/>
      <c r="F214" s="455"/>
      <c r="G214" s="455"/>
      <c r="H214" s="455"/>
      <c r="I214" s="455"/>
      <c r="J214" s="455"/>
      <c r="K214" s="455"/>
      <c r="L214" s="455"/>
      <c r="M214" s="455"/>
      <c r="N214" s="456"/>
    </row>
    <row r="215" spans="1:14" x14ac:dyDescent="0.2">
      <c r="A215" s="105"/>
      <c r="B215" s="107" t="s">
        <v>426</v>
      </c>
      <c r="C215" s="98" t="s">
        <v>423</v>
      </c>
      <c r="D215" s="98"/>
      <c r="E215" s="99"/>
      <c r="F215" s="99"/>
      <c r="G215" s="99"/>
      <c r="H215" s="99"/>
      <c r="I215" s="99"/>
      <c r="J215" s="99"/>
      <c r="K215" s="99"/>
      <c r="L215" s="99"/>
      <c r="M215" s="99"/>
      <c r="N215" s="90"/>
    </row>
    <row r="216" spans="1:14" x14ac:dyDescent="0.2">
      <c r="A216" s="105"/>
      <c r="B216" s="107" t="s">
        <v>430</v>
      </c>
      <c r="C216" s="98" t="s">
        <v>543</v>
      </c>
      <c r="D216" s="98"/>
      <c r="E216" s="99"/>
      <c r="F216" s="99"/>
      <c r="G216" s="99"/>
      <c r="H216" s="99"/>
      <c r="I216" s="99"/>
      <c r="J216" s="99"/>
      <c r="K216" s="99"/>
      <c r="L216" s="99"/>
      <c r="M216" s="99"/>
      <c r="N216" s="90"/>
    </row>
    <row r="217" spans="1:14" ht="13.5" thickBot="1" x14ac:dyDescent="0.25">
      <c r="A217" s="105"/>
      <c r="B217" s="107"/>
      <c r="C217" s="98" t="s">
        <v>880</v>
      </c>
      <c r="D217" s="98"/>
      <c r="E217" s="99"/>
      <c r="F217" s="99"/>
      <c r="G217" s="99"/>
      <c r="H217" s="99"/>
      <c r="I217" s="99"/>
      <c r="J217" s="99"/>
      <c r="K217" s="99"/>
      <c r="L217" s="99"/>
      <c r="M217" s="99"/>
      <c r="N217" s="90"/>
    </row>
    <row r="218" spans="1:14" x14ac:dyDescent="0.2">
      <c r="A218" s="101"/>
      <c r="B218" s="102" t="s">
        <v>263</v>
      </c>
      <c r="C218" s="102"/>
      <c r="D218" s="102"/>
      <c r="E218" s="103"/>
      <c r="F218" s="103"/>
      <c r="G218" s="103"/>
      <c r="H218" s="103"/>
      <c r="I218" s="103"/>
      <c r="J218" s="114" t="s">
        <v>1975</v>
      </c>
      <c r="K218" s="113" t="s">
        <v>279</v>
      </c>
      <c r="L218" s="113"/>
      <c r="M218" s="113"/>
      <c r="N218" s="113"/>
    </row>
    <row r="219" spans="1:14" ht="13.5" thickBot="1" x14ac:dyDescent="0.25">
      <c r="A219" s="108"/>
      <c r="B219" s="109"/>
      <c r="C219" s="109"/>
      <c r="D219" s="109"/>
      <c r="E219" s="110"/>
      <c r="F219" s="110"/>
      <c r="G219" s="110"/>
      <c r="H219" s="110"/>
      <c r="I219" s="110"/>
      <c r="J219" s="112" t="s">
        <v>481</v>
      </c>
      <c r="K219" s="94" t="s">
        <v>483</v>
      </c>
      <c r="L219" s="94" t="s">
        <v>1976</v>
      </c>
      <c r="M219" s="94"/>
      <c r="N219" s="94"/>
    </row>
    <row r="220" spans="1:14" x14ac:dyDescent="0.2">
      <c r="A220" s="101"/>
      <c r="B220" s="448" t="s">
        <v>67</v>
      </c>
      <c r="C220" s="448"/>
      <c r="D220" s="448"/>
      <c r="E220" s="103"/>
      <c r="F220" s="103" t="s">
        <v>1181</v>
      </c>
      <c r="G220" s="103" t="s">
        <v>68</v>
      </c>
      <c r="H220" s="103" t="s">
        <v>702</v>
      </c>
      <c r="I220" s="103"/>
      <c r="J220" s="89">
        <f>72/ATHENS!O1*ATHENS!O2</f>
        <v>146.9387755102041</v>
      </c>
      <c r="K220" s="89">
        <f>98/ATHENS!O1*ATHENS!O2</f>
        <v>200</v>
      </c>
      <c r="L220" s="89">
        <f>118/ATHENS!O1*ATHENS!O2</f>
        <v>240.81632653061226</v>
      </c>
      <c r="M220" s="89"/>
      <c r="N220" s="89"/>
    </row>
    <row r="221" spans="1:14" x14ac:dyDescent="0.2">
      <c r="A221" s="105"/>
      <c r="B221" s="443" t="s">
        <v>522</v>
      </c>
      <c r="C221" s="443"/>
      <c r="D221" s="443"/>
      <c r="E221" s="99"/>
      <c r="F221" s="99" t="s">
        <v>705</v>
      </c>
      <c r="G221" s="99" t="s">
        <v>68</v>
      </c>
      <c r="H221" s="99" t="s">
        <v>1184</v>
      </c>
      <c r="I221" s="99"/>
      <c r="J221" s="89">
        <f>213/ATHENS!O1*ATHENS!O2</f>
        <v>434.69387755102042</v>
      </c>
      <c r="K221" s="89">
        <f>277/ATHENS!O1*ATHENS!O2</f>
        <v>565.30612244897964</v>
      </c>
      <c r="L221" s="89">
        <f>317/ATHENS!O1*ATHENS!O2</f>
        <v>646.9387755102041</v>
      </c>
      <c r="M221" s="89"/>
      <c r="N221" s="89"/>
    </row>
    <row r="222" spans="1:14" x14ac:dyDescent="0.2">
      <c r="A222" s="105"/>
      <c r="B222" s="443" t="s">
        <v>1437</v>
      </c>
      <c r="C222" s="443"/>
      <c r="D222" s="443"/>
      <c r="E222" s="99"/>
      <c r="F222" s="99" t="s">
        <v>518</v>
      </c>
      <c r="G222" s="99" t="s">
        <v>68</v>
      </c>
      <c r="H222" s="99" t="s">
        <v>1184</v>
      </c>
      <c r="I222" s="99"/>
      <c r="J222" s="89">
        <f>236/ATHENS!O1*ATHENS!O2</f>
        <v>481.63265306122452</v>
      </c>
      <c r="K222" s="89">
        <f>308/ATHENS!O1*ATHENS!O2</f>
        <v>628.57142857142856</v>
      </c>
      <c r="L222" s="89">
        <f>340/ATHENS!O1*ATHENS!O2</f>
        <v>693.87755102040819</v>
      </c>
      <c r="M222" s="89"/>
      <c r="N222" s="89"/>
    </row>
    <row r="223" spans="1:14" ht="13.5" thickBot="1" x14ac:dyDescent="0.25">
      <c r="A223" s="108"/>
      <c r="B223" s="436" t="s">
        <v>285</v>
      </c>
      <c r="C223" s="436"/>
      <c r="D223" s="436"/>
      <c r="E223" s="110"/>
      <c r="F223" s="110" t="s">
        <v>706</v>
      </c>
      <c r="G223" s="110" t="s">
        <v>68</v>
      </c>
      <c r="H223" s="110" t="s">
        <v>1184</v>
      </c>
      <c r="I223" s="110"/>
      <c r="J223" s="94">
        <f>442/ATHENS!O1*ATHENS!O2</f>
        <v>902.0408163265306</v>
      </c>
      <c r="K223" s="94">
        <f>518/ATHENS!O1*ATHENS!O2</f>
        <v>1057.1428571428571</v>
      </c>
      <c r="L223" s="94">
        <f>594/ATHENS!O1*ATHENS!O2</f>
        <v>1212.2448979591836</v>
      </c>
      <c r="M223" s="94"/>
      <c r="N223" s="94"/>
    </row>
    <row r="224" spans="1:14" ht="13.5" thickBot="1" x14ac:dyDescent="0.25">
      <c r="A224" s="119"/>
      <c r="B224" s="120" t="s">
        <v>881</v>
      </c>
      <c r="C224" s="120"/>
      <c r="D224" s="120"/>
      <c r="E224" s="121"/>
      <c r="F224" s="121"/>
      <c r="G224" s="121"/>
      <c r="H224" s="121"/>
      <c r="I224" s="121"/>
      <c r="J224" s="121"/>
      <c r="K224" s="121"/>
      <c r="L224" s="121"/>
      <c r="M224" s="121"/>
      <c r="N224" s="122"/>
    </row>
    <row r="225" spans="1:14" ht="13.5" thickBot="1" x14ac:dyDescent="0.25">
      <c r="A225" s="97"/>
      <c r="B225" s="98"/>
      <c r="C225" s="98"/>
      <c r="D225" s="98"/>
      <c r="E225" s="99"/>
      <c r="F225" s="99"/>
      <c r="G225" s="99"/>
      <c r="H225" s="99"/>
      <c r="I225" s="99"/>
      <c r="J225" s="99"/>
      <c r="K225" s="99"/>
      <c r="L225" s="99"/>
      <c r="M225" s="99"/>
      <c r="N225" s="99"/>
    </row>
    <row r="226" spans="1:14" ht="13.5" thickBot="1" x14ac:dyDescent="0.25">
      <c r="A226" s="101"/>
      <c r="B226" s="102"/>
      <c r="C226" s="102"/>
      <c r="D226" s="102"/>
      <c r="E226" s="103"/>
      <c r="F226" s="103"/>
      <c r="G226" s="103"/>
      <c r="H226" s="103"/>
      <c r="I226" s="103"/>
      <c r="J226" s="103"/>
      <c r="K226" s="103"/>
      <c r="L226" s="103"/>
      <c r="M226" s="103"/>
      <c r="N226" s="104"/>
    </row>
    <row r="227" spans="1:14" ht="15.75" thickBot="1" x14ac:dyDescent="0.25">
      <c r="A227" s="105"/>
      <c r="B227" s="459" t="s">
        <v>778</v>
      </c>
      <c r="C227" s="460"/>
      <c r="D227" s="460"/>
      <c r="E227" s="460"/>
      <c r="F227" s="460"/>
      <c r="G227" s="460"/>
      <c r="H227" s="460"/>
      <c r="I227" s="460"/>
      <c r="J227" s="460"/>
      <c r="K227" s="460"/>
      <c r="L227" s="460"/>
      <c r="M227" s="461"/>
      <c r="N227" s="106" t="s">
        <v>96</v>
      </c>
    </row>
    <row r="228" spans="1:14" x14ac:dyDescent="0.2">
      <c r="A228" s="105"/>
      <c r="B228" s="107" t="s">
        <v>428</v>
      </c>
      <c r="C228" s="98" t="s">
        <v>779</v>
      </c>
      <c r="D228" s="98"/>
      <c r="E228" s="99"/>
      <c r="F228" s="99"/>
      <c r="G228" s="99"/>
      <c r="H228" s="99"/>
      <c r="I228" s="99"/>
      <c r="J228" s="99"/>
      <c r="K228" s="99"/>
      <c r="L228" s="99"/>
      <c r="M228" s="99"/>
      <c r="N228" s="90"/>
    </row>
    <row r="229" spans="1:14" x14ac:dyDescent="0.2">
      <c r="A229" s="105"/>
      <c r="B229" s="107" t="s">
        <v>429</v>
      </c>
      <c r="C229" s="98" t="s">
        <v>1080</v>
      </c>
      <c r="D229" s="98"/>
      <c r="E229" s="99"/>
      <c r="F229" s="99"/>
      <c r="G229" s="99"/>
      <c r="H229" s="99"/>
      <c r="I229" s="99"/>
      <c r="J229" s="99"/>
      <c r="K229" s="99"/>
      <c r="L229" s="99"/>
      <c r="M229" s="99"/>
      <c r="N229" s="90"/>
    </row>
    <row r="230" spans="1:14" x14ac:dyDescent="0.2">
      <c r="A230" s="105"/>
      <c r="B230" s="107" t="s">
        <v>427</v>
      </c>
      <c r="C230" s="455" t="s">
        <v>185</v>
      </c>
      <c r="D230" s="455"/>
      <c r="E230" s="455"/>
      <c r="F230" s="455"/>
      <c r="G230" s="455"/>
      <c r="H230" s="455"/>
      <c r="I230" s="455"/>
      <c r="J230" s="455"/>
      <c r="K230" s="455"/>
      <c r="L230" s="455"/>
      <c r="M230" s="455"/>
      <c r="N230" s="456"/>
    </row>
    <row r="231" spans="1:14" x14ac:dyDescent="0.2">
      <c r="A231" s="105"/>
      <c r="B231" s="107"/>
      <c r="C231" s="455"/>
      <c r="D231" s="455"/>
      <c r="E231" s="455"/>
      <c r="F231" s="455"/>
      <c r="G231" s="455"/>
      <c r="H231" s="455"/>
      <c r="I231" s="455"/>
      <c r="J231" s="455"/>
      <c r="K231" s="455"/>
      <c r="L231" s="455"/>
      <c r="M231" s="455"/>
      <c r="N231" s="456"/>
    </row>
    <row r="232" spans="1:14" x14ac:dyDescent="0.2">
      <c r="A232" s="105"/>
      <c r="B232" s="107"/>
      <c r="C232" s="455"/>
      <c r="D232" s="455"/>
      <c r="E232" s="455"/>
      <c r="F232" s="455"/>
      <c r="G232" s="455"/>
      <c r="H232" s="455"/>
      <c r="I232" s="455"/>
      <c r="J232" s="455"/>
      <c r="K232" s="455"/>
      <c r="L232" s="455"/>
      <c r="M232" s="455"/>
      <c r="N232" s="456"/>
    </row>
    <row r="233" spans="1:14" x14ac:dyDescent="0.2">
      <c r="A233" s="105"/>
      <c r="B233" s="107"/>
      <c r="C233" s="455"/>
      <c r="D233" s="455"/>
      <c r="E233" s="455"/>
      <c r="F233" s="455"/>
      <c r="G233" s="455"/>
      <c r="H233" s="455"/>
      <c r="I233" s="455"/>
      <c r="J233" s="455"/>
      <c r="K233" s="455"/>
      <c r="L233" s="455"/>
      <c r="M233" s="455"/>
      <c r="N233" s="456"/>
    </row>
    <row r="234" spans="1:14" x14ac:dyDescent="0.2">
      <c r="A234" s="105"/>
      <c r="B234" s="107"/>
      <c r="C234" s="455"/>
      <c r="D234" s="455"/>
      <c r="E234" s="455"/>
      <c r="F234" s="455"/>
      <c r="G234" s="455"/>
      <c r="H234" s="455"/>
      <c r="I234" s="455"/>
      <c r="J234" s="455"/>
      <c r="K234" s="455"/>
      <c r="L234" s="455"/>
      <c r="M234" s="455"/>
      <c r="N234" s="456"/>
    </row>
    <row r="235" spans="1:14" x14ac:dyDescent="0.2">
      <c r="A235" s="105"/>
      <c r="B235" s="98"/>
      <c r="C235" s="455"/>
      <c r="D235" s="455"/>
      <c r="E235" s="455"/>
      <c r="F235" s="455"/>
      <c r="G235" s="455"/>
      <c r="H235" s="455"/>
      <c r="I235" s="455"/>
      <c r="J235" s="455"/>
      <c r="K235" s="455"/>
      <c r="L235" s="455"/>
      <c r="M235" s="455"/>
      <c r="N235" s="456"/>
    </row>
    <row r="236" spans="1:14" ht="13.5" thickBot="1" x14ac:dyDescent="0.25">
      <c r="A236" s="105"/>
      <c r="B236" s="107" t="s">
        <v>426</v>
      </c>
      <c r="C236" s="98" t="s">
        <v>419</v>
      </c>
      <c r="D236" s="98"/>
      <c r="E236" s="99"/>
      <c r="F236" s="99"/>
      <c r="G236" s="99"/>
      <c r="H236" s="99"/>
      <c r="I236" s="99"/>
      <c r="J236" s="99"/>
      <c r="K236" s="99"/>
      <c r="L236" s="99"/>
      <c r="M236" s="99"/>
      <c r="N236" s="90"/>
    </row>
    <row r="237" spans="1:14" x14ac:dyDescent="0.2">
      <c r="A237" s="101"/>
      <c r="B237" s="102" t="s">
        <v>263</v>
      </c>
      <c r="C237" s="102"/>
      <c r="D237" s="102"/>
      <c r="E237" s="103"/>
      <c r="F237" s="103"/>
      <c r="G237" s="103"/>
      <c r="H237" s="103"/>
      <c r="I237" s="103"/>
      <c r="J237" s="113" t="s">
        <v>2111</v>
      </c>
      <c r="K237" s="113"/>
      <c r="L237" s="113" t="s">
        <v>396</v>
      </c>
      <c r="M237" s="113"/>
      <c r="N237" s="113"/>
    </row>
    <row r="238" spans="1:14" ht="13.5" thickBot="1" x14ac:dyDescent="0.25">
      <c r="A238" s="108"/>
      <c r="B238" s="109"/>
      <c r="C238" s="109"/>
      <c r="D238" s="109"/>
      <c r="E238" s="110"/>
      <c r="F238" s="110"/>
      <c r="G238" s="110"/>
      <c r="H238" s="110"/>
      <c r="I238" s="110"/>
      <c r="J238" s="94" t="s">
        <v>278</v>
      </c>
      <c r="K238" s="94" t="s">
        <v>1972</v>
      </c>
      <c r="L238" s="94" t="s">
        <v>571</v>
      </c>
      <c r="M238" s="94" t="s">
        <v>186</v>
      </c>
      <c r="N238" s="94"/>
    </row>
    <row r="239" spans="1:14" x14ac:dyDescent="0.2">
      <c r="A239" s="101"/>
      <c r="B239" s="448" t="s">
        <v>67</v>
      </c>
      <c r="C239" s="448"/>
      <c r="D239" s="448"/>
      <c r="E239" s="103"/>
      <c r="F239" s="103" t="s">
        <v>1180</v>
      </c>
      <c r="G239" s="103" t="s">
        <v>68</v>
      </c>
      <c r="H239" s="103" t="s">
        <v>702</v>
      </c>
      <c r="I239" s="103"/>
      <c r="J239" s="113">
        <f>73.5/ATHENS!O1*ATHENS!O2</f>
        <v>150</v>
      </c>
      <c r="K239" s="113">
        <f>119.5/ATHENS!O1*ATHENS!O2</f>
        <v>243.87755102040816</v>
      </c>
      <c r="L239" s="113">
        <f>137.7/ATHENS!O1*ATHENS!O2</f>
        <v>281.0204081632653</v>
      </c>
      <c r="M239" s="113">
        <f>169.5/ATHENS!O1*ATHENS!O2</f>
        <v>345.91836734693879</v>
      </c>
      <c r="N239" s="113"/>
    </row>
    <row r="240" spans="1:14" x14ac:dyDescent="0.2">
      <c r="A240" s="105"/>
      <c r="B240" s="443" t="s">
        <v>67</v>
      </c>
      <c r="C240" s="443"/>
      <c r="D240" s="443"/>
      <c r="E240" s="99"/>
      <c r="F240" s="99" t="s">
        <v>1181</v>
      </c>
      <c r="G240" s="99" t="s">
        <v>68</v>
      </c>
      <c r="H240" s="99" t="s">
        <v>702</v>
      </c>
      <c r="I240" s="99"/>
      <c r="J240" s="89">
        <f>38.8/ATHENS!O1*ATHENS!O2</f>
        <v>79.183673469387756</v>
      </c>
      <c r="K240" s="89">
        <f>70.5/ATHENS!O1*ATHENS!O2</f>
        <v>143.87755102040816</v>
      </c>
      <c r="L240" s="89">
        <f>79.9/ATHENS!O1*ATHENS!O2</f>
        <v>163.06122448979593</v>
      </c>
      <c r="M240" s="89">
        <f>95.6/ATHENS!O1*ATHENS!O2</f>
        <v>195.10204081632654</v>
      </c>
      <c r="N240" s="89"/>
    </row>
    <row r="241" spans="1:14" ht="13.5" thickBot="1" x14ac:dyDescent="0.25">
      <c r="A241" s="108"/>
      <c r="B241" s="436" t="s">
        <v>67</v>
      </c>
      <c r="C241" s="436"/>
      <c r="D241" s="436"/>
      <c r="E241" s="110"/>
      <c r="F241" s="110" t="s">
        <v>1182</v>
      </c>
      <c r="G241" s="110" t="s">
        <v>68</v>
      </c>
      <c r="H241" s="110" t="s">
        <v>702</v>
      </c>
      <c r="I241" s="110"/>
      <c r="J241" s="94">
        <f>34.9/ATHENS!O1*ATHENS!O2</f>
        <v>71.224489795918359</v>
      </c>
      <c r="K241" s="94">
        <f>57.8/ATHENS!O1*ATHENS!O2</f>
        <v>117.95918367346938</v>
      </c>
      <c r="L241" s="94">
        <f>64.5/ATHENS!O1*ATHENS!O2</f>
        <v>131.63265306122449</v>
      </c>
      <c r="M241" s="94">
        <f>76.7/ATHENS!O1*ATHENS!O2</f>
        <v>156.53061224489798</v>
      </c>
      <c r="N241" s="94"/>
    </row>
    <row r="242" spans="1:14" ht="13.5" thickBot="1" x14ac:dyDescent="0.25">
      <c r="A242" s="97"/>
      <c r="B242" s="98"/>
      <c r="C242" s="98"/>
      <c r="D242" s="98"/>
      <c r="E242" s="99"/>
      <c r="F242" s="99"/>
      <c r="G242" s="99"/>
      <c r="H242" s="99"/>
      <c r="I242" s="99"/>
      <c r="J242" s="99"/>
      <c r="K242" s="99"/>
      <c r="L242" s="99"/>
      <c r="M242" s="99"/>
      <c r="N242" s="99"/>
    </row>
    <row r="243" spans="1:14" x14ac:dyDescent="0.2">
      <c r="A243" s="101"/>
      <c r="B243" s="102"/>
      <c r="C243" s="102"/>
      <c r="D243" s="102"/>
      <c r="E243" s="103"/>
      <c r="F243" s="103"/>
      <c r="G243" s="103"/>
      <c r="H243" s="103"/>
      <c r="I243" s="103"/>
      <c r="J243" s="103"/>
      <c r="K243" s="103"/>
      <c r="L243" s="103"/>
      <c r="M243" s="103"/>
      <c r="N243" s="104"/>
    </row>
    <row r="244" spans="1:14" ht="13.5" thickBot="1" x14ac:dyDescent="0.25">
      <c r="A244" s="97"/>
      <c r="B244" s="98"/>
      <c r="C244" s="98"/>
      <c r="D244" s="98"/>
      <c r="E244" s="99"/>
      <c r="F244" s="99"/>
      <c r="G244" s="99"/>
      <c r="H244" s="99"/>
      <c r="I244" s="99"/>
      <c r="J244" s="99"/>
      <c r="K244" s="99"/>
      <c r="L244" s="99"/>
      <c r="M244" s="99"/>
      <c r="N244" s="99"/>
    </row>
    <row r="245" spans="1:14" ht="13.5" thickBot="1" x14ac:dyDescent="0.25">
      <c r="A245" s="101"/>
      <c r="B245" s="102"/>
      <c r="C245" s="102"/>
      <c r="D245" s="102"/>
      <c r="E245" s="103"/>
      <c r="F245" s="103"/>
      <c r="G245" s="103"/>
      <c r="H245" s="103"/>
      <c r="I245" s="103"/>
      <c r="J245" s="103"/>
      <c r="K245" s="103"/>
      <c r="L245" s="103"/>
      <c r="M245" s="103"/>
      <c r="N245" s="104"/>
    </row>
    <row r="246" spans="1:14" ht="15.75" thickBot="1" x14ac:dyDescent="0.25">
      <c r="A246" s="105"/>
      <c r="B246" s="459" t="s">
        <v>681</v>
      </c>
      <c r="C246" s="460"/>
      <c r="D246" s="460"/>
      <c r="E246" s="460"/>
      <c r="F246" s="460"/>
      <c r="G246" s="460"/>
      <c r="H246" s="460"/>
      <c r="I246" s="460"/>
      <c r="J246" s="460"/>
      <c r="K246" s="460"/>
      <c r="L246" s="460"/>
      <c r="M246" s="461"/>
      <c r="N246" s="106" t="s">
        <v>96</v>
      </c>
    </row>
    <row r="247" spans="1:14" x14ac:dyDescent="0.2">
      <c r="A247" s="105"/>
      <c r="B247" s="107" t="s">
        <v>428</v>
      </c>
      <c r="C247" s="98" t="s">
        <v>1497</v>
      </c>
      <c r="D247" s="98"/>
      <c r="E247" s="99"/>
      <c r="F247" s="99"/>
      <c r="G247" s="99"/>
      <c r="H247" s="99"/>
      <c r="I247" s="99"/>
      <c r="J247" s="99"/>
      <c r="K247" s="99"/>
      <c r="L247" s="99"/>
      <c r="M247" s="99"/>
      <c r="N247" s="90"/>
    </row>
    <row r="248" spans="1:14" x14ac:dyDescent="0.2">
      <c r="A248" s="105"/>
      <c r="B248" s="107" t="s">
        <v>429</v>
      </c>
      <c r="C248" s="98" t="s">
        <v>1062</v>
      </c>
      <c r="D248" s="98"/>
      <c r="E248" s="99"/>
      <c r="F248" s="99"/>
      <c r="G248" s="99"/>
      <c r="H248" s="99"/>
      <c r="I248" s="99"/>
      <c r="J248" s="99"/>
      <c r="K248" s="99"/>
      <c r="L248" s="99"/>
      <c r="M248" s="99"/>
      <c r="N248" s="90"/>
    </row>
    <row r="249" spans="1:14" x14ac:dyDescent="0.2">
      <c r="A249" s="105"/>
      <c r="B249" s="107" t="s">
        <v>427</v>
      </c>
      <c r="C249" s="455" t="s">
        <v>1537</v>
      </c>
      <c r="D249" s="455"/>
      <c r="E249" s="455"/>
      <c r="F249" s="455"/>
      <c r="G249" s="455"/>
      <c r="H249" s="455"/>
      <c r="I249" s="455"/>
      <c r="J249" s="455"/>
      <c r="K249" s="455"/>
      <c r="L249" s="455"/>
      <c r="M249" s="455"/>
      <c r="N249" s="456"/>
    </row>
    <row r="250" spans="1:14" x14ac:dyDescent="0.2">
      <c r="A250" s="105"/>
      <c r="B250" s="107"/>
      <c r="C250" s="455"/>
      <c r="D250" s="455"/>
      <c r="E250" s="455"/>
      <c r="F250" s="455"/>
      <c r="G250" s="455"/>
      <c r="H250" s="455"/>
      <c r="I250" s="455"/>
      <c r="J250" s="455"/>
      <c r="K250" s="455"/>
      <c r="L250" s="455"/>
      <c r="M250" s="455"/>
      <c r="N250" s="456"/>
    </row>
    <row r="251" spans="1:14" x14ac:dyDescent="0.2">
      <c r="A251" s="105"/>
      <c r="B251" s="107"/>
      <c r="C251" s="455"/>
      <c r="D251" s="455"/>
      <c r="E251" s="455"/>
      <c r="F251" s="455"/>
      <c r="G251" s="455"/>
      <c r="H251" s="455"/>
      <c r="I251" s="455"/>
      <c r="J251" s="455"/>
      <c r="K251" s="455"/>
      <c r="L251" s="455"/>
      <c r="M251" s="455"/>
      <c r="N251" s="456"/>
    </row>
    <row r="252" spans="1:14" x14ac:dyDescent="0.2">
      <c r="A252" s="105"/>
      <c r="B252" s="107" t="s">
        <v>426</v>
      </c>
      <c r="C252" s="98"/>
      <c r="D252" s="98"/>
      <c r="E252" s="99"/>
      <c r="F252" s="99"/>
      <c r="G252" s="99"/>
      <c r="H252" s="99"/>
      <c r="I252" s="99"/>
      <c r="J252" s="99"/>
      <c r="K252" s="99"/>
      <c r="L252" s="99"/>
      <c r="M252" s="99"/>
      <c r="N252" s="90"/>
    </row>
    <row r="253" spans="1:14" ht="13.5" thickBot="1" x14ac:dyDescent="0.25">
      <c r="A253" s="108"/>
      <c r="B253" s="118" t="s">
        <v>430</v>
      </c>
      <c r="C253" s="109"/>
      <c r="D253" s="109"/>
      <c r="E253" s="110"/>
      <c r="F253" s="110"/>
      <c r="G253" s="110"/>
      <c r="H253" s="110"/>
      <c r="I253" s="110"/>
      <c r="J253" s="110"/>
      <c r="K253" s="110"/>
      <c r="L253" s="110"/>
      <c r="M253" s="110"/>
      <c r="N253" s="93"/>
    </row>
    <row r="254" spans="1:14" x14ac:dyDescent="0.2">
      <c r="A254" s="101"/>
      <c r="B254" s="102" t="s">
        <v>263</v>
      </c>
      <c r="C254" s="102"/>
      <c r="D254" s="102"/>
      <c r="E254" s="103"/>
      <c r="F254" s="103"/>
      <c r="G254" s="103"/>
      <c r="H254" s="103"/>
      <c r="I254" s="103"/>
      <c r="J254" s="114" t="s">
        <v>1420</v>
      </c>
      <c r="K254" s="113" t="s">
        <v>753</v>
      </c>
      <c r="L254" s="113" t="s">
        <v>758</v>
      </c>
      <c r="M254" s="113"/>
      <c r="N254" s="113"/>
    </row>
    <row r="255" spans="1:14" ht="13.5" thickBot="1" x14ac:dyDescent="0.25">
      <c r="A255" s="108"/>
      <c r="B255" s="109"/>
      <c r="C255" s="109"/>
      <c r="D255" s="109"/>
      <c r="E255" s="110"/>
      <c r="F255" s="110"/>
      <c r="G255" s="110"/>
      <c r="H255" s="110"/>
      <c r="I255" s="110"/>
      <c r="J255" s="112" t="s">
        <v>1843</v>
      </c>
      <c r="K255" s="94" t="s">
        <v>1844</v>
      </c>
      <c r="L255" s="94" t="s">
        <v>342</v>
      </c>
      <c r="M255" s="94" t="s">
        <v>279</v>
      </c>
      <c r="N255" s="94" t="s">
        <v>221</v>
      </c>
    </row>
    <row r="256" spans="1:14" x14ac:dyDescent="0.2">
      <c r="A256" s="101"/>
      <c r="B256" s="443" t="s">
        <v>67</v>
      </c>
      <c r="C256" s="443"/>
      <c r="D256" s="443"/>
      <c r="E256" s="103"/>
      <c r="F256" s="103" t="s">
        <v>1180</v>
      </c>
      <c r="G256" s="103" t="s">
        <v>68</v>
      </c>
      <c r="H256" s="103" t="s">
        <v>702</v>
      </c>
      <c r="I256" s="103"/>
      <c r="J256" s="89">
        <f>120/ATHENS!O1*ATHENS!O2</f>
        <v>244.89795918367346</v>
      </c>
      <c r="K256" s="89">
        <f>130/ATHENS!O1*ATHENS!O2</f>
        <v>265.30612244897958</v>
      </c>
      <c r="L256" s="89">
        <f>190/ATHENS!O1*ATHENS!O2</f>
        <v>387.75510204081633</v>
      </c>
      <c r="M256" s="89">
        <f>245/ATHENS!O1*ATHENS!O2</f>
        <v>500</v>
      </c>
      <c r="N256" s="113">
        <f>280/ATHENS!O1*ATHENS!O2</f>
        <v>571.42857142857144</v>
      </c>
    </row>
    <row r="257" spans="1:14" x14ac:dyDescent="0.2">
      <c r="A257" s="105"/>
      <c r="B257" s="443" t="s">
        <v>67</v>
      </c>
      <c r="C257" s="443"/>
      <c r="D257" s="443"/>
      <c r="E257" s="99"/>
      <c r="F257" s="99" t="s">
        <v>1181</v>
      </c>
      <c r="G257" s="99" t="s">
        <v>68</v>
      </c>
      <c r="H257" s="99" t="s">
        <v>702</v>
      </c>
      <c r="I257" s="99"/>
      <c r="J257" s="89">
        <f>60/ATHENS!O1*ATHENS!O2</f>
        <v>122.44897959183673</v>
      </c>
      <c r="K257" s="89">
        <f>65/ATHENS!O1*ATHENS!O2</f>
        <v>132.65306122448979</v>
      </c>
      <c r="L257" s="89">
        <f>95/ATHENS!O1*ATHENS!O2</f>
        <v>193.87755102040816</v>
      </c>
      <c r="M257" s="89">
        <f>122.5/ATHENS!O1*ATHENS!O2</f>
        <v>250</v>
      </c>
      <c r="N257" s="89">
        <f>140/ATHENS!O1*ATHENS!O2</f>
        <v>285.71428571428572</v>
      </c>
    </row>
    <row r="258" spans="1:14" ht="13.5" thickBot="1" x14ac:dyDescent="0.25">
      <c r="A258" s="108"/>
      <c r="B258" s="436" t="s">
        <v>901</v>
      </c>
      <c r="C258" s="436"/>
      <c r="D258" s="436"/>
      <c r="E258" s="110"/>
      <c r="F258" s="110" t="s">
        <v>705</v>
      </c>
      <c r="G258" s="110" t="s">
        <v>68</v>
      </c>
      <c r="H258" s="110" t="s">
        <v>702</v>
      </c>
      <c r="I258" s="110"/>
      <c r="J258" s="94">
        <f>66.6/ATHENS!O1*ATHENS!O2</f>
        <v>135.91836734693877</v>
      </c>
      <c r="K258" s="94">
        <f>71.7/ATHENS!O1*ATHENS!O2</f>
        <v>146.32653061224491</v>
      </c>
      <c r="L258" s="94">
        <f>91.6/ATHENS!O1*ATHENS!O2</f>
        <v>186.93877551020407</v>
      </c>
      <c r="M258" s="94">
        <f>106.6/ATHENS!O1*ATHENS!O2</f>
        <v>217.55102040816325</v>
      </c>
      <c r="N258" s="94">
        <f>121.6/ATHENS!O1*ATHENS!O2</f>
        <v>248.16326530612244</v>
      </c>
    </row>
    <row r="259" spans="1:14" ht="13.5" thickBot="1" x14ac:dyDescent="0.25">
      <c r="A259" s="97"/>
      <c r="B259" s="98"/>
      <c r="C259" s="98"/>
      <c r="D259" s="98"/>
      <c r="E259" s="99"/>
      <c r="F259" s="99"/>
      <c r="G259" s="99"/>
      <c r="H259" s="99"/>
      <c r="I259" s="99"/>
      <c r="J259" s="99"/>
      <c r="K259" s="99"/>
      <c r="L259" s="99"/>
      <c r="M259" s="99"/>
      <c r="N259" s="99"/>
    </row>
    <row r="260" spans="1:14" ht="13.5" thickBot="1" x14ac:dyDescent="0.25">
      <c r="A260" s="101"/>
      <c r="B260" s="102"/>
      <c r="C260" s="102"/>
      <c r="D260" s="102"/>
      <c r="E260" s="103"/>
      <c r="F260" s="103"/>
      <c r="G260" s="103"/>
      <c r="H260" s="103"/>
      <c r="I260" s="103"/>
      <c r="J260" s="103"/>
      <c r="K260" s="103"/>
      <c r="L260" s="103"/>
      <c r="M260" s="103"/>
      <c r="N260" s="104"/>
    </row>
    <row r="261" spans="1:14" ht="15.75" thickBot="1" x14ac:dyDescent="0.25">
      <c r="A261" s="105"/>
      <c r="B261" s="459" t="s">
        <v>1534</v>
      </c>
      <c r="C261" s="460"/>
      <c r="D261" s="460"/>
      <c r="E261" s="460"/>
      <c r="F261" s="460"/>
      <c r="G261" s="460"/>
      <c r="H261" s="460"/>
      <c r="I261" s="460"/>
      <c r="J261" s="460"/>
      <c r="K261" s="460"/>
      <c r="L261" s="460"/>
      <c r="M261" s="461"/>
      <c r="N261" s="106" t="s">
        <v>1164</v>
      </c>
    </row>
    <row r="262" spans="1:14" x14ac:dyDescent="0.2">
      <c r="A262" s="105"/>
      <c r="B262" s="107" t="s">
        <v>428</v>
      </c>
      <c r="C262" s="98" t="s">
        <v>1468</v>
      </c>
      <c r="D262" s="98"/>
      <c r="E262" s="99"/>
      <c r="F262" s="99"/>
      <c r="G262" s="99"/>
      <c r="H262" s="99"/>
      <c r="I262" s="99"/>
      <c r="J262" s="99"/>
      <c r="K262" s="99"/>
      <c r="L262" s="99"/>
      <c r="M262" s="99"/>
      <c r="N262" s="90"/>
    </row>
    <row r="263" spans="1:14" x14ac:dyDescent="0.2">
      <c r="A263" s="105"/>
      <c r="B263" s="107" t="s">
        <v>429</v>
      </c>
      <c r="C263" s="98" t="s">
        <v>1337</v>
      </c>
      <c r="D263" s="98"/>
      <c r="E263" s="99"/>
      <c r="F263" s="99"/>
      <c r="G263" s="99"/>
      <c r="H263" s="99"/>
      <c r="I263" s="99"/>
      <c r="J263" s="99"/>
      <c r="K263" s="99"/>
      <c r="L263" s="99"/>
      <c r="M263" s="99"/>
      <c r="N263" s="90"/>
    </row>
    <row r="264" spans="1:14" x14ac:dyDescent="0.2">
      <c r="A264" s="105"/>
      <c r="B264" s="107" t="s">
        <v>427</v>
      </c>
      <c r="C264" s="455" t="s">
        <v>1538</v>
      </c>
      <c r="D264" s="455"/>
      <c r="E264" s="455"/>
      <c r="F264" s="455"/>
      <c r="G264" s="455"/>
      <c r="H264" s="455"/>
      <c r="I264" s="455"/>
      <c r="J264" s="455"/>
      <c r="K264" s="455"/>
      <c r="L264" s="455"/>
      <c r="M264" s="455"/>
      <c r="N264" s="456"/>
    </row>
    <row r="265" spans="1:14" x14ac:dyDescent="0.2">
      <c r="A265" s="105"/>
      <c r="B265" s="107"/>
      <c r="C265" s="455"/>
      <c r="D265" s="455"/>
      <c r="E265" s="455"/>
      <c r="F265" s="455"/>
      <c r="G265" s="455"/>
      <c r="H265" s="455"/>
      <c r="I265" s="455"/>
      <c r="J265" s="455"/>
      <c r="K265" s="455"/>
      <c r="L265" s="455"/>
      <c r="M265" s="455"/>
      <c r="N265" s="456"/>
    </row>
    <row r="266" spans="1:14" x14ac:dyDescent="0.2">
      <c r="A266" s="105"/>
      <c r="B266" s="98"/>
      <c r="C266" s="455"/>
      <c r="D266" s="455"/>
      <c r="E266" s="455"/>
      <c r="F266" s="455"/>
      <c r="G266" s="455"/>
      <c r="H266" s="455"/>
      <c r="I266" s="455"/>
      <c r="J266" s="455"/>
      <c r="K266" s="455"/>
      <c r="L266" s="455"/>
      <c r="M266" s="455"/>
      <c r="N266" s="456"/>
    </row>
    <row r="267" spans="1:14" x14ac:dyDescent="0.2">
      <c r="A267" s="105"/>
      <c r="B267" s="107" t="s">
        <v>426</v>
      </c>
      <c r="C267" s="98" t="s">
        <v>1469</v>
      </c>
      <c r="D267" s="98"/>
      <c r="E267" s="99"/>
      <c r="F267" s="99"/>
      <c r="G267" s="99"/>
      <c r="H267" s="99"/>
      <c r="I267" s="99"/>
      <c r="J267" s="99"/>
      <c r="K267" s="99"/>
      <c r="L267" s="99"/>
      <c r="M267" s="99"/>
      <c r="N267" s="90"/>
    </row>
    <row r="268" spans="1:14" ht="13.5" thickBot="1" x14ac:dyDescent="0.25">
      <c r="A268" s="108"/>
      <c r="B268" s="107" t="s">
        <v>430</v>
      </c>
      <c r="C268" s="109" t="s">
        <v>1470</v>
      </c>
      <c r="D268" s="109"/>
      <c r="E268" s="110"/>
      <c r="F268" s="110"/>
      <c r="G268" s="110"/>
      <c r="H268" s="110"/>
      <c r="I268" s="110"/>
      <c r="J268" s="110"/>
      <c r="K268" s="110"/>
      <c r="L268" s="110"/>
      <c r="M268" s="110"/>
      <c r="N268" s="93"/>
    </row>
    <row r="269" spans="1:14" x14ac:dyDescent="0.2">
      <c r="A269" s="101"/>
      <c r="B269" s="102" t="s">
        <v>263</v>
      </c>
      <c r="C269" s="102"/>
      <c r="D269" s="102"/>
      <c r="E269" s="103"/>
      <c r="F269" s="103"/>
      <c r="G269" s="103"/>
      <c r="H269" s="103"/>
      <c r="I269" s="103"/>
      <c r="J269" s="114" t="s">
        <v>753</v>
      </c>
      <c r="K269" s="114" t="s">
        <v>758</v>
      </c>
      <c r="L269" s="114"/>
      <c r="M269" s="114"/>
      <c r="N269" s="113"/>
    </row>
    <row r="270" spans="1:14" ht="13.5" thickBot="1" x14ac:dyDescent="0.25">
      <c r="A270" s="108"/>
      <c r="B270" s="109"/>
      <c r="C270" s="109"/>
      <c r="D270" s="109"/>
      <c r="E270" s="110"/>
      <c r="F270" s="110"/>
      <c r="G270" s="110"/>
      <c r="H270" s="110"/>
      <c r="I270" s="110"/>
      <c r="J270" s="112" t="s">
        <v>2107</v>
      </c>
      <c r="K270" s="112" t="s">
        <v>282</v>
      </c>
      <c r="L270" s="112" t="s">
        <v>610</v>
      </c>
      <c r="M270" s="112"/>
      <c r="N270" s="94"/>
    </row>
    <row r="271" spans="1:14" x14ac:dyDescent="0.2">
      <c r="A271" s="101"/>
      <c r="B271" s="448" t="s">
        <v>901</v>
      </c>
      <c r="C271" s="448"/>
      <c r="D271" s="448"/>
      <c r="E271" s="103"/>
      <c r="F271" s="103" t="s">
        <v>518</v>
      </c>
      <c r="G271" s="103" t="s">
        <v>68</v>
      </c>
      <c r="H271" s="103" t="s">
        <v>1184</v>
      </c>
      <c r="I271" s="103"/>
      <c r="J271" s="113">
        <f>407.5/ATHENS!O1*ATHENS!O2</f>
        <v>831.63265306122446</v>
      </c>
      <c r="K271" s="113">
        <f>564.5/ATHENS!O1*ATHENS!O2</f>
        <v>1152.0408163265306</v>
      </c>
      <c r="L271" s="113">
        <f>743.9/ATHENS!O1*ATHENS!O2</f>
        <v>1518.1632653061224</v>
      </c>
      <c r="M271" s="113"/>
      <c r="N271" s="113"/>
    </row>
    <row r="272" spans="1:14" x14ac:dyDescent="0.2">
      <c r="A272" s="105"/>
      <c r="B272" s="443" t="s">
        <v>284</v>
      </c>
      <c r="C272" s="443"/>
      <c r="D272" s="443"/>
      <c r="E272" s="99"/>
      <c r="F272" s="99" t="s">
        <v>518</v>
      </c>
      <c r="G272" s="99" t="s">
        <v>68</v>
      </c>
      <c r="H272" s="99" t="s">
        <v>1184</v>
      </c>
      <c r="I272" s="99"/>
      <c r="J272" s="89">
        <f>599.87/ATHENS!O1*ATHENS!O2</f>
        <v>1224.2244897959183</v>
      </c>
      <c r="K272" s="89">
        <f>725.8/ATHENS!O1*ATHENS!O2</f>
        <v>1481.2244897959183</v>
      </c>
      <c r="L272" s="89">
        <f>826.5/ATHENS!O1*ATHENS!O2</f>
        <v>1686.7346938775511</v>
      </c>
      <c r="M272" s="89"/>
      <c r="N272" s="89"/>
    </row>
    <row r="273" spans="1:14" x14ac:dyDescent="0.2">
      <c r="A273" s="105"/>
      <c r="B273" s="443" t="s">
        <v>901</v>
      </c>
      <c r="C273" s="443"/>
      <c r="D273" s="443"/>
      <c r="E273" s="99"/>
      <c r="F273" s="99" t="s">
        <v>706</v>
      </c>
      <c r="G273" s="99" t="s">
        <v>68</v>
      </c>
      <c r="H273" s="99" t="s">
        <v>1184</v>
      </c>
      <c r="I273" s="99"/>
      <c r="J273" s="89">
        <f>899.81/ATHENS!O1*ATHENS!O2</f>
        <v>1836.3469387755101</v>
      </c>
      <c r="K273" s="89">
        <f>1048.5/ATHENS!O1*ATHENS!O2</f>
        <v>2139.795918367347</v>
      </c>
      <c r="L273" s="89">
        <f>1239.86/ATHENS!O1*ATHENS!O2</f>
        <v>2530.3265306122448</v>
      </c>
      <c r="M273" s="89"/>
      <c r="N273" s="89"/>
    </row>
    <row r="274" spans="1:14" ht="13.5" thickBot="1" x14ac:dyDescent="0.25">
      <c r="A274" s="105"/>
      <c r="B274" s="443" t="s">
        <v>1471</v>
      </c>
      <c r="C274" s="443"/>
      <c r="D274" s="443"/>
      <c r="E274" s="99"/>
      <c r="F274" s="99" t="s">
        <v>518</v>
      </c>
      <c r="G274" s="99" t="s">
        <v>68</v>
      </c>
      <c r="H274" s="99" t="s">
        <v>1184</v>
      </c>
      <c r="I274" s="99"/>
      <c r="J274" s="89">
        <f>712.5/ATHENS!O1*ATHENS!O2</f>
        <v>1454.0816326530612</v>
      </c>
      <c r="K274" s="89">
        <f>928/ATHENS!O1*ATHENS!O2</f>
        <v>1893.8775510204082</v>
      </c>
      <c r="L274" s="89">
        <f>1033.7/ATHENS!O1*ATHENS!O2</f>
        <v>2109.591836734694</v>
      </c>
      <c r="M274" s="89"/>
      <c r="N274" s="89"/>
    </row>
    <row r="275" spans="1:14" ht="13.5" thickBot="1" x14ac:dyDescent="0.25">
      <c r="A275" s="119"/>
      <c r="B275" s="120" t="s">
        <v>189</v>
      </c>
      <c r="C275" s="120"/>
      <c r="D275" s="120"/>
      <c r="E275" s="121"/>
      <c r="F275" s="121"/>
      <c r="G275" s="121"/>
      <c r="H275" s="121"/>
      <c r="I275" s="121"/>
      <c r="J275" s="121"/>
      <c r="K275" s="121"/>
      <c r="L275" s="121"/>
      <c r="M275" s="121"/>
      <c r="N275" s="122"/>
    </row>
    <row r="276" spans="1:14" x14ac:dyDescent="0.2">
      <c r="A276" s="97"/>
      <c r="B276" s="98"/>
      <c r="C276" s="98"/>
      <c r="D276" s="98"/>
      <c r="E276" s="99"/>
      <c r="F276" s="99"/>
      <c r="G276" s="99"/>
      <c r="H276" s="99"/>
      <c r="I276" s="99"/>
      <c r="J276" s="99"/>
      <c r="K276" s="99"/>
      <c r="L276" s="99"/>
      <c r="M276" s="99"/>
      <c r="N276" s="99"/>
    </row>
    <row r="278" spans="1:14" ht="13.5" thickBot="1" x14ac:dyDescent="0.25"/>
    <row r="279" spans="1:14" ht="13.5" thickBot="1" x14ac:dyDescent="0.25">
      <c r="A279" s="101"/>
      <c r="B279" s="102"/>
      <c r="C279" s="102"/>
      <c r="D279" s="102"/>
      <c r="E279" s="103"/>
      <c r="F279" s="103"/>
      <c r="G279" s="103"/>
      <c r="H279" s="103"/>
      <c r="I279" s="103"/>
      <c r="J279" s="103"/>
      <c r="K279" s="103"/>
      <c r="L279" s="103"/>
      <c r="M279" s="103"/>
      <c r="N279" s="104"/>
    </row>
    <row r="280" spans="1:14" ht="15.75" thickBot="1" x14ac:dyDescent="0.25">
      <c r="A280" s="105"/>
      <c r="B280" s="459" t="s">
        <v>777</v>
      </c>
      <c r="C280" s="460"/>
      <c r="D280" s="460"/>
      <c r="E280" s="460"/>
      <c r="F280" s="460"/>
      <c r="G280" s="460"/>
      <c r="H280" s="460"/>
      <c r="I280" s="460"/>
      <c r="J280" s="460"/>
      <c r="K280" s="460"/>
      <c r="L280" s="460"/>
      <c r="M280" s="461"/>
      <c r="N280" s="106" t="s">
        <v>96</v>
      </c>
    </row>
    <row r="281" spans="1:14" x14ac:dyDescent="0.2">
      <c r="A281" s="105"/>
      <c r="B281" s="107" t="s">
        <v>428</v>
      </c>
      <c r="C281" s="98" t="s">
        <v>1097</v>
      </c>
      <c r="D281" s="98"/>
      <c r="E281" s="99"/>
      <c r="F281" s="99"/>
      <c r="G281" s="99"/>
      <c r="H281" s="99"/>
      <c r="I281" s="99"/>
      <c r="J281" s="99"/>
      <c r="K281" s="99"/>
      <c r="L281" s="99"/>
      <c r="M281" s="99"/>
      <c r="N281" s="90"/>
    </row>
    <row r="282" spans="1:14" x14ac:dyDescent="0.2">
      <c r="A282" s="105"/>
      <c r="B282" s="107" t="s">
        <v>429</v>
      </c>
      <c r="C282" s="98" t="s">
        <v>1081</v>
      </c>
      <c r="D282" s="98"/>
      <c r="E282" s="99"/>
      <c r="F282" s="99"/>
      <c r="G282" s="99"/>
      <c r="H282" s="99"/>
      <c r="I282" s="99"/>
      <c r="J282" s="99"/>
      <c r="K282" s="99"/>
      <c r="L282" s="99"/>
      <c r="M282" s="99"/>
      <c r="N282" s="90"/>
    </row>
    <row r="283" spans="1:14" x14ac:dyDescent="0.2">
      <c r="A283" s="105"/>
      <c r="B283" s="107" t="s">
        <v>427</v>
      </c>
      <c r="C283" s="455" t="s">
        <v>1266</v>
      </c>
      <c r="D283" s="455"/>
      <c r="E283" s="455"/>
      <c r="F283" s="455"/>
      <c r="G283" s="455"/>
      <c r="H283" s="455"/>
      <c r="I283" s="455"/>
      <c r="J283" s="455"/>
      <c r="K283" s="455"/>
      <c r="L283" s="455"/>
      <c r="M283" s="455"/>
      <c r="N283" s="456"/>
    </row>
    <row r="284" spans="1:14" x14ac:dyDescent="0.2">
      <c r="A284" s="105"/>
      <c r="B284" s="107"/>
      <c r="C284" s="455"/>
      <c r="D284" s="455"/>
      <c r="E284" s="455"/>
      <c r="F284" s="455"/>
      <c r="G284" s="455"/>
      <c r="H284" s="455"/>
      <c r="I284" s="455"/>
      <c r="J284" s="455"/>
      <c r="K284" s="455"/>
      <c r="L284" s="455"/>
      <c r="M284" s="455"/>
      <c r="N284" s="456"/>
    </row>
    <row r="285" spans="1:14" x14ac:dyDescent="0.2">
      <c r="A285" s="105"/>
      <c r="B285" s="107"/>
      <c r="C285" s="455"/>
      <c r="D285" s="455"/>
      <c r="E285" s="455"/>
      <c r="F285" s="455"/>
      <c r="G285" s="455"/>
      <c r="H285" s="455"/>
      <c r="I285" s="455"/>
      <c r="J285" s="455"/>
      <c r="K285" s="455"/>
      <c r="L285" s="455"/>
      <c r="M285" s="455"/>
      <c r="N285" s="456"/>
    </row>
    <row r="286" spans="1:14" x14ac:dyDescent="0.2">
      <c r="A286" s="105"/>
      <c r="B286" s="107"/>
      <c r="C286" s="455"/>
      <c r="D286" s="455"/>
      <c r="E286" s="455"/>
      <c r="F286" s="455"/>
      <c r="G286" s="455"/>
      <c r="H286" s="455"/>
      <c r="I286" s="455"/>
      <c r="J286" s="455"/>
      <c r="K286" s="455"/>
      <c r="L286" s="455"/>
      <c r="M286" s="455"/>
      <c r="N286" s="456"/>
    </row>
    <row r="287" spans="1:14" x14ac:dyDescent="0.2">
      <c r="A287" s="105"/>
      <c r="B287" s="107"/>
      <c r="C287" s="455"/>
      <c r="D287" s="455"/>
      <c r="E287" s="455"/>
      <c r="F287" s="455"/>
      <c r="G287" s="455"/>
      <c r="H287" s="455"/>
      <c r="I287" s="455"/>
      <c r="J287" s="455"/>
      <c r="K287" s="455"/>
      <c r="L287" s="455"/>
      <c r="M287" s="455"/>
      <c r="N287" s="456"/>
    </row>
    <row r="288" spans="1:14" x14ac:dyDescent="0.2">
      <c r="A288" s="105"/>
      <c r="B288" s="107"/>
      <c r="C288" s="455"/>
      <c r="D288" s="455"/>
      <c r="E288" s="455"/>
      <c r="F288" s="455"/>
      <c r="G288" s="455"/>
      <c r="H288" s="455"/>
      <c r="I288" s="455"/>
      <c r="J288" s="455"/>
      <c r="K288" s="455"/>
      <c r="L288" s="455"/>
      <c r="M288" s="455"/>
      <c r="N288" s="456"/>
    </row>
    <row r="289" spans="1:15" x14ac:dyDescent="0.2">
      <c r="A289" s="105"/>
      <c r="B289" s="107" t="s">
        <v>426</v>
      </c>
      <c r="C289" s="98"/>
      <c r="D289" s="98"/>
      <c r="E289" s="99"/>
      <c r="F289" s="99"/>
      <c r="G289" s="99"/>
      <c r="H289" s="99"/>
      <c r="I289" s="99"/>
      <c r="J289" s="99"/>
      <c r="K289" s="99"/>
      <c r="L289" s="99"/>
      <c r="M289" s="99"/>
      <c r="N289" s="90"/>
    </row>
    <row r="290" spans="1:15" ht="13.5" thickBot="1" x14ac:dyDescent="0.25">
      <c r="A290" s="108"/>
      <c r="B290" s="118" t="s">
        <v>430</v>
      </c>
      <c r="C290" s="109"/>
      <c r="D290" s="109"/>
      <c r="E290" s="110"/>
      <c r="F290" s="110"/>
      <c r="G290" s="110"/>
      <c r="H290" s="110"/>
      <c r="I290" s="110"/>
      <c r="J290" s="110"/>
      <c r="K290" s="110"/>
      <c r="L290" s="110"/>
      <c r="M290" s="110"/>
      <c r="N290" s="93"/>
    </row>
    <row r="291" spans="1:15" x14ac:dyDescent="0.2">
      <c r="A291" s="101"/>
      <c r="B291" s="102" t="s">
        <v>263</v>
      </c>
      <c r="C291" s="102"/>
      <c r="D291" s="102"/>
      <c r="E291" s="103"/>
      <c r="F291" s="103"/>
      <c r="G291" s="103"/>
      <c r="H291" s="103"/>
      <c r="I291" s="103"/>
      <c r="J291" s="114" t="s">
        <v>1909</v>
      </c>
      <c r="K291" s="113"/>
      <c r="L291" s="113"/>
      <c r="M291" s="113"/>
      <c r="N291" s="113"/>
    </row>
    <row r="292" spans="1:15" ht="13.5" thickBot="1" x14ac:dyDescent="0.25">
      <c r="A292" s="108"/>
      <c r="B292" s="109"/>
      <c r="C292" s="109"/>
      <c r="D292" s="109"/>
      <c r="E292" s="110"/>
      <c r="F292" s="110"/>
      <c r="G292" s="110"/>
      <c r="H292" s="110"/>
      <c r="I292" s="110"/>
      <c r="J292" s="112" t="s">
        <v>756</v>
      </c>
      <c r="K292" s="94" t="s">
        <v>1910</v>
      </c>
      <c r="L292" s="94" t="s">
        <v>1911</v>
      </c>
      <c r="M292" s="94" t="s">
        <v>1912</v>
      </c>
      <c r="N292" s="94"/>
    </row>
    <row r="293" spans="1:15" x14ac:dyDescent="0.2">
      <c r="A293" s="101"/>
      <c r="B293" s="448" t="s">
        <v>67</v>
      </c>
      <c r="C293" s="448"/>
      <c r="D293" s="448"/>
      <c r="E293" s="103"/>
      <c r="F293" s="103" t="s">
        <v>1180</v>
      </c>
      <c r="G293" s="103" t="s">
        <v>68</v>
      </c>
      <c r="H293" s="103" t="s">
        <v>702</v>
      </c>
      <c r="I293" s="103"/>
      <c r="J293" s="89">
        <f>150/ATHENS!O1*ATHENS!O2</f>
        <v>306.12244897959187</v>
      </c>
      <c r="K293" s="89">
        <f>210/ATHENS!O1*ATHENS!O2</f>
        <v>428.57142857142856</v>
      </c>
      <c r="L293" s="89">
        <f>240/ATHENS!O1*ATHENS!O2</f>
        <v>489.79591836734693</v>
      </c>
      <c r="M293" s="89">
        <f>280/ATHENS!O1*ATHENS!O2</f>
        <v>571.42857142857144</v>
      </c>
      <c r="N293" s="113"/>
    </row>
    <row r="294" spans="1:15" x14ac:dyDescent="0.2">
      <c r="A294" s="105"/>
      <c r="B294" s="443" t="s">
        <v>67</v>
      </c>
      <c r="C294" s="443"/>
      <c r="D294" s="443"/>
      <c r="E294" s="99"/>
      <c r="F294" s="99" t="s">
        <v>1181</v>
      </c>
      <c r="G294" s="99" t="s">
        <v>68</v>
      </c>
      <c r="H294" s="99" t="s">
        <v>702</v>
      </c>
      <c r="I294" s="99"/>
      <c r="J294" s="89">
        <f>75/ATHENS!O1*ATHENS!O2</f>
        <v>153.06122448979593</v>
      </c>
      <c r="K294" s="89">
        <f>105/ATHENS!O1*ATHENS!O2</f>
        <v>214.28571428571428</v>
      </c>
      <c r="L294" s="89">
        <f>120/ATHENS!O1*ATHENS!O2</f>
        <v>244.89795918367346</v>
      </c>
      <c r="M294" s="89">
        <f>140/ATHENS!O1*ATHENS!O2</f>
        <v>285.71428571428572</v>
      </c>
      <c r="N294" s="89"/>
    </row>
    <row r="295" spans="1:15" x14ac:dyDescent="0.2">
      <c r="A295" s="105"/>
      <c r="B295" s="443" t="s">
        <v>67</v>
      </c>
      <c r="C295" s="443"/>
      <c r="D295" s="443"/>
      <c r="E295" s="99"/>
      <c r="F295" s="99" t="s">
        <v>1182</v>
      </c>
      <c r="G295" s="99" t="s">
        <v>68</v>
      </c>
      <c r="H295" s="99" t="s">
        <v>702</v>
      </c>
      <c r="I295" s="99"/>
      <c r="J295" s="89">
        <f>60/ATHENS!O1*ATHENS!O2</f>
        <v>122.44897959183673</v>
      </c>
      <c r="K295" s="89">
        <f>84/ATHENS!O1*ATHENS!O2</f>
        <v>171.42857142857144</v>
      </c>
      <c r="L295" s="89">
        <f>96/ATHENS!O1*ATHENS!O2</f>
        <v>195.91836734693877</v>
      </c>
      <c r="M295" s="89">
        <f>112/ATHENS!O1*ATHENS!O2</f>
        <v>228.57142857142858</v>
      </c>
      <c r="N295" s="89"/>
    </row>
    <row r="296" spans="1:15" ht="13.5" thickBot="1" x14ac:dyDescent="0.25">
      <c r="A296" s="108"/>
      <c r="B296" s="436"/>
      <c r="C296" s="436"/>
      <c r="D296" s="436"/>
      <c r="E296" s="110"/>
      <c r="F296" s="110"/>
      <c r="G296" s="110"/>
      <c r="H296" s="110"/>
      <c r="I296" s="110"/>
      <c r="J296" s="94"/>
      <c r="K296" s="94"/>
      <c r="L296" s="94"/>
      <c r="M296" s="94"/>
      <c r="N296" s="94"/>
      <c r="O296" s="13"/>
    </row>
    <row r="297" spans="1:15" ht="13.5" thickBot="1" x14ac:dyDescent="0.25">
      <c r="A297" s="97"/>
      <c r="B297" s="98"/>
      <c r="C297" s="98"/>
      <c r="D297" s="98"/>
      <c r="E297" s="99"/>
      <c r="F297" s="99"/>
      <c r="G297" s="99"/>
      <c r="H297" s="99"/>
      <c r="I297" s="99"/>
      <c r="J297" s="99"/>
      <c r="K297" s="99"/>
      <c r="L297" s="99"/>
      <c r="M297" s="99"/>
      <c r="N297" s="99"/>
    </row>
    <row r="298" spans="1:15" ht="13.5" thickBot="1" x14ac:dyDescent="0.25">
      <c r="A298" s="101"/>
      <c r="B298" s="102"/>
      <c r="C298" s="102"/>
      <c r="D298" s="102"/>
      <c r="E298" s="103"/>
      <c r="F298" s="103"/>
      <c r="G298" s="103"/>
      <c r="H298" s="103"/>
      <c r="I298" s="103"/>
      <c r="J298" s="103"/>
      <c r="K298" s="103"/>
      <c r="L298" s="103"/>
      <c r="M298" s="103"/>
      <c r="N298" s="104"/>
    </row>
    <row r="299" spans="1:15" ht="15.75" thickBot="1" x14ac:dyDescent="0.25">
      <c r="A299" s="105"/>
      <c r="B299" s="459" t="s">
        <v>811</v>
      </c>
      <c r="C299" s="460"/>
      <c r="D299" s="460"/>
      <c r="E299" s="460"/>
      <c r="F299" s="460"/>
      <c r="G299" s="460"/>
      <c r="H299" s="460"/>
      <c r="I299" s="460"/>
      <c r="J299" s="460"/>
      <c r="K299" s="460"/>
      <c r="L299" s="460"/>
      <c r="M299" s="461"/>
      <c r="N299" s="106" t="s">
        <v>96</v>
      </c>
    </row>
    <row r="300" spans="1:15" x14ac:dyDescent="0.2">
      <c r="A300" s="105"/>
      <c r="B300" s="107" t="s">
        <v>428</v>
      </c>
      <c r="C300" s="98" t="s">
        <v>1346</v>
      </c>
      <c r="D300" s="98"/>
      <c r="E300" s="99"/>
      <c r="F300" s="99"/>
      <c r="G300" s="99"/>
      <c r="H300" s="99"/>
      <c r="I300" s="99"/>
      <c r="J300" s="99"/>
      <c r="K300" s="99"/>
      <c r="L300" s="99"/>
      <c r="M300" s="99"/>
      <c r="N300" s="90"/>
    </row>
    <row r="301" spans="1:15" x14ac:dyDescent="0.2">
      <c r="A301" s="105"/>
      <c r="B301" s="107" t="s">
        <v>429</v>
      </c>
      <c r="C301" s="98" t="s">
        <v>1158</v>
      </c>
      <c r="D301" s="98"/>
      <c r="E301" s="99"/>
      <c r="F301" s="99"/>
      <c r="G301" s="99"/>
      <c r="H301" s="99"/>
      <c r="I301" s="99"/>
      <c r="J301" s="99"/>
      <c r="K301" s="99"/>
      <c r="L301" s="99"/>
      <c r="M301" s="99"/>
      <c r="N301" s="90"/>
    </row>
    <row r="302" spans="1:15" x14ac:dyDescent="0.2">
      <c r="A302" s="105"/>
      <c r="B302" s="107" t="s">
        <v>427</v>
      </c>
      <c r="C302" s="455" t="s">
        <v>1267</v>
      </c>
      <c r="D302" s="455"/>
      <c r="E302" s="455"/>
      <c r="F302" s="455"/>
      <c r="G302" s="455"/>
      <c r="H302" s="455"/>
      <c r="I302" s="455"/>
      <c r="J302" s="455"/>
      <c r="K302" s="455"/>
      <c r="L302" s="455"/>
      <c r="M302" s="455"/>
      <c r="N302" s="456"/>
    </row>
    <row r="303" spans="1:15" x14ac:dyDescent="0.2">
      <c r="A303" s="105"/>
      <c r="B303" s="107"/>
      <c r="C303" s="455"/>
      <c r="D303" s="455"/>
      <c r="E303" s="455"/>
      <c r="F303" s="455"/>
      <c r="G303" s="455"/>
      <c r="H303" s="455"/>
      <c r="I303" s="455"/>
      <c r="J303" s="455"/>
      <c r="K303" s="455"/>
      <c r="L303" s="455"/>
      <c r="M303" s="455"/>
      <c r="N303" s="456"/>
    </row>
    <row r="304" spans="1:15" x14ac:dyDescent="0.2">
      <c r="A304" s="105"/>
      <c r="B304" s="107" t="s">
        <v>426</v>
      </c>
      <c r="C304" s="98" t="s">
        <v>1334</v>
      </c>
      <c r="D304" s="98"/>
      <c r="E304" s="99"/>
      <c r="F304" s="99"/>
      <c r="G304" s="99"/>
      <c r="H304" s="99"/>
      <c r="I304" s="99"/>
      <c r="J304" s="99"/>
      <c r="K304" s="99"/>
      <c r="L304" s="99"/>
      <c r="M304" s="99"/>
      <c r="N304" s="90"/>
    </row>
    <row r="305" spans="1:14" ht="13.5" thickBot="1" x14ac:dyDescent="0.25">
      <c r="A305" s="105"/>
      <c r="B305" s="107" t="s">
        <v>430</v>
      </c>
      <c r="C305" s="98"/>
      <c r="D305" s="98"/>
      <c r="E305" s="99"/>
      <c r="F305" s="99"/>
      <c r="G305" s="99"/>
      <c r="H305" s="99"/>
      <c r="I305" s="99"/>
      <c r="J305" s="99"/>
      <c r="K305" s="99"/>
      <c r="L305" s="99"/>
      <c r="M305" s="99"/>
      <c r="N305" s="90"/>
    </row>
    <row r="306" spans="1:14" x14ac:dyDescent="0.2">
      <c r="A306" s="101"/>
      <c r="B306" s="102" t="s">
        <v>263</v>
      </c>
      <c r="C306" s="102"/>
      <c r="D306" s="102"/>
      <c r="E306" s="103"/>
      <c r="F306" s="103"/>
      <c r="G306" s="103"/>
      <c r="H306" s="103"/>
      <c r="I306" s="103"/>
      <c r="J306" s="114" t="s">
        <v>521</v>
      </c>
      <c r="K306" s="113" t="s">
        <v>1495</v>
      </c>
      <c r="L306" s="113" t="s">
        <v>1341</v>
      </c>
      <c r="M306" s="113"/>
      <c r="N306" s="113"/>
    </row>
    <row r="307" spans="1:14" ht="13.5" thickBot="1" x14ac:dyDescent="0.25">
      <c r="A307" s="108"/>
      <c r="B307" s="109"/>
      <c r="C307" s="109"/>
      <c r="D307" s="109"/>
      <c r="E307" s="110"/>
      <c r="F307" s="110"/>
      <c r="G307" s="110"/>
      <c r="H307" s="110"/>
      <c r="I307" s="110"/>
      <c r="J307" s="112" t="s">
        <v>481</v>
      </c>
      <c r="K307" s="94" t="s">
        <v>341</v>
      </c>
      <c r="L307" s="94" t="s">
        <v>520</v>
      </c>
      <c r="M307" s="94" t="s">
        <v>123</v>
      </c>
      <c r="N307" s="94"/>
    </row>
    <row r="308" spans="1:14" x14ac:dyDescent="0.2">
      <c r="A308" s="101"/>
      <c r="B308" s="448" t="s">
        <v>67</v>
      </c>
      <c r="C308" s="448"/>
      <c r="D308" s="448"/>
      <c r="E308" s="103"/>
      <c r="F308" s="103" t="s">
        <v>1180</v>
      </c>
      <c r="G308" s="103" t="s">
        <v>68</v>
      </c>
      <c r="H308" s="103" t="s">
        <v>702</v>
      </c>
      <c r="I308" s="103"/>
      <c r="J308" s="89">
        <f>79/ATHENS!O1*ATHENS!O2</f>
        <v>161.22448979591837</v>
      </c>
      <c r="K308" s="89">
        <f>100/ATHENS!O1*ATHENS!O2</f>
        <v>204.08163265306123</v>
      </c>
      <c r="L308" s="89">
        <f>131/ATHENS!O1*ATHENS!O2</f>
        <v>267.34693877551018</v>
      </c>
      <c r="M308" s="89">
        <f>167/ATHENS!O1*ATHENS!O2</f>
        <v>340.81632653061223</v>
      </c>
      <c r="N308" s="89"/>
    </row>
    <row r="309" spans="1:14" x14ac:dyDescent="0.2">
      <c r="A309" s="105"/>
      <c r="B309" s="443" t="s">
        <v>67</v>
      </c>
      <c r="C309" s="443"/>
      <c r="D309" s="443"/>
      <c r="E309" s="99"/>
      <c r="F309" s="99" t="s">
        <v>1181</v>
      </c>
      <c r="G309" s="99" t="s">
        <v>68</v>
      </c>
      <c r="H309" s="99" t="s">
        <v>702</v>
      </c>
      <c r="I309" s="99"/>
      <c r="J309" s="89">
        <f>43.5/ATHENS!O1*ATHENS!O2</f>
        <v>88.775510204081641</v>
      </c>
      <c r="K309" s="89">
        <f>54.5/ATHENS!O1*ATHENS!O2</f>
        <v>111.22448979591837</v>
      </c>
      <c r="L309" s="89">
        <f>72/ATHENS!O1*ATHENS!O2</f>
        <v>146.9387755102041</v>
      </c>
      <c r="M309" s="89">
        <f>92/ATHENS!O1*ATHENS!O2</f>
        <v>187.75510204081633</v>
      </c>
      <c r="N309" s="89"/>
    </row>
    <row r="310" spans="1:14" x14ac:dyDescent="0.2">
      <c r="A310" s="105"/>
      <c r="B310" s="443" t="s">
        <v>67</v>
      </c>
      <c r="C310" s="443"/>
      <c r="D310" s="443"/>
      <c r="E310" s="99"/>
      <c r="F310" s="99" t="s">
        <v>1182</v>
      </c>
      <c r="G310" s="99" t="s">
        <v>68</v>
      </c>
      <c r="H310" s="99" t="s">
        <v>702</v>
      </c>
      <c r="I310" s="99"/>
      <c r="J310" s="89">
        <f>39.6/ATHENS!O1*ATHENS!O2</f>
        <v>80.816326530612244</v>
      </c>
      <c r="K310" s="89">
        <f>49.5/ATHENS!O1*ATHENS!O2</f>
        <v>101.0204081632653</v>
      </c>
      <c r="L310" s="89">
        <f>64.6/ATHENS!O1*ATHENS!O2</f>
        <v>131.83673469387753</v>
      </c>
      <c r="M310" s="89">
        <f>83.5/ATHENS!O1*ATHENS!O2</f>
        <v>170.40816326530611</v>
      </c>
      <c r="N310" s="89"/>
    </row>
    <row r="311" spans="1:14" ht="13.5" thickBot="1" x14ac:dyDescent="0.25">
      <c r="A311" s="108"/>
      <c r="B311" s="436" t="s">
        <v>67</v>
      </c>
      <c r="C311" s="436"/>
      <c r="D311" s="436"/>
      <c r="E311" s="110"/>
      <c r="F311" s="110" t="s">
        <v>257</v>
      </c>
      <c r="G311" s="110" t="s">
        <v>68</v>
      </c>
      <c r="H311" s="110" t="s">
        <v>702</v>
      </c>
      <c r="I311" s="110"/>
      <c r="J311" s="94">
        <f>37/ATHENS!O1*ATHENS!O2</f>
        <v>75.510204081632651</v>
      </c>
      <c r="K311" s="94">
        <f>47/ATHENS!O1*ATHENS!O2</f>
        <v>95.91836734693878</v>
      </c>
      <c r="L311" s="94">
        <f>61/ATHENS!O1*ATHENS!O2</f>
        <v>124.48979591836735</v>
      </c>
      <c r="M311" s="94">
        <f>75/ATHENS!O1*ATHENS!O2</f>
        <v>153.06122448979593</v>
      </c>
      <c r="N311" s="94"/>
    </row>
    <row r="312" spans="1:14" ht="13.5" thickBot="1" x14ac:dyDescent="0.25">
      <c r="A312" s="97"/>
      <c r="B312" s="98"/>
      <c r="C312" s="98"/>
      <c r="D312" s="98"/>
      <c r="E312" s="99"/>
      <c r="F312" s="99"/>
      <c r="G312" s="99"/>
      <c r="H312" s="99"/>
      <c r="I312" s="99"/>
      <c r="J312" s="99"/>
      <c r="K312" s="99"/>
      <c r="L312" s="99"/>
      <c r="M312" s="99"/>
      <c r="N312" s="99"/>
    </row>
    <row r="313" spans="1:14" ht="13.5" thickBot="1" x14ac:dyDescent="0.25">
      <c r="A313" s="101"/>
      <c r="B313" s="102"/>
      <c r="C313" s="102"/>
      <c r="D313" s="102"/>
      <c r="E313" s="103"/>
      <c r="F313" s="103"/>
      <c r="G313" s="103"/>
      <c r="H313" s="103"/>
      <c r="I313" s="103"/>
      <c r="J313" s="103"/>
      <c r="K313" s="103"/>
      <c r="L313" s="103"/>
      <c r="M313" s="103"/>
      <c r="N313" s="104"/>
    </row>
    <row r="314" spans="1:14" ht="15.75" thickBot="1" x14ac:dyDescent="0.25">
      <c r="A314" s="105"/>
      <c r="B314" s="459" t="s">
        <v>1621</v>
      </c>
      <c r="C314" s="460"/>
      <c r="D314" s="460"/>
      <c r="E314" s="460"/>
      <c r="F314" s="460"/>
      <c r="G314" s="460"/>
      <c r="H314" s="460"/>
      <c r="I314" s="460"/>
      <c r="J314" s="460"/>
      <c r="K314" s="460"/>
      <c r="L314" s="460"/>
      <c r="M314" s="461"/>
      <c r="N314" s="106" t="s">
        <v>1164</v>
      </c>
    </row>
    <row r="315" spans="1:14" x14ac:dyDescent="0.2">
      <c r="A315" s="105"/>
      <c r="B315" s="107" t="s">
        <v>428</v>
      </c>
      <c r="C315" s="98" t="s">
        <v>1474</v>
      </c>
      <c r="D315" s="98"/>
      <c r="E315" s="99"/>
      <c r="F315" s="99"/>
      <c r="G315" s="99"/>
      <c r="H315" s="99"/>
      <c r="I315" s="99"/>
      <c r="J315" s="99"/>
      <c r="K315" s="99"/>
      <c r="L315" s="99"/>
      <c r="M315" s="99"/>
      <c r="N315" s="90"/>
    </row>
    <row r="316" spans="1:14" x14ac:dyDescent="0.2">
      <c r="A316" s="105"/>
      <c r="B316" s="107" t="s">
        <v>429</v>
      </c>
      <c r="C316" s="98" t="s">
        <v>1248</v>
      </c>
      <c r="D316" s="98"/>
      <c r="E316" s="99"/>
      <c r="F316" s="99"/>
      <c r="G316" s="99"/>
      <c r="H316" s="99"/>
      <c r="I316" s="99"/>
      <c r="J316" s="99"/>
      <c r="K316" s="99"/>
      <c r="L316" s="99"/>
      <c r="M316" s="99"/>
      <c r="N316" s="90"/>
    </row>
    <row r="317" spans="1:14" x14ac:dyDescent="0.2">
      <c r="A317" s="105"/>
      <c r="B317" s="107" t="s">
        <v>427</v>
      </c>
      <c r="C317" s="455" t="s">
        <v>1268</v>
      </c>
      <c r="D317" s="455"/>
      <c r="E317" s="455"/>
      <c r="F317" s="455"/>
      <c r="G317" s="455"/>
      <c r="H317" s="455"/>
      <c r="I317" s="455"/>
      <c r="J317" s="455"/>
      <c r="K317" s="455"/>
      <c r="L317" s="455"/>
      <c r="M317" s="455"/>
      <c r="N317" s="456"/>
    </row>
    <row r="318" spans="1:14" x14ac:dyDescent="0.2">
      <c r="A318" s="105"/>
      <c r="B318" s="107"/>
      <c r="C318" s="455"/>
      <c r="D318" s="455"/>
      <c r="E318" s="455"/>
      <c r="F318" s="455"/>
      <c r="G318" s="455"/>
      <c r="H318" s="455"/>
      <c r="I318" s="455"/>
      <c r="J318" s="455"/>
      <c r="K318" s="455"/>
      <c r="L318" s="455"/>
      <c r="M318" s="455"/>
      <c r="N318" s="456"/>
    </row>
    <row r="319" spans="1:14" x14ac:dyDescent="0.2">
      <c r="A319" s="105"/>
      <c r="B319" s="98"/>
      <c r="C319" s="455"/>
      <c r="D319" s="455"/>
      <c r="E319" s="455"/>
      <c r="F319" s="455"/>
      <c r="G319" s="455"/>
      <c r="H319" s="455"/>
      <c r="I319" s="455"/>
      <c r="J319" s="455"/>
      <c r="K319" s="455"/>
      <c r="L319" s="455"/>
      <c r="M319" s="455"/>
      <c r="N319" s="456"/>
    </row>
    <row r="320" spans="1:14" x14ac:dyDescent="0.2">
      <c r="A320" s="105"/>
      <c r="B320" s="107" t="s">
        <v>426</v>
      </c>
      <c r="C320" s="98" t="s">
        <v>1475</v>
      </c>
      <c r="D320" s="98"/>
      <c r="E320" s="99"/>
      <c r="F320" s="99"/>
      <c r="G320" s="99"/>
      <c r="H320" s="99"/>
      <c r="I320" s="99"/>
      <c r="J320" s="99"/>
      <c r="K320" s="99"/>
      <c r="L320" s="99"/>
      <c r="M320" s="99"/>
      <c r="N320" s="90"/>
    </row>
    <row r="321" spans="1:14" x14ac:dyDescent="0.2">
      <c r="A321" s="105"/>
      <c r="B321" s="107" t="s">
        <v>430</v>
      </c>
      <c r="C321" s="98" t="s">
        <v>1498</v>
      </c>
      <c r="D321" s="98"/>
      <c r="E321" s="99"/>
      <c r="F321" s="99"/>
      <c r="G321" s="99"/>
      <c r="H321" s="99"/>
      <c r="I321" s="99"/>
      <c r="J321" s="99"/>
      <c r="K321" s="99"/>
      <c r="L321" s="99"/>
      <c r="M321" s="99"/>
      <c r="N321" s="90"/>
    </row>
    <row r="322" spans="1:14" ht="13.5" thickBot="1" x14ac:dyDescent="0.25">
      <c r="A322" s="108"/>
      <c r="B322" s="118"/>
      <c r="C322" s="109" t="s">
        <v>1476</v>
      </c>
      <c r="D322" s="109"/>
      <c r="E322" s="110"/>
      <c r="F322" s="110"/>
      <c r="G322" s="110"/>
      <c r="H322" s="110"/>
      <c r="I322" s="110"/>
      <c r="J322" s="110"/>
      <c r="K322" s="110"/>
      <c r="L322" s="110"/>
      <c r="M322" s="110"/>
      <c r="N322" s="93"/>
    </row>
    <row r="323" spans="1:14" x14ac:dyDescent="0.2">
      <c r="A323" s="101"/>
      <c r="B323" s="102" t="s">
        <v>263</v>
      </c>
      <c r="C323" s="102"/>
      <c r="D323" s="102"/>
      <c r="E323" s="103"/>
      <c r="F323" s="103"/>
      <c r="G323" s="103"/>
      <c r="H323" s="103"/>
      <c r="I323" s="103"/>
      <c r="J323" s="114"/>
      <c r="K323" s="113" t="s">
        <v>753</v>
      </c>
      <c r="L323" s="113" t="s">
        <v>758</v>
      </c>
      <c r="M323" s="113"/>
      <c r="N323" s="113"/>
    </row>
    <row r="324" spans="1:14" ht="13.5" thickBot="1" x14ac:dyDescent="0.25">
      <c r="A324" s="108"/>
      <c r="B324" s="109"/>
      <c r="C324" s="109"/>
      <c r="D324" s="109"/>
      <c r="E324" s="110"/>
      <c r="F324" s="110"/>
      <c r="G324" s="110"/>
      <c r="H324" s="110"/>
      <c r="I324" s="110"/>
      <c r="J324" s="112" t="s">
        <v>907</v>
      </c>
      <c r="K324" s="94" t="s">
        <v>833</v>
      </c>
      <c r="L324" s="94" t="s">
        <v>1222</v>
      </c>
      <c r="M324" s="94" t="s">
        <v>610</v>
      </c>
      <c r="N324" s="94"/>
    </row>
    <row r="325" spans="1:14" x14ac:dyDescent="0.2">
      <c r="A325" s="101"/>
      <c r="B325" s="443" t="s">
        <v>874</v>
      </c>
      <c r="C325" s="443"/>
      <c r="D325" s="443"/>
      <c r="E325" s="103"/>
      <c r="F325" s="103" t="s">
        <v>703</v>
      </c>
      <c r="G325" s="103" t="s">
        <v>68</v>
      </c>
      <c r="H325" s="103" t="s">
        <v>1184</v>
      </c>
      <c r="I325" s="103"/>
      <c r="J325" s="89">
        <f>87/ATHENS!O1*ATHENS!O2</f>
        <v>177.55102040816328</v>
      </c>
      <c r="K325" s="89">
        <f>105/ATHENS!O1*ATHENS!O2</f>
        <v>214.28571428571428</v>
      </c>
      <c r="L325" s="89">
        <f>154/ATHENS!O1*ATHENS!O2</f>
        <v>314.28571428571428</v>
      </c>
      <c r="M325" s="89">
        <f>188/ATHENS!O1*ATHENS!O2</f>
        <v>383.67346938775512</v>
      </c>
      <c r="N325" s="113"/>
    </row>
    <row r="326" spans="1:14" x14ac:dyDescent="0.2">
      <c r="A326" s="105"/>
      <c r="B326" s="443" t="s">
        <v>874</v>
      </c>
      <c r="C326" s="443"/>
      <c r="D326" s="443"/>
      <c r="E326" s="99"/>
      <c r="F326" s="99" t="s">
        <v>518</v>
      </c>
      <c r="G326" s="99" t="s">
        <v>68</v>
      </c>
      <c r="H326" s="99" t="s">
        <v>1184</v>
      </c>
      <c r="I326" s="99"/>
      <c r="J326" s="89">
        <f>87/ATHENS!O1*ATHENS!O2</f>
        <v>177.55102040816328</v>
      </c>
      <c r="K326" s="89">
        <f>105/ATHENS!O1*ATHENS!O2</f>
        <v>214.28571428571428</v>
      </c>
      <c r="L326" s="89">
        <f>154/ATHENS!O1*ATHENS!O2</f>
        <v>314.28571428571428</v>
      </c>
      <c r="M326" s="89">
        <f>188/ATHENS!O1*ATHENS!O2</f>
        <v>383.67346938775512</v>
      </c>
      <c r="N326" s="89"/>
    </row>
    <row r="327" spans="1:14" ht="13.5" thickBot="1" x14ac:dyDescent="0.25">
      <c r="A327" s="105"/>
      <c r="B327" s="443" t="s">
        <v>522</v>
      </c>
      <c r="C327" s="443"/>
      <c r="D327" s="443"/>
      <c r="E327" s="99"/>
      <c r="F327" s="99" t="s">
        <v>705</v>
      </c>
      <c r="G327" s="99" t="s">
        <v>68</v>
      </c>
      <c r="H327" s="99" t="s">
        <v>1184</v>
      </c>
      <c r="I327" s="99"/>
      <c r="J327" s="89">
        <f>109/ATHENS!O1*ATHENS!O2</f>
        <v>222.44897959183675</v>
      </c>
      <c r="K327" s="89">
        <f>135/ATHENS!O1*ATHENS!O2</f>
        <v>275.51020408163265</v>
      </c>
      <c r="L327" s="89">
        <f>180/ATHENS!O1*ATHENS!O2</f>
        <v>367.34693877551024</v>
      </c>
      <c r="M327" s="89">
        <f>215/ATHENS!O1*ATHENS!O2</f>
        <v>438.77551020408163</v>
      </c>
      <c r="N327" s="89"/>
    </row>
    <row r="328" spans="1:14" ht="13.5" thickBot="1" x14ac:dyDescent="0.25">
      <c r="A328" s="119"/>
      <c r="B328" s="120" t="s">
        <v>1477</v>
      </c>
      <c r="C328" s="120"/>
      <c r="D328" s="120"/>
      <c r="E328" s="121"/>
      <c r="F328" s="121"/>
      <c r="G328" s="121"/>
      <c r="H328" s="121"/>
      <c r="I328" s="121"/>
      <c r="J328" s="121"/>
      <c r="K328" s="121"/>
      <c r="L328" s="121"/>
      <c r="M328" s="121"/>
      <c r="N328" s="122"/>
    </row>
    <row r="329" spans="1:14" ht="13.5" thickBot="1" x14ac:dyDescent="0.25">
      <c r="A329" s="97"/>
      <c r="B329" s="98"/>
      <c r="C329" s="98"/>
      <c r="D329" s="98"/>
      <c r="E329" s="99"/>
      <c r="F329" s="99"/>
      <c r="G329" s="99"/>
      <c r="H329" s="99"/>
      <c r="I329" s="99"/>
      <c r="J329" s="99"/>
      <c r="K329" s="99"/>
      <c r="L329" s="99"/>
      <c r="M329" s="99"/>
      <c r="N329" s="99"/>
    </row>
    <row r="330" spans="1:14" ht="13.5" thickBot="1" x14ac:dyDescent="0.25">
      <c r="A330" s="101"/>
      <c r="B330" s="102"/>
      <c r="C330" s="102"/>
      <c r="D330" s="102"/>
      <c r="E330" s="103"/>
      <c r="F330" s="103"/>
      <c r="G330" s="103"/>
      <c r="H330" s="103"/>
      <c r="I330" s="103"/>
      <c r="J330" s="103"/>
      <c r="K330" s="103"/>
      <c r="L330" s="103"/>
      <c r="M330" s="103"/>
      <c r="N330" s="104"/>
    </row>
    <row r="331" spans="1:14" ht="15.75" thickBot="1" x14ac:dyDescent="0.25">
      <c r="A331" s="105"/>
      <c r="B331" s="459" t="s">
        <v>1247</v>
      </c>
      <c r="C331" s="460"/>
      <c r="D331" s="460"/>
      <c r="E331" s="460"/>
      <c r="F331" s="460"/>
      <c r="G331" s="460"/>
      <c r="H331" s="460"/>
      <c r="I331" s="460"/>
      <c r="J331" s="460"/>
      <c r="K331" s="460"/>
      <c r="L331" s="460"/>
      <c r="M331" s="461"/>
      <c r="N331" s="106" t="s">
        <v>96</v>
      </c>
    </row>
    <row r="332" spans="1:14" x14ac:dyDescent="0.2">
      <c r="A332" s="105"/>
      <c r="B332" s="107" t="s">
        <v>428</v>
      </c>
      <c r="C332" s="98" t="s">
        <v>1346</v>
      </c>
      <c r="D332" s="98"/>
      <c r="E332" s="99"/>
      <c r="F332" s="99"/>
      <c r="G332" s="99"/>
      <c r="H332" s="99"/>
      <c r="I332" s="99"/>
      <c r="J332" s="99"/>
      <c r="K332" s="99"/>
      <c r="L332" s="99"/>
      <c r="M332" s="99"/>
      <c r="N332" s="90"/>
    </row>
    <row r="333" spans="1:14" x14ac:dyDescent="0.2">
      <c r="A333" s="105"/>
      <c r="B333" s="107" t="s">
        <v>429</v>
      </c>
      <c r="C333" s="98" t="s">
        <v>837</v>
      </c>
      <c r="D333" s="98"/>
      <c r="E333" s="99"/>
      <c r="F333" s="99"/>
      <c r="G333" s="99"/>
      <c r="H333" s="99"/>
      <c r="I333" s="99"/>
      <c r="J333" s="99"/>
      <c r="K333" s="99"/>
      <c r="L333" s="99"/>
      <c r="M333" s="99"/>
      <c r="N333" s="90"/>
    </row>
    <row r="334" spans="1:14" x14ac:dyDescent="0.2">
      <c r="A334" s="105"/>
      <c r="B334" s="107" t="s">
        <v>427</v>
      </c>
      <c r="C334" s="455" t="s">
        <v>1269</v>
      </c>
      <c r="D334" s="455"/>
      <c r="E334" s="455"/>
      <c r="F334" s="455"/>
      <c r="G334" s="455"/>
      <c r="H334" s="455"/>
      <c r="I334" s="455"/>
      <c r="J334" s="455"/>
      <c r="K334" s="455"/>
      <c r="L334" s="455"/>
      <c r="M334" s="455"/>
      <c r="N334" s="456"/>
    </row>
    <row r="335" spans="1:14" x14ac:dyDescent="0.2">
      <c r="A335" s="105"/>
      <c r="B335" s="107"/>
      <c r="C335" s="455"/>
      <c r="D335" s="455"/>
      <c r="E335" s="455"/>
      <c r="F335" s="455"/>
      <c r="G335" s="455"/>
      <c r="H335" s="455"/>
      <c r="I335" s="455"/>
      <c r="J335" s="455"/>
      <c r="K335" s="455"/>
      <c r="L335" s="455"/>
      <c r="M335" s="455"/>
      <c r="N335" s="456"/>
    </row>
    <row r="336" spans="1:14" x14ac:dyDescent="0.2">
      <c r="A336" s="105"/>
      <c r="B336" s="98"/>
      <c r="C336" s="455"/>
      <c r="D336" s="455"/>
      <c r="E336" s="455"/>
      <c r="F336" s="455"/>
      <c r="G336" s="455"/>
      <c r="H336" s="455"/>
      <c r="I336" s="455"/>
      <c r="J336" s="455"/>
      <c r="K336" s="455"/>
      <c r="L336" s="455"/>
      <c r="M336" s="455"/>
      <c r="N336" s="456"/>
    </row>
    <row r="337" spans="1:14" x14ac:dyDescent="0.2">
      <c r="A337" s="105"/>
      <c r="B337" s="107" t="s">
        <v>426</v>
      </c>
      <c r="C337" s="98" t="s">
        <v>378</v>
      </c>
      <c r="D337" s="98"/>
      <c r="E337" s="99"/>
      <c r="F337" s="99"/>
      <c r="G337" s="99"/>
      <c r="H337" s="99"/>
      <c r="I337" s="99"/>
      <c r="J337" s="99"/>
      <c r="K337" s="99"/>
      <c r="L337" s="99"/>
      <c r="M337" s="99"/>
      <c r="N337" s="90"/>
    </row>
    <row r="338" spans="1:14" ht="13.5" thickBot="1" x14ac:dyDescent="0.25">
      <c r="A338" s="105"/>
      <c r="B338" s="107" t="s">
        <v>430</v>
      </c>
      <c r="C338" s="98"/>
      <c r="D338" s="98"/>
      <c r="E338" s="99"/>
      <c r="F338" s="99"/>
      <c r="G338" s="99"/>
      <c r="H338" s="99"/>
      <c r="I338" s="99"/>
      <c r="J338" s="99"/>
      <c r="K338" s="99"/>
      <c r="L338" s="99"/>
      <c r="M338" s="99"/>
      <c r="N338" s="90"/>
    </row>
    <row r="339" spans="1:14" x14ac:dyDescent="0.2">
      <c r="A339" s="101"/>
      <c r="B339" s="102" t="s">
        <v>263</v>
      </c>
      <c r="C339" s="102"/>
      <c r="D339" s="102"/>
      <c r="E339" s="103"/>
      <c r="F339" s="103"/>
      <c r="G339" s="103"/>
      <c r="H339" s="103"/>
      <c r="I339" s="103"/>
      <c r="J339" s="113" t="s">
        <v>753</v>
      </c>
      <c r="K339" s="113"/>
      <c r="L339" s="113" t="s">
        <v>2114</v>
      </c>
      <c r="M339" s="113"/>
      <c r="N339" s="113"/>
    </row>
    <row r="340" spans="1:14" ht="13.5" thickBot="1" x14ac:dyDescent="0.25">
      <c r="A340" s="108"/>
      <c r="B340" s="109"/>
      <c r="C340" s="109"/>
      <c r="D340" s="109"/>
      <c r="E340" s="110"/>
      <c r="F340" s="110"/>
      <c r="G340" s="110"/>
      <c r="H340" s="110"/>
      <c r="I340" s="110"/>
      <c r="J340" s="94" t="s">
        <v>833</v>
      </c>
      <c r="K340" s="94" t="s">
        <v>132</v>
      </c>
      <c r="L340" s="94" t="s">
        <v>2115</v>
      </c>
      <c r="M340" s="94" t="s">
        <v>2094</v>
      </c>
      <c r="N340" s="94"/>
    </row>
    <row r="341" spans="1:14" x14ac:dyDescent="0.2">
      <c r="A341" s="101"/>
      <c r="B341" s="448" t="s">
        <v>67</v>
      </c>
      <c r="C341" s="448"/>
      <c r="D341" s="448"/>
      <c r="E341" s="103"/>
      <c r="F341" s="103" t="s">
        <v>1180</v>
      </c>
      <c r="G341" s="103" t="s">
        <v>68</v>
      </c>
      <c r="H341" s="103" t="s">
        <v>702</v>
      </c>
      <c r="I341" s="103"/>
      <c r="J341" s="113">
        <f>84.7/ATHENS!O1*ATHENS!O2</f>
        <v>172.85714285714286</v>
      </c>
      <c r="K341" s="113">
        <f>135.5/ATHENS!O1*ATHENS!O2</f>
        <v>276.53061224489795</v>
      </c>
      <c r="L341" s="113">
        <f>158.5/ATHENS!O1*ATHENS!O2</f>
        <v>323.46938775510205</v>
      </c>
      <c r="M341" s="113">
        <f>173.8/ATHENS!O1*ATHENS!O2</f>
        <v>354.69387755102042</v>
      </c>
      <c r="N341" s="113"/>
    </row>
    <row r="342" spans="1:14" x14ac:dyDescent="0.2">
      <c r="A342" s="105"/>
      <c r="B342" s="443" t="s">
        <v>67</v>
      </c>
      <c r="C342" s="443"/>
      <c r="D342" s="443"/>
      <c r="E342" s="99"/>
      <c r="F342" s="99" t="s">
        <v>1181</v>
      </c>
      <c r="G342" s="99" t="s">
        <v>68</v>
      </c>
      <c r="H342" s="99" t="s">
        <v>702</v>
      </c>
      <c r="I342" s="99"/>
      <c r="J342" s="89">
        <f>44.5/ATHENS!O1*ATHENS!O2</f>
        <v>90.816326530612244</v>
      </c>
      <c r="K342" s="89">
        <f>77/ATHENS!O1*ATHENS!O2</f>
        <v>157.14285714285714</v>
      </c>
      <c r="L342" s="89">
        <f>91.7/ATHENS!O1*ATHENS!O2</f>
        <v>187.14285714285714</v>
      </c>
      <c r="M342" s="89">
        <f>99.8/ATHENS!O1*ATHENS!O2</f>
        <v>203.67346938775509</v>
      </c>
      <c r="N342" s="89"/>
    </row>
    <row r="343" spans="1:14" x14ac:dyDescent="0.2">
      <c r="A343" s="105"/>
      <c r="B343" s="443" t="s">
        <v>67</v>
      </c>
      <c r="C343" s="443"/>
      <c r="D343" s="443"/>
      <c r="E343" s="99"/>
      <c r="F343" s="99" t="s">
        <v>1182</v>
      </c>
      <c r="G343" s="99" t="s">
        <v>68</v>
      </c>
      <c r="H343" s="99" t="s">
        <v>702</v>
      </c>
      <c r="I343" s="99"/>
      <c r="J343" s="89">
        <f>36.5/ATHENS!O1*ATHENS!O2</f>
        <v>74.489795918367349</v>
      </c>
      <c r="K343" s="89">
        <f>60.5/ATHENS!O1*ATHENS!O2</f>
        <v>123.46938775510205</v>
      </c>
      <c r="L343" s="89">
        <f>71.6/ATHENS!O1*ATHENS!O2</f>
        <v>146.12244897959184</v>
      </c>
      <c r="M343" s="89">
        <f>80.5/ATHENS!O1*ATHENS!O2</f>
        <v>164.28571428571428</v>
      </c>
      <c r="N343" s="89"/>
    </row>
    <row r="344" spans="1:14" ht="13.5" thickBot="1" x14ac:dyDescent="0.25">
      <c r="A344" s="108"/>
      <c r="B344" s="436" t="s">
        <v>902</v>
      </c>
      <c r="C344" s="436"/>
      <c r="D344" s="436"/>
      <c r="E344" s="110"/>
      <c r="F344" s="110"/>
      <c r="G344" s="110"/>
      <c r="H344" s="110" t="s">
        <v>702</v>
      </c>
      <c r="I344" s="110"/>
      <c r="J344" s="94">
        <f>18/ATHENS!O1*ATHENS!O2</f>
        <v>36.734693877551024</v>
      </c>
      <c r="K344" s="94">
        <f>18/ATHENS!O1*ATHENS!O2</f>
        <v>36.734693877551024</v>
      </c>
      <c r="L344" s="94">
        <f>18/ATHENS!O1*ATHENS!O2</f>
        <v>36.734693877551024</v>
      </c>
      <c r="M344" s="94">
        <f>18/ATHENS!O1*ATHENS!O2</f>
        <v>36.734693877551024</v>
      </c>
      <c r="N344" s="94"/>
    </row>
    <row r="345" spans="1:14" ht="13.5" thickBot="1" x14ac:dyDescent="0.25">
      <c r="A345" s="97"/>
      <c r="B345" s="98"/>
      <c r="C345" s="98"/>
      <c r="D345" s="98"/>
      <c r="E345" s="99"/>
      <c r="F345" s="99"/>
      <c r="G345" s="99"/>
      <c r="H345" s="99"/>
      <c r="I345" s="99"/>
      <c r="J345" s="99"/>
      <c r="K345" s="99"/>
      <c r="L345" s="99"/>
      <c r="M345" s="99"/>
      <c r="N345" s="99"/>
    </row>
    <row r="346" spans="1:14" ht="13.5" thickBot="1" x14ac:dyDescent="0.25">
      <c r="A346" s="101"/>
      <c r="B346" s="102"/>
      <c r="C346" s="102"/>
      <c r="D346" s="102"/>
      <c r="E346" s="103"/>
      <c r="F346" s="103"/>
      <c r="G346" s="103"/>
      <c r="H346" s="103"/>
      <c r="I346" s="103"/>
      <c r="J346" s="103"/>
      <c r="K346" s="103"/>
      <c r="L346" s="103"/>
      <c r="M346" s="103"/>
      <c r="N346" s="104"/>
    </row>
    <row r="347" spans="1:14" ht="15.75" thickBot="1" x14ac:dyDescent="0.25">
      <c r="A347" s="105"/>
      <c r="B347" s="459" t="s">
        <v>1628</v>
      </c>
      <c r="C347" s="460"/>
      <c r="D347" s="460"/>
      <c r="E347" s="460"/>
      <c r="F347" s="460"/>
      <c r="G347" s="460"/>
      <c r="H347" s="460"/>
      <c r="I347" s="460"/>
      <c r="J347" s="460"/>
      <c r="K347" s="460"/>
      <c r="L347" s="460"/>
      <c r="M347" s="461"/>
      <c r="N347" s="106" t="s">
        <v>96</v>
      </c>
    </row>
    <row r="348" spans="1:14" x14ac:dyDescent="0.2">
      <c r="A348" s="105"/>
      <c r="B348" s="107" t="s">
        <v>428</v>
      </c>
      <c r="C348" s="98" t="s">
        <v>1097</v>
      </c>
      <c r="D348" s="98"/>
      <c r="E348" s="99"/>
      <c r="F348" s="99"/>
      <c r="G348" s="99"/>
      <c r="H348" s="99"/>
      <c r="I348" s="99"/>
      <c r="J348" s="99"/>
      <c r="K348" s="99"/>
      <c r="L348" s="99"/>
      <c r="M348" s="99"/>
      <c r="N348" s="90"/>
    </row>
    <row r="349" spans="1:14" x14ac:dyDescent="0.2">
      <c r="A349" s="105"/>
      <c r="B349" s="107" t="s">
        <v>429</v>
      </c>
      <c r="C349" s="98" t="s">
        <v>307</v>
      </c>
      <c r="D349" s="98"/>
      <c r="E349" s="99"/>
      <c r="F349" s="99"/>
      <c r="G349" s="99"/>
      <c r="H349" s="99"/>
      <c r="I349" s="99"/>
      <c r="J349" s="99"/>
      <c r="K349" s="99"/>
      <c r="L349" s="99"/>
      <c r="M349" s="99"/>
      <c r="N349" s="90"/>
    </row>
    <row r="350" spans="1:14" x14ac:dyDescent="0.2">
      <c r="A350" s="105"/>
      <c r="B350" s="107" t="s">
        <v>427</v>
      </c>
      <c r="C350" s="455" t="s">
        <v>1270</v>
      </c>
      <c r="D350" s="455"/>
      <c r="E350" s="455"/>
      <c r="F350" s="455"/>
      <c r="G350" s="455"/>
      <c r="H350" s="455"/>
      <c r="I350" s="455"/>
      <c r="J350" s="455"/>
      <c r="K350" s="455"/>
      <c r="L350" s="455"/>
      <c r="M350" s="455"/>
      <c r="N350" s="456"/>
    </row>
    <row r="351" spans="1:14" x14ac:dyDescent="0.2">
      <c r="A351" s="105"/>
      <c r="B351" s="107"/>
      <c r="C351" s="455"/>
      <c r="D351" s="455"/>
      <c r="E351" s="455"/>
      <c r="F351" s="455"/>
      <c r="G351" s="455"/>
      <c r="H351" s="455"/>
      <c r="I351" s="455"/>
      <c r="J351" s="455"/>
      <c r="K351" s="455"/>
      <c r="L351" s="455"/>
      <c r="M351" s="455"/>
      <c r="N351" s="456"/>
    </row>
    <row r="352" spans="1:14" x14ac:dyDescent="0.2">
      <c r="A352" s="105"/>
      <c r="B352" s="98"/>
      <c r="C352" s="455"/>
      <c r="D352" s="455"/>
      <c r="E352" s="455"/>
      <c r="F352" s="455"/>
      <c r="G352" s="455"/>
      <c r="H352" s="455"/>
      <c r="I352" s="455"/>
      <c r="J352" s="455"/>
      <c r="K352" s="455"/>
      <c r="L352" s="455"/>
      <c r="M352" s="455"/>
      <c r="N352" s="456"/>
    </row>
    <row r="353" spans="1:14" x14ac:dyDescent="0.2">
      <c r="A353" s="105"/>
      <c r="B353" s="107" t="s">
        <v>426</v>
      </c>
      <c r="C353" s="98"/>
      <c r="D353" s="98"/>
      <c r="E353" s="99"/>
      <c r="F353" s="99"/>
      <c r="G353" s="99"/>
      <c r="H353" s="99"/>
      <c r="I353" s="99"/>
      <c r="J353" s="99"/>
      <c r="K353" s="99"/>
      <c r="L353" s="99"/>
      <c r="M353" s="99"/>
      <c r="N353" s="90"/>
    </row>
    <row r="354" spans="1:14" ht="13.5" thickBot="1" x14ac:dyDescent="0.25">
      <c r="A354" s="105"/>
      <c r="B354" s="107" t="s">
        <v>430</v>
      </c>
      <c r="C354" s="98"/>
      <c r="D354" s="98"/>
      <c r="E354" s="99"/>
      <c r="F354" s="99"/>
      <c r="G354" s="99"/>
      <c r="H354" s="99"/>
      <c r="I354" s="99"/>
      <c r="J354" s="99"/>
      <c r="K354" s="99"/>
      <c r="L354" s="99"/>
      <c r="M354" s="99"/>
      <c r="N354" s="90"/>
    </row>
    <row r="355" spans="1:14" x14ac:dyDescent="0.2">
      <c r="A355" s="101"/>
      <c r="B355" s="102" t="s">
        <v>263</v>
      </c>
      <c r="C355" s="102"/>
      <c r="D355" s="102"/>
      <c r="E355" s="103"/>
      <c r="F355" s="103"/>
      <c r="G355" s="103"/>
      <c r="H355" s="103"/>
      <c r="I355" s="103"/>
      <c r="J355" s="113" t="s">
        <v>339</v>
      </c>
      <c r="K355" s="113"/>
      <c r="L355" s="113"/>
      <c r="M355" s="113"/>
      <c r="N355" s="113"/>
    </row>
    <row r="356" spans="1:14" ht="13.5" thickBot="1" x14ac:dyDescent="0.25">
      <c r="A356" s="108"/>
      <c r="B356" s="109"/>
      <c r="C356" s="109"/>
      <c r="D356" s="109"/>
      <c r="E356" s="110"/>
      <c r="F356" s="110"/>
      <c r="G356" s="110"/>
      <c r="H356" s="110"/>
      <c r="I356" s="110"/>
      <c r="J356" s="94" t="s">
        <v>481</v>
      </c>
      <c r="K356" s="94" t="s">
        <v>279</v>
      </c>
      <c r="L356" s="94" t="s">
        <v>221</v>
      </c>
      <c r="M356" s="94"/>
      <c r="N356" s="94"/>
    </row>
    <row r="357" spans="1:14" x14ac:dyDescent="0.2">
      <c r="A357" s="101"/>
      <c r="B357" s="448" t="s">
        <v>67</v>
      </c>
      <c r="C357" s="448"/>
      <c r="D357" s="448"/>
      <c r="E357" s="103"/>
      <c r="F357" s="103" t="s">
        <v>1181</v>
      </c>
      <c r="G357" s="103" t="s">
        <v>68</v>
      </c>
      <c r="H357" s="103" t="s">
        <v>702</v>
      </c>
      <c r="I357" s="103"/>
      <c r="J357" s="113">
        <f>37.5/ATHENS!O1*ATHENS!O2</f>
        <v>76.530612244897966</v>
      </c>
      <c r="K357" s="113">
        <f>45/ATHENS!O1*ATHENS!O2</f>
        <v>91.83673469387756</v>
      </c>
      <c r="L357" s="113">
        <f>46.6/ATHENS!O1*ATHENS!O2</f>
        <v>95.102040816326536</v>
      </c>
      <c r="M357" s="113"/>
      <c r="N357" s="113"/>
    </row>
    <row r="358" spans="1:14" x14ac:dyDescent="0.2">
      <c r="A358" s="105"/>
      <c r="B358" s="443" t="s">
        <v>874</v>
      </c>
      <c r="C358" s="443"/>
      <c r="D358" s="443"/>
      <c r="E358" s="99"/>
      <c r="F358" s="99" t="s">
        <v>518</v>
      </c>
      <c r="G358" s="99" t="s">
        <v>68</v>
      </c>
      <c r="H358" s="99" t="s">
        <v>702</v>
      </c>
      <c r="I358" s="99"/>
      <c r="J358" s="89">
        <f>82.5/ATHENS!O1*ATHENS!O2</f>
        <v>168.36734693877551</v>
      </c>
      <c r="K358" s="89">
        <f>95/ATHENS!O1*ATHENS!O2</f>
        <v>193.87755102040816</v>
      </c>
      <c r="L358" s="89">
        <f>130/ATHENS!O1*ATHENS!O2</f>
        <v>265.30612244897958</v>
      </c>
      <c r="M358" s="89"/>
      <c r="N358" s="89"/>
    </row>
    <row r="359" spans="1:14" ht="13.5" thickBot="1" x14ac:dyDescent="0.25">
      <c r="A359" s="108"/>
      <c r="B359" s="436"/>
      <c r="C359" s="436"/>
      <c r="D359" s="436"/>
      <c r="E359" s="110"/>
      <c r="F359" s="110"/>
      <c r="G359" s="110"/>
      <c r="H359" s="110"/>
      <c r="I359" s="110"/>
      <c r="J359" s="94"/>
      <c r="K359" s="94"/>
      <c r="L359" s="94"/>
      <c r="M359" s="94"/>
      <c r="N359" s="94"/>
    </row>
    <row r="360" spans="1:14" ht="13.5" thickBot="1" x14ac:dyDescent="0.25">
      <c r="A360" s="97"/>
      <c r="B360" s="98"/>
      <c r="C360" s="98"/>
      <c r="D360" s="98"/>
      <c r="E360" s="99"/>
      <c r="F360" s="99"/>
      <c r="G360" s="99"/>
      <c r="H360" s="99"/>
      <c r="I360" s="99"/>
      <c r="J360" s="99"/>
      <c r="K360" s="99"/>
      <c r="L360" s="99"/>
      <c r="M360" s="99"/>
      <c r="N360" s="99"/>
    </row>
    <row r="361" spans="1:14" ht="13.5" thickBot="1" x14ac:dyDescent="0.25">
      <c r="A361" s="101"/>
      <c r="B361" s="102"/>
      <c r="C361" s="102"/>
      <c r="D361" s="102"/>
      <c r="E361" s="103"/>
      <c r="F361" s="103"/>
      <c r="G361" s="103"/>
      <c r="H361" s="103"/>
      <c r="I361" s="103"/>
      <c r="J361" s="103"/>
      <c r="K361" s="103"/>
      <c r="L361" s="103"/>
      <c r="M361" s="103"/>
      <c r="N361" s="104"/>
    </row>
    <row r="362" spans="1:14" ht="15.75" thickBot="1" x14ac:dyDescent="0.25">
      <c r="A362" s="105"/>
      <c r="B362" s="459" t="s">
        <v>1096</v>
      </c>
      <c r="C362" s="460"/>
      <c r="D362" s="460"/>
      <c r="E362" s="460"/>
      <c r="F362" s="460"/>
      <c r="G362" s="460"/>
      <c r="H362" s="460"/>
      <c r="I362" s="460"/>
      <c r="J362" s="460"/>
      <c r="K362" s="460"/>
      <c r="L362" s="460"/>
      <c r="M362" s="461"/>
      <c r="N362" s="106" t="s">
        <v>96</v>
      </c>
    </row>
    <row r="363" spans="1:14" x14ac:dyDescent="0.2">
      <c r="A363" s="105"/>
      <c r="B363" s="107" t="s">
        <v>428</v>
      </c>
      <c r="C363" s="125" t="s">
        <v>1097</v>
      </c>
      <c r="D363" s="98"/>
      <c r="E363" s="99"/>
      <c r="F363" s="99"/>
      <c r="G363" s="99"/>
      <c r="H363" s="99"/>
      <c r="I363" s="99"/>
      <c r="J363" s="99"/>
      <c r="K363" s="99"/>
      <c r="L363" s="99"/>
      <c r="M363" s="99"/>
      <c r="N363" s="90"/>
    </row>
    <row r="364" spans="1:14" x14ac:dyDescent="0.2">
      <c r="A364" s="105"/>
      <c r="B364" s="107" t="s">
        <v>429</v>
      </c>
      <c r="C364" s="98" t="s">
        <v>1082</v>
      </c>
      <c r="D364" s="98"/>
      <c r="E364" s="99"/>
      <c r="F364" s="99"/>
      <c r="G364" s="99"/>
      <c r="H364" s="99"/>
      <c r="I364" s="99"/>
      <c r="J364" s="99"/>
      <c r="K364" s="99"/>
      <c r="L364" s="99"/>
      <c r="M364" s="99"/>
      <c r="N364" s="90"/>
    </row>
    <row r="365" spans="1:14" x14ac:dyDescent="0.2">
      <c r="A365" s="105"/>
      <c r="B365" s="107" t="s">
        <v>427</v>
      </c>
      <c r="C365" s="455" t="s">
        <v>1271</v>
      </c>
      <c r="D365" s="455"/>
      <c r="E365" s="455"/>
      <c r="F365" s="455"/>
      <c r="G365" s="455"/>
      <c r="H365" s="455"/>
      <c r="I365" s="455"/>
      <c r="J365" s="455"/>
      <c r="K365" s="455"/>
      <c r="L365" s="455"/>
      <c r="M365" s="455"/>
      <c r="N365" s="456"/>
    </row>
    <row r="366" spans="1:14" x14ac:dyDescent="0.2">
      <c r="A366" s="105"/>
      <c r="B366" s="107"/>
      <c r="C366" s="455"/>
      <c r="D366" s="455"/>
      <c r="E366" s="455"/>
      <c r="F366" s="455"/>
      <c r="G366" s="455"/>
      <c r="H366" s="455"/>
      <c r="I366" s="455"/>
      <c r="J366" s="455"/>
      <c r="K366" s="455"/>
      <c r="L366" s="455"/>
      <c r="M366" s="455"/>
      <c r="N366" s="456"/>
    </row>
    <row r="367" spans="1:14" x14ac:dyDescent="0.2">
      <c r="A367" s="105"/>
      <c r="B367" s="107"/>
      <c r="C367" s="455"/>
      <c r="D367" s="455"/>
      <c r="E367" s="455"/>
      <c r="F367" s="455"/>
      <c r="G367" s="455"/>
      <c r="H367" s="455"/>
      <c r="I367" s="455"/>
      <c r="J367" s="455"/>
      <c r="K367" s="455"/>
      <c r="L367" s="455"/>
      <c r="M367" s="455"/>
      <c r="N367" s="456"/>
    </row>
    <row r="368" spans="1:14" x14ac:dyDescent="0.2">
      <c r="A368" s="105"/>
      <c r="B368" s="107" t="s">
        <v>426</v>
      </c>
      <c r="C368" s="98"/>
      <c r="D368" s="98"/>
      <c r="E368" s="99"/>
      <c r="F368" s="99"/>
      <c r="G368" s="99"/>
      <c r="H368" s="99"/>
      <c r="I368" s="99"/>
      <c r="J368" s="99"/>
      <c r="K368" s="99"/>
      <c r="L368" s="99"/>
      <c r="M368" s="99"/>
      <c r="N368" s="90"/>
    </row>
    <row r="369" spans="1:14" ht="13.5" thickBot="1" x14ac:dyDescent="0.25">
      <c r="A369" s="105"/>
      <c r="B369" s="107" t="s">
        <v>430</v>
      </c>
      <c r="C369" s="98"/>
      <c r="D369" s="98"/>
      <c r="E369" s="99"/>
      <c r="F369" s="99"/>
      <c r="G369" s="99"/>
      <c r="H369" s="99"/>
      <c r="I369" s="99"/>
      <c r="J369" s="99"/>
      <c r="K369" s="99"/>
      <c r="L369" s="99"/>
      <c r="M369" s="99"/>
      <c r="N369" s="90"/>
    </row>
    <row r="370" spans="1:14" x14ac:dyDescent="0.2">
      <c r="A370" s="101"/>
      <c r="B370" s="102" t="s">
        <v>263</v>
      </c>
      <c r="C370" s="102"/>
      <c r="D370" s="102"/>
      <c r="E370" s="103"/>
      <c r="F370" s="103"/>
      <c r="G370" s="103"/>
      <c r="H370" s="103"/>
      <c r="I370" s="103"/>
      <c r="J370" s="114" t="s">
        <v>758</v>
      </c>
      <c r="K370" s="113"/>
      <c r="L370" s="113"/>
      <c r="M370" s="113"/>
      <c r="N370" s="113"/>
    </row>
    <row r="371" spans="1:14" ht="13.5" thickBot="1" x14ac:dyDescent="0.25">
      <c r="A371" s="108"/>
      <c r="B371" s="109"/>
      <c r="C371" s="109"/>
      <c r="D371" s="109"/>
      <c r="E371" s="110"/>
      <c r="F371" s="110"/>
      <c r="G371" s="110"/>
      <c r="H371" s="110"/>
      <c r="I371" s="110"/>
      <c r="J371" s="112" t="s">
        <v>481</v>
      </c>
      <c r="K371" s="94" t="s">
        <v>279</v>
      </c>
      <c r="L371" s="94" t="s">
        <v>221</v>
      </c>
      <c r="M371" s="94"/>
      <c r="N371" s="94"/>
    </row>
    <row r="372" spans="1:14" x14ac:dyDescent="0.2">
      <c r="A372" s="101"/>
      <c r="B372" s="448" t="s">
        <v>901</v>
      </c>
      <c r="C372" s="448"/>
      <c r="D372" s="448"/>
      <c r="E372" s="103"/>
      <c r="F372" s="103" t="s">
        <v>518</v>
      </c>
      <c r="G372" s="103" t="s">
        <v>68</v>
      </c>
      <c r="H372" s="103" t="s">
        <v>1184</v>
      </c>
      <c r="I372" s="103"/>
      <c r="J372" s="89">
        <f>118/ATHENS!O1*ATHENS!O2</f>
        <v>240.81632653061226</v>
      </c>
      <c r="K372" s="89">
        <f>165/ATHENS!O1*ATHENS!O2</f>
        <v>336.73469387755102</v>
      </c>
      <c r="L372" s="89">
        <f>181/ATHENS!O1*ATHENS!O2</f>
        <v>369.38775510204084</v>
      </c>
      <c r="M372" s="89"/>
      <c r="N372" s="89"/>
    </row>
    <row r="373" spans="1:14" ht="13.5" thickBot="1" x14ac:dyDescent="0.25">
      <c r="A373" s="108"/>
      <c r="B373" s="436" t="s">
        <v>901</v>
      </c>
      <c r="C373" s="436"/>
      <c r="D373" s="436"/>
      <c r="E373" s="110"/>
      <c r="F373" s="110" t="s">
        <v>705</v>
      </c>
      <c r="G373" s="110" t="s">
        <v>68</v>
      </c>
      <c r="H373" s="110" t="s">
        <v>1184</v>
      </c>
      <c r="I373" s="110"/>
      <c r="J373" s="94">
        <f>235/ATHENS!O1*ATHENS!O2</f>
        <v>479.59183673469391</v>
      </c>
      <c r="K373" s="94">
        <f>280/ATHENS!O1*ATHENS!O2</f>
        <v>571.42857142857144</v>
      </c>
      <c r="L373" s="94">
        <f>327/ATHENS!O1*ATHENS!O2</f>
        <v>667.34693877551024</v>
      </c>
      <c r="M373" s="94"/>
      <c r="N373" s="94"/>
    </row>
    <row r="374" spans="1:14" ht="13.5" thickBot="1" x14ac:dyDescent="0.25">
      <c r="A374" s="97"/>
      <c r="B374" s="98"/>
      <c r="C374" s="98"/>
      <c r="D374" s="98"/>
      <c r="E374" s="99"/>
      <c r="F374" s="99"/>
      <c r="G374" s="99"/>
      <c r="H374" s="99"/>
      <c r="I374" s="99"/>
      <c r="J374" s="99"/>
      <c r="K374" s="99"/>
      <c r="L374" s="99"/>
      <c r="M374" s="99"/>
      <c r="N374" s="99"/>
    </row>
    <row r="375" spans="1:14" ht="13.5" thickBot="1" x14ac:dyDescent="0.25">
      <c r="A375" s="101"/>
      <c r="B375" s="102"/>
      <c r="C375" s="102"/>
      <c r="D375" s="102"/>
      <c r="E375" s="103"/>
      <c r="F375" s="103"/>
      <c r="G375" s="103"/>
      <c r="H375" s="103"/>
      <c r="I375" s="103"/>
      <c r="J375" s="103"/>
      <c r="K375" s="103"/>
      <c r="L375" s="103"/>
      <c r="M375" s="103"/>
      <c r="N375" s="104"/>
    </row>
    <row r="376" spans="1:14" ht="15.75" thickBot="1" x14ac:dyDescent="0.25">
      <c r="A376" s="105"/>
      <c r="B376" s="459" t="s">
        <v>1622</v>
      </c>
      <c r="C376" s="460"/>
      <c r="D376" s="460"/>
      <c r="E376" s="460"/>
      <c r="F376" s="460"/>
      <c r="G376" s="460"/>
      <c r="H376" s="460"/>
      <c r="I376" s="460"/>
      <c r="J376" s="460"/>
      <c r="K376" s="460"/>
      <c r="L376" s="460"/>
      <c r="M376" s="461"/>
      <c r="N376" s="106" t="s">
        <v>1164</v>
      </c>
    </row>
    <row r="377" spans="1:14" x14ac:dyDescent="0.2">
      <c r="A377" s="105"/>
      <c r="B377" s="107" t="s">
        <v>428</v>
      </c>
      <c r="C377" s="98" t="s">
        <v>1472</v>
      </c>
      <c r="D377" s="98"/>
      <c r="E377" s="99"/>
      <c r="F377" s="99"/>
      <c r="G377" s="99"/>
      <c r="H377" s="99"/>
      <c r="I377" s="99"/>
      <c r="J377" s="99"/>
      <c r="K377" s="99"/>
      <c r="L377" s="99"/>
      <c r="M377" s="99"/>
      <c r="N377" s="90"/>
    </row>
    <row r="378" spans="1:14" x14ac:dyDescent="0.2">
      <c r="A378" s="105"/>
      <c r="B378" s="107" t="s">
        <v>429</v>
      </c>
      <c r="C378" s="98" t="s">
        <v>493</v>
      </c>
      <c r="D378" s="98"/>
      <c r="E378" s="99"/>
      <c r="F378" s="99"/>
      <c r="G378" s="99"/>
      <c r="H378" s="99"/>
      <c r="I378" s="99"/>
      <c r="J378" s="99"/>
      <c r="K378" s="99"/>
      <c r="L378" s="99"/>
      <c r="M378" s="99"/>
      <c r="N378" s="90"/>
    </row>
    <row r="379" spans="1:14" x14ac:dyDescent="0.2">
      <c r="A379" s="105"/>
      <c r="B379" s="107" t="s">
        <v>427</v>
      </c>
      <c r="C379" s="455" t="s">
        <v>1272</v>
      </c>
      <c r="D379" s="455"/>
      <c r="E379" s="455"/>
      <c r="F379" s="455"/>
      <c r="G379" s="455"/>
      <c r="H379" s="455"/>
      <c r="I379" s="455"/>
      <c r="J379" s="455"/>
      <c r="K379" s="455"/>
      <c r="L379" s="455"/>
      <c r="M379" s="455"/>
      <c r="N379" s="456"/>
    </row>
    <row r="380" spans="1:14" x14ac:dyDescent="0.2">
      <c r="A380" s="105"/>
      <c r="B380" s="98"/>
      <c r="C380" s="455"/>
      <c r="D380" s="455"/>
      <c r="E380" s="455"/>
      <c r="F380" s="455"/>
      <c r="G380" s="455"/>
      <c r="H380" s="455"/>
      <c r="I380" s="455"/>
      <c r="J380" s="455"/>
      <c r="K380" s="455"/>
      <c r="L380" s="455"/>
      <c r="M380" s="455"/>
      <c r="N380" s="456"/>
    </row>
    <row r="381" spans="1:14" x14ac:dyDescent="0.2">
      <c r="A381" s="105"/>
      <c r="B381" s="107" t="s">
        <v>426</v>
      </c>
      <c r="C381" s="98" t="s">
        <v>933</v>
      </c>
      <c r="D381" s="98"/>
      <c r="E381" s="99"/>
      <c r="F381" s="99"/>
      <c r="G381" s="99"/>
      <c r="H381" s="99"/>
      <c r="I381" s="99"/>
      <c r="J381" s="99"/>
      <c r="K381" s="99"/>
      <c r="L381" s="99"/>
      <c r="M381" s="99"/>
      <c r="N381" s="90"/>
    </row>
    <row r="382" spans="1:14" ht="13.5" thickBot="1" x14ac:dyDescent="0.25">
      <c r="A382" s="105"/>
      <c r="B382" s="107" t="s">
        <v>430</v>
      </c>
      <c r="C382" s="98"/>
      <c r="D382" s="98"/>
      <c r="E382" s="99"/>
      <c r="F382" s="99"/>
      <c r="G382" s="99"/>
      <c r="H382" s="99"/>
      <c r="I382" s="99"/>
      <c r="J382" s="99"/>
      <c r="K382" s="99"/>
      <c r="L382" s="99"/>
      <c r="M382" s="99"/>
      <c r="N382" s="90"/>
    </row>
    <row r="383" spans="1:14" x14ac:dyDescent="0.2">
      <c r="A383" s="101"/>
      <c r="B383" s="102" t="s">
        <v>263</v>
      </c>
      <c r="C383" s="102"/>
      <c r="D383" s="102"/>
      <c r="E383" s="103"/>
      <c r="F383" s="103"/>
      <c r="G383" s="103"/>
      <c r="H383" s="103"/>
      <c r="I383" s="103"/>
      <c r="J383" s="114" t="s">
        <v>1971</v>
      </c>
      <c r="K383" s="113" t="s">
        <v>1972</v>
      </c>
      <c r="L383" s="113"/>
      <c r="M383" s="113"/>
      <c r="N383" s="113"/>
    </row>
    <row r="384" spans="1:14" ht="13.5" thickBot="1" x14ac:dyDescent="0.25">
      <c r="A384" s="108"/>
      <c r="B384" s="109"/>
      <c r="C384" s="109"/>
      <c r="D384" s="109"/>
      <c r="E384" s="110"/>
      <c r="F384" s="110"/>
      <c r="G384" s="110"/>
      <c r="H384" s="110"/>
      <c r="I384" s="110"/>
      <c r="J384" s="112" t="s">
        <v>833</v>
      </c>
      <c r="K384" s="94" t="s">
        <v>1973</v>
      </c>
      <c r="L384" s="94" t="s">
        <v>1974</v>
      </c>
      <c r="M384" s="94"/>
      <c r="N384" s="94"/>
    </row>
    <row r="385" spans="1:14" x14ac:dyDescent="0.2">
      <c r="A385" s="101"/>
      <c r="B385" s="448" t="s">
        <v>67</v>
      </c>
      <c r="C385" s="448"/>
      <c r="D385" s="448"/>
      <c r="E385" s="103"/>
      <c r="F385" s="103" t="s">
        <v>1181</v>
      </c>
      <c r="G385" s="103" t="s">
        <v>68</v>
      </c>
      <c r="H385" s="103" t="s">
        <v>702</v>
      </c>
      <c r="I385" s="103"/>
      <c r="J385" s="89">
        <f>76/ATHENS!O1*ATHENS!O2</f>
        <v>155.10204081632654</v>
      </c>
      <c r="K385" s="89">
        <f>128/ATHENS!O1*ATHENS!O2</f>
        <v>261.22448979591837</v>
      </c>
      <c r="L385" s="89">
        <f>168/ATHENS!O1*ATHENS!O2</f>
        <v>342.85714285714289</v>
      </c>
      <c r="M385" s="89"/>
      <c r="N385" s="113"/>
    </row>
    <row r="386" spans="1:14" x14ac:dyDescent="0.2">
      <c r="A386" s="105"/>
      <c r="B386" s="443" t="s">
        <v>1305</v>
      </c>
      <c r="C386" s="443"/>
      <c r="D386" s="443"/>
      <c r="E386" s="99"/>
      <c r="F386" s="99" t="s">
        <v>518</v>
      </c>
      <c r="G386" s="99" t="s">
        <v>68</v>
      </c>
      <c r="H386" s="99" t="s">
        <v>702</v>
      </c>
      <c r="I386" s="99"/>
      <c r="J386" s="89">
        <f>136/ATHENS!O1*ATHENS!O2</f>
        <v>277.55102040816325</v>
      </c>
      <c r="K386" s="89">
        <f>184/ATHENS!O1*ATHENS!O2</f>
        <v>375.51020408163265</v>
      </c>
      <c r="L386" s="89">
        <f>228/ATHENS!O1*ATHENS!O2</f>
        <v>465.30612244897958</v>
      </c>
      <c r="M386" s="89"/>
      <c r="N386" s="89"/>
    </row>
    <row r="387" spans="1:14" ht="13.5" thickBot="1" x14ac:dyDescent="0.25">
      <c r="A387" s="108"/>
      <c r="B387" s="436" t="s">
        <v>1305</v>
      </c>
      <c r="C387" s="436"/>
      <c r="D387" s="436"/>
      <c r="E387" s="110"/>
      <c r="F387" s="110" t="s">
        <v>705</v>
      </c>
      <c r="G387" s="110" t="s">
        <v>68</v>
      </c>
      <c r="H387" s="110" t="s">
        <v>702</v>
      </c>
      <c r="I387" s="110"/>
      <c r="J387" s="94">
        <f>120.6/ATHENS!O1*ATHENS!O2</f>
        <v>246.12244897959184</v>
      </c>
      <c r="K387" s="94">
        <f>152.6/ATHENS!O1*ATHENS!O2</f>
        <v>311.42857142857144</v>
      </c>
      <c r="L387" s="94">
        <f>182/ATHENS!O1*ATHENS!O2</f>
        <v>371.42857142857144</v>
      </c>
      <c r="M387" s="94"/>
      <c r="N387" s="94"/>
    </row>
    <row r="388" spans="1:14" ht="13.5" thickBot="1" x14ac:dyDescent="0.25">
      <c r="A388" s="97"/>
      <c r="B388" s="98"/>
      <c r="C388" s="98"/>
      <c r="D388" s="98"/>
      <c r="E388" s="99"/>
      <c r="F388" s="99"/>
      <c r="G388" s="99"/>
      <c r="H388" s="99"/>
      <c r="I388" s="99"/>
      <c r="J388" s="99"/>
      <c r="K388" s="99"/>
      <c r="L388" s="99"/>
      <c r="M388" s="99"/>
      <c r="N388" s="99"/>
    </row>
    <row r="389" spans="1:14" ht="13.5" thickBot="1" x14ac:dyDescent="0.25">
      <c r="A389" s="101"/>
      <c r="B389" s="102"/>
      <c r="C389" s="102"/>
      <c r="D389" s="102"/>
      <c r="E389" s="103"/>
      <c r="F389" s="103"/>
      <c r="G389" s="103"/>
      <c r="H389" s="103"/>
      <c r="I389" s="103"/>
      <c r="J389" s="103"/>
      <c r="K389" s="103"/>
      <c r="L389" s="103"/>
      <c r="M389" s="103"/>
      <c r="N389" s="104"/>
    </row>
    <row r="390" spans="1:14" ht="15.75" thickBot="1" x14ac:dyDescent="0.25">
      <c r="A390" s="105"/>
      <c r="B390" s="459" t="s">
        <v>1629</v>
      </c>
      <c r="C390" s="460"/>
      <c r="D390" s="460"/>
      <c r="E390" s="460"/>
      <c r="F390" s="460"/>
      <c r="G390" s="460"/>
      <c r="H390" s="460"/>
      <c r="I390" s="460"/>
      <c r="J390" s="460"/>
      <c r="K390" s="460"/>
      <c r="L390" s="460"/>
      <c r="M390" s="461"/>
      <c r="N390" s="106" t="s">
        <v>1164</v>
      </c>
    </row>
    <row r="391" spans="1:14" x14ac:dyDescent="0.2">
      <c r="A391" s="105"/>
      <c r="B391" s="107" t="s">
        <v>428</v>
      </c>
      <c r="C391" s="98" t="s">
        <v>1472</v>
      </c>
      <c r="D391" s="98"/>
      <c r="E391" s="99"/>
      <c r="F391" s="99"/>
      <c r="G391" s="99"/>
      <c r="H391" s="99"/>
      <c r="I391" s="99"/>
      <c r="J391" s="99"/>
      <c r="K391" s="99"/>
      <c r="L391" s="99"/>
      <c r="M391" s="99"/>
      <c r="N391" s="90"/>
    </row>
    <row r="392" spans="1:14" x14ac:dyDescent="0.2">
      <c r="A392" s="105"/>
      <c r="B392" s="107" t="s">
        <v>429</v>
      </c>
      <c r="C392" s="98" t="s">
        <v>1214</v>
      </c>
      <c r="D392" s="98"/>
      <c r="E392" s="99"/>
      <c r="F392" s="99"/>
      <c r="G392" s="99"/>
      <c r="H392" s="99"/>
      <c r="I392" s="99"/>
      <c r="J392" s="99"/>
      <c r="K392" s="99"/>
      <c r="L392" s="99"/>
      <c r="M392" s="99"/>
      <c r="N392" s="90"/>
    </row>
    <row r="393" spans="1:14" x14ac:dyDescent="0.2">
      <c r="A393" s="105"/>
      <c r="B393" s="107" t="s">
        <v>427</v>
      </c>
      <c r="C393" s="455" t="s">
        <v>1463</v>
      </c>
      <c r="D393" s="455"/>
      <c r="E393" s="455"/>
      <c r="F393" s="455"/>
      <c r="G393" s="455"/>
      <c r="H393" s="455"/>
      <c r="I393" s="455"/>
      <c r="J393" s="455"/>
      <c r="K393" s="455"/>
      <c r="L393" s="455"/>
      <c r="M393" s="455"/>
      <c r="N393" s="456"/>
    </row>
    <row r="394" spans="1:14" x14ac:dyDescent="0.2">
      <c r="A394" s="105"/>
      <c r="B394" s="107"/>
      <c r="C394" s="455"/>
      <c r="D394" s="455"/>
      <c r="E394" s="455"/>
      <c r="F394" s="455"/>
      <c r="G394" s="455"/>
      <c r="H394" s="455"/>
      <c r="I394" s="455"/>
      <c r="J394" s="455"/>
      <c r="K394" s="455"/>
      <c r="L394" s="455"/>
      <c r="M394" s="455"/>
      <c r="N394" s="456"/>
    </row>
    <row r="395" spans="1:14" x14ac:dyDescent="0.2">
      <c r="A395" s="105"/>
      <c r="B395" s="107"/>
      <c r="C395" s="455"/>
      <c r="D395" s="455"/>
      <c r="E395" s="455"/>
      <c r="F395" s="455"/>
      <c r="G395" s="455"/>
      <c r="H395" s="455"/>
      <c r="I395" s="455"/>
      <c r="J395" s="455"/>
      <c r="K395" s="455"/>
      <c r="L395" s="455"/>
      <c r="M395" s="455"/>
      <c r="N395" s="456"/>
    </row>
    <row r="396" spans="1:14" x14ac:dyDescent="0.2">
      <c r="A396" s="105"/>
      <c r="B396" s="107"/>
      <c r="C396" s="455"/>
      <c r="D396" s="455"/>
      <c r="E396" s="455"/>
      <c r="F396" s="455"/>
      <c r="G396" s="455"/>
      <c r="H396" s="455"/>
      <c r="I396" s="455"/>
      <c r="J396" s="455"/>
      <c r="K396" s="455"/>
      <c r="L396" s="455"/>
      <c r="M396" s="455"/>
      <c r="N396" s="456"/>
    </row>
    <row r="397" spans="1:14" x14ac:dyDescent="0.2">
      <c r="A397" s="105"/>
      <c r="B397" s="107" t="s">
        <v>426</v>
      </c>
      <c r="C397" s="98" t="s">
        <v>405</v>
      </c>
      <c r="D397" s="98"/>
      <c r="E397" s="99"/>
      <c r="F397" s="99"/>
      <c r="G397" s="99"/>
      <c r="H397" s="99"/>
      <c r="I397" s="99"/>
      <c r="J397" s="99"/>
      <c r="K397" s="99"/>
      <c r="L397" s="99"/>
      <c r="M397" s="99"/>
      <c r="N397" s="90"/>
    </row>
    <row r="398" spans="1:14" x14ac:dyDescent="0.2">
      <c r="A398" s="105"/>
      <c r="B398" s="107" t="s">
        <v>430</v>
      </c>
      <c r="C398" s="98" t="s">
        <v>1498</v>
      </c>
      <c r="D398" s="98"/>
      <c r="E398" s="99"/>
      <c r="F398" s="99"/>
      <c r="G398" s="99"/>
      <c r="H398" s="99"/>
      <c r="I398" s="99"/>
      <c r="J398" s="99"/>
      <c r="K398" s="99"/>
      <c r="L398" s="99"/>
      <c r="M398" s="99"/>
      <c r="N398" s="90"/>
    </row>
    <row r="399" spans="1:14" ht="13.5" thickBot="1" x14ac:dyDescent="0.25">
      <c r="A399" s="108"/>
      <c r="B399" s="118"/>
      <c r="C399" s="109" t="s">
        <v>406</v>
      </c>
      <c r="D399" s="109"/>
      <c r="E399" s="110"/>
      <c r="F399" s="110"/>
      <c r="G399" s="110"/>
      <c r="H399" s="110"/>
      <c r="I399" s="110"/>
      <c r="J399" s="110"/>
      <c r="K399" s="110"/>
      <c r="L399" s="110"/>
      <c r="M399" s="110"/>
      <c r="N399" s="93"/>
    </row>
    <row r="400" spans="1:14" x14ac:dyDescent="0.2">
      <c r="A400" s="101"/>
      <c r="B400" s="102" t="s">
        <v>263</v>
      </c>
      <c r="C400" s="102"/>
      <c r="D400" s="102"/>
      <c r="E400" s="103"/>
      <c r="F400" s="103"/>
      <c r="G400" s="103"/>
      <c r="H400" s="103"/>
      <c r="I400" s="103"/>
      <c r="J400" s="114" t="s">
        <v>907</v>
      </c>
      <c r="K400" s="113" t="s">
        <v>1402</v>
      </c>
      <c r="L400" s="113" t="s">
        <v>1757</v>
      </c>
      <c r="M400" s="113" t="s">
        <v>1439</v>
      </c>
      <c r="N400" s="113"/>
    </row>
    <row r="401" spans="1:14" ht="13.5" thickBot="1" x14ac:dyDescent="0.25">
      <c r="A401" s="108"/>
      <c r="B401" s="109"/>
      <c r="C401" s="109"/>
      <c r="D401" s="109"/>
      <c r="E401" s="110"/>
      <c r="F401" s="110"/>
      <c r="G401" s="110"/>
      <c r="H401" s="110"/>
      <c r="I401" s="110"/>
      <c r="J401" s="112"/>
      <c r="K401" s="94" t="s">
        <v>481</v>
      </c>
      <c r="L401" s="94" t="s">
        <v>341</v>
      </c>
      <c r="M401" s="94"/>
      <c r="N401" s="94"/>
    </row>
    <row r="402" spans="1:14" ht="13.5" thickBot="1" x14ac:dyDescent="0.25">
      <c r="A402" s="101"/>
      <c r="B402" s="102" t="s">
        <v>67</v>
      </c>
      <c r="C402" s="102"/>
      <c r="D402" s="102"/>
      <c r="E402" s="103"/>
      <c r="F402" s="103" t="s">
        <v>1181</v>
      </c>
      <c r="G402" s="103" t="s">
        <v>68</v>
      </c>
      <c r="H402" s="103" t="s">
        <v>1184</v>
      </c>
      <c r="I402" s="103"/>
      <c r="J402" s="89">
        <f>96/ATHENS!O1*ATHENS!O2</f>
        <v>195.91836734693877</v>
      </c>
      <c r="K402" s="89">
        <f>176/ATHENS!O1*ATHENS!O2</f>
        <v>359.18367346938777</v>
      </c>
      <c r="L402" s="89">
        <f>256/ATHENS!O1*ATHENS!O2</f>
        <v>522.44897959183675</v>
      </c>
      <c r="M402" s="89">
        <f>375/ATHENS!O1*ATHENS!O2</f>
        <v>765.30612244897964</v>
      </c>
      <c r="N402" s="89"/>
    </row>
    <row r="403" spans="1:14" ht="13.5" thickBot="1" x14ac:dyDescent="0.25">
      <c r="A403" s="108"/>
      <c r="B403" s="102" t="s">
        <v>67</v>
      </c>
      <c r="C403" s="109"/>
      <c r="D403" s="109"/>
      <c r="E403" s="110"/>
      <c r="F403" s="110" t="s">
        <v>1182</v>
      </c>
      <c r="G403" s="110" t="s">
        <v>68</v>
      </c>
      <c r="H403" s="110" t="s">
        <v>1184</v>
      </c>
      <c r="I403" s="110"/>
      <c r="J403" s="94">
        <f>144/ATHENS!O1*ATHENS!O2</f>
        <v>293.87755102040819</v>
      </c>
      <c r="K403" s="94">
        <f>240/ATHENS!O1*ATHENS!O2</f>
        <v>489.79591836734693</v>
      </c>
      <c r="L403" s="94">
        <f>336/ATHENS!O1*ATHENS!O2</f>
        <v>685.71428571428578</v>
      </c>
      <c r="M403" s="94">
        <f>487/ATHENS!O1*ATHENS!O2</f>
        <v>993.87755102040819</v>
      </c>
      <c r="N403" s="94"/>
    </row>
    <row r="404" spans="1:14" ht="13.5" thickBot="1" x14ac:dyDescent="0.25">
      <c r="A404" s="97"/>
      <c r="B404" s="98"/>
      <c r="C404" s="98"/>
      <c r="D404" s="98"/>
      <c r="E404" s="99"/>
      <c r="F404" s="99"/>
      <c r="G404" s="99"/>
      <c r="H404" s="99"/>
      <c r="I404" s="99"/>
      <c r="J404" s="99"/>
      <c r="K404" s="99"/>
      <c r="L404" s="99"/>
      <c r="M404" s="99"/>
      <c r="N404" s="99"/>
    </row>
    <row r="405" spans="1:14" ht="13.5" thickBot="1" x14ac:dyDescent="0.25">
      <c r="A405" s="101"/>
      <c r="B405" s="102"/>
      <c r="C405" s="102"/>
      <c r="D405" s="102"/>
      <c r="E405" s="103"/>
      <c r="F405" s="103"/>
      <c r="G405" s="103"/>
      <c r="H405" s="103"/>
      <c r="I405" s="103"/>
      <c r="J405" s="103"/>
      <c r="K405" s="103"/>
      <c r="L405" s="103"/>
      <c r="M405" s="103"/>
      <c r="N405" s="104"/>
    </row>
    <row r="406" spans="1:14" ht="15.75" thickBot="1" x14ac:dyDescent="0.25">
      <c r="A406" s="105"/>
      <c r="B406" s="459" t="s">
        <v>1482</v>
      </c>
      <c r="C406" s="460"/>
      <c r="D406" s="460"/>
      <c r="E406" s="460"/>
      <c r="F406" s="460"/>
      <c r="G406" s="460"/>
      <c r="H406" s="460"/>
      <c r="I406" s="460"/>
      <c r="J406" s="460"/>
      <c r="K406" s="460"/>
      <c r="L406" s="460"/>
      <c r="M406" s="461"/>
      <c r="N406" s="106" t="s">
        <v>96</v>
      </c>
    </row>
    <row r="407" spans="1:14" x14ac:dyDescent="0.2">
      <c r="A407" s="105"/>
      <c r="B407" s="107" t="s">
        <v>428</v>
      </c>
      <c r="C407" s="98" t="s">
        <v>1219</v>
      </c>
      <c r="D407" s="98"/>
      <c r="E407" s="99"/>
      <c r="F407" s="99"/>
      <c r="G407" s="99"/>
      <c r="H407" s="99"/>
      <c r="I407" s="99"/>
      <c r="J407" s="99"/>
      <c r="K407" s="99"/>
      <c r="L407" s="99"/>
      <c r="M407" s="99"/>
      <c r="N407" s="90"/>
    </row>
    <row r="408" spans="1:14" x14ac:dyDescent="0.2">
      <c r="A408" s="105"/>
      <c r="B408" s="107" t="s">
        <v>429</v>
      </c>
      <c r="C408" s="98" t="s">
        <v>1157</v>
      </c>
      <c r="D408" s="98"/>
      <c r="E408" s="99"/>
      <c r="F408" s="99"/>
      <c r="G408" s="99"/>
      <c r="H408" s="99"/>
      <c r="I408" s="99"/>
      <c r="J408" s="99"/>
      <c r="K408" s="99"/>
      <c r="L408" s="99"/>
      <c r="M408" s="99"/>
      <c r="N408" s="90"/>
    </row>
    <row r="409" spans="1:14" x14ac:dyDescent="0.2">
      <c r="A409" s="105"/>
      <c r="B409" s="107" t="s">
        <v>427</v>
      </c>
      <c r="C409" s="455" t="s">
        <v>1464</v>
      </c>
      <c r="D409" s="455"/>
      <c r="E409" s="455"/>
      <c r="F409" s="455"/>
      <c r="G409" s="455"/>
      <c r="H409" s="455"/>
      <c r="I409" s="455"/>
      <c r="J409" s="455"/>
      <c r="K409" s="455"/>
      <c r="L409" s="455"/>
      <c r="M409" s="455"/>
      <c r="N409" s="456"/>
    </row>
    <row r="410" spans="1:14" x14ac:dyDescent="0.2">
      <c r="A410" s="105"/>
      <c r="B410" s="107"/>
      <c r="C410" s="455"/>
      <c r="D410" s="455"/>
      <c r="E410" s="455"/>
      <c r="F410" s="455"/>
      <c r="G410" s="455"/>
      <c r="H410" s="455"/>
      <c r="I410" s="455"/>
      <c r="J410" s="455"/>
      <c r="K410" s="455"/>
      <c r="L410" s="455"/>
      <c r="M410" s="455"/>
      <c r="N410" s="456"/>
    </row>
    <row r="411" spans="1:14" x14ac:dyDescent="0.2">
      <c r="A411" s="105"/>
      <c r="B411" s="107"/>
      <c r="C411" s="455"/>
      <c r="D411" s="455"/>
      <c r="E411" s="455"/>
      <c r="F411" s="455"/>
      <c r="G411" s="455"/>
      <c r="H411" s="455"/>
      <c r="I411" s="455"/>
      <c r="J411" s="455"/>
      <c r="K411" s="455"/>
      <c r="L411" s="455"/>
      <c r="M411" s="455"/>
      <c r="N411" s="456"/>
    </row>
    <row r="412" spans="1:14" x14ac:dyDescent="0.2">
      <c r="A412" s="105"/>
      <c r="B412" s="98"/>
      <c r="C412" s="455"/>
      <c r="D412" s="455"/>
      <c r="E412" s="455"/>
      <c r="F412" s="455"/>
      <c r="G412" s="455"/>
      <c r="H412" s="455"/>
      <c r="I412" s="455"/>
      <c r="J412" s="455"/>
      <c r="K412" s="455"/>
      <c r="L412" s="455"/>
      <c r="M412" s="455"/>
      <c r="N412" s="456"/>
    </row>
    <row r="413" spans="1:14" x14ac:dyDescent="0.2">
      <c r="A413" s="105"/>
      <c r="B413" s="98"/>
      <c r="C413" s="455"/>
      <c r="D413" s="455"/>
      <c r="E413" s="455"/>
      <c r="F413" s="455"/>
      <c r="G413" s="455"/>
      <c r="H413" s="455"/>
      <c r="I413" s="455"/>
      <c r="J413" s="455"/>
      <c r="K413" s="455"/>
      <c r="L413" s="455"/>
      <c r="M413" s="455"/>
      <c r="N413" s="456"/>
    </row>
    <row r="414" spans="1:14" x14ac:dyDescent="0.2">
      <c r="A414" s="105"/>
      <c r="B414" s="107" t="s">
        <v>426</v>
      </c>
      <c r="C414" s="98" t="s">
        <v>1172</v>
      </c>
      <c r="D414" s="98"/>
      <c r="E414" s="99"/>
      <c r="F414" s="99"/>
      <c r="G414" s="99"/>
      <c r="H414" s="99"/>
      <c r="I414" s="99"/>
      <c r="J414" s="99"/>
      <c r="K414" s="99"/>
      <c r="L414" s="99"/>
      <c r="M414" s="99"/>
      <c r="N414" s="90"/>
    </row>
    <row r="415" spans="1:14" ht="13.5" thickBot="1" x14ac:dyDescent="0.25">
      <c r="A415" s="105"/>
      <c r="B415" s="107" t="s">
        <v>430</v>
      </c>
      <c r="C415" s="98"/>
      <c r="D415" s="98"/>
      <c r="E415" s="99"/>
      <c r="F415" s="99"/>
      <c r="G415" s="99"/>
      <c r="H415" s="99"/>
      <c r="I415" s="99"/>
      <c r="J415" s="99"/>
      <c r="K415" s="99"/>
      <c r="L415" s="99"/>
      <c r="M415" s="99"/>
      <c r="N415" s="90"/>
    </row>
    <row r="416" spans="1:14" x14ac:dyDescent="0.2">
      <c r="A416" s="101"/>
      <c r="B416" s="102" t="s">
        <v>263</v>
      </c>
      <c r="C416" s="102"/>
      <c r="D416" s="102"/>
      <c r="E416" s="103"/>
      <c r="F416" s="103"/>
      <c r="G416" s="103"/>
      <c r="H416" s="103"/>
      <c r="I416" s="103"/>
      <c r="J416" s="113" t="s">
        <v>758</v>
      </c>
      <c r="K416" s="113" t="s">
        <v>279</v>
      </c>
      <c r="L416" s="113" t="s">
        <v>820</v>
      </c>
      <c r="M416" s="113"/>
      <c r="N416" s="113"/>
    </row>
    <row r="417" spans="1:14" ht="13.5" thickBot="1" x14ac:dyDescent="0.25">
      <c r="A417" s="108"/>
      <c r="B417" s="109"/>
      <c r="C417" s="109"/>
      <c r="D417" s="109"/>
      <c r="E417" s="110"/>
      <c r="F417" s="110"/>
      <c r="G417" s="110"/>
      <c r="H417" s="110"/>
      <c r="I417" s="110"/>
      <c r="J417" s="94" t="s">
        <v>481</v>
      </c>
      <c r="K417" s="94" t="s">
        <v>280</v>
      </c>
      <c r="L417" s="94" t="s">
        <v>1440</v>
      </c>
      <c r="M417" s="94" t="s">
        <v>822</v>
      </c>
      <c r="N417" s="94"/>
    </row>
    <row r="418" spans="1:14" x14ac:dyDescent="0.2">
      <c r="A418" s="101"/>
      <c r="B418" s="448" t="s">
        <v>67</v>
      </c>
      <c r="C418" s="448"/>
      <c r="D418" s="448"/>
      <c r="E418" s="103"/>
      <c r="F418" s="103" t="s">
        <v>1180</v>
      </c>
      <c r="G418" s="103" t="s">
        <v>68</v>
      </c>
      <c r="H418" s="103" t="s">
        <v>702</v>
      </c>
      <c r="I418" s="103"/>
      <c r="J418" s="113">
        <f>75/ATHENS!O1*ATHENS!O2</f>
        <v>153.06122448979593</v>
      </c>
      <c r="K418" s="113">
        <f>93/ATHENS!O1*ATHENS!O2</f>
        <v>189.79591836734693</v>
      </c>
      <c r="L418" s="113">
        <f>111/ATHENS!O1*ATHENS!O2</f>
        <v>226.53061224489795</v>
      </c>
      <c r="M418" s="113">
        <f>132/ATHENS!O1*ATHENS!O2</f>
        <v>269.38775510204084</v>
      </c>
      <c r="N418" s="113"/>
    </row>
    <row r="419" spans="1:14" x14ac:dyDescent="0.2">
      <c r="A419" s="105"/>
      <c r="B419" s="443" t="s">
        <v>67</v>
      </c>
      <c r="C419" s="443"/>
      <c r="D419" s="443"/>
      <c r="E419" s="99"/>
      <c r="F419" s="99" t="s">
        <v>1181</v>
      </c>
      <c r="G419" s="99" t="s">
        <v>68</v>
      </c>
      <c r="H419" s="99" t="s">
        <v>702</v>
      </c>
      <c r="I419" s="99"/>
      <c r="J419" s="89">
        <f>47/ATHENS!O1*ATHENS!O2</f>
        <v>95.91836734693878</v>
      </c>
      <c r="K419" s="89">
        <f>58/ATHENS!O1*ATHENS!O2</f>
        <v>118.36734693877551</v>
      </c>
      <c r="L419" s="89">
        <f>69.5/ATHENS!O1*ATHENS!O2</f>
        <v>141.83673469387756</v>
      </c>
      <c r="M419" s="89">
        <f>82.5/ATHENS!O1*ATHENS!O2</f>
        <v>168.36734693877551</v>
      </c>
      <c r="N419" s="89"/>
    </row>
    <row r="420" spans="1:14" ht="13.5" thickBot="1" x14ac:dyDescent="0.25">
      <c r="A420" s="108"/>
      <c r="B420" s="436" t="s">
        <v>67</v>
      </c>
      <c r="C420" s="436"/>
      <c r="D420" s="436"/>
      <c r="E420" s="110"/>
      <c r="F420" s="110" t="s">
        <v>1182</v>
      </c>
      <c r="G420" s="110" t="s">
        <v>68</v>
      </c>
      <c r="H420" s="110" t="s">
        <v>702</v>
      </c>
      <c r="I420" s="110"/>
      <c r="J420" s="94">
        <f>42.5/ATHENS!O1*ATHENS!O2</f>
        <v>86.734693877551024</v>
      </c>
      <c r="K420" s="94">
        <f>52.5/ATHENS!O1*ATHENS!O2</f>
        <v>107.14285714285714</v>
      </c>
      <c r="L420" s="94">
        <f>62.5/ATHENS!O1*ATHENS!O2</f>
        <v>127.55102040816327</v>
      </c>
      <c r="M420" s="94">
        <f>74.5/ATHENS!O1*ATHENS!O2</f>
        <v>152.0408163265306</v>
      </c>
      <c r="N420" s="94"/>
    </row>
    <row r="421" spans="1:14" ht="13.5" thickBot="1" x14ac:dyDescent="0.25">
      <c r="A421" s="97"/>
      <c r="B421" s="98"/>
      <c r="C421" s="98"/>
      <c r="D421" s="98"/>
      <c r="E421" s="99"/>
      <c r="F421" s="99"/>
      <c r="G421" s="99"/>
      <c r="H421" s="99"/>
      <c r="I421" s="99"/>
      <c r="J421" s="99"/>
      <c r="K421" s="99"/>
      <c r="L421" s="99"/>
      <c r="M421" s="99"/>
      <c r="N421" s="99"/>
    </row>
    <row r="422" spans="1:14" ht="13.5" thickBot="1" x14ac:dyDescent="0.25">
      <c r="A422" s="101"/>
      <c r="B422" s="102"/>
      <c r="C422" s="102"/>
      <c r="D422" s="102"/>
      <c r="E422" s="103"/>
      <c r="F422" s="103"/>
      <c r="G422" s="103"/>
      <c r="H422" s="103"/>
      <c r="I422" s="103"/>
      <c r="J422" s="103"/>
      <c r="K422" s="103"/>
      <c r="L422" s="103"/>
      <c r="M422" s="103"/>
      <c r="N422" s="104"/>
    </row>
    <row r="423" spans="1:14" ht="15.75" thickBot="1" x14ac:dyDescent="0.25">
      <c r="A423" s="105"/>
      <c r="B423" s="459" t="s">
        <v>648</v>
      </c>
      <c r="C423" s="460"/>
      <c r="D423" s="460"/>
      <c r="E423" s="460"/>
      <c r="F423" s="460"/>
      <c r="G423" s="460"/>
      <c r="H423" s="460"/>
      <c r="I423" s="460"/>
      <c r="J423" s="460"/>
      <c r="K423" s="460"/>
      <c r="L423" s="460"/>
      <c r="M423" s="461"/>
      <c r="N423" s="106" t="s">
        <v>96</v>
      </c>
    </row>
    <row r="424" spans="1:14" x14ac:dyDescent="0.2">
      <c r="A424" s="105"/>
      <c r="B424" s="107" t="s">
        <v>428</v>
      </c>
      <c r="C424" s="98" t="s">
        <v>1474</v>
      </c>
      <c r="D424" s="98"/>
      <c r="E424" s="99"/>
      <c r="F424" s="99"/>
      <c r="G424" s="99"/>
      <c r="H424" s="99"/>
      <c r="I424" s="99"/>
      <c r="J424" s="99"/>
      <c r="K424" s="99"/>
      <c r="L424" s="99"/>
      <c r="M424" s="99"/>
      <c r="N424" s="90"/>
    </row>
    <row r="425" spans="1:14" x14ac:dyDescent="0.2">
      <c r="A425" s="105"/>
      <c r="B425" s="107" t="s">
        <v>429</v>
      </c>
      <c r="C425" s="98" t="s">
        <v>164</v>
      </c>
      <c r="D425" s="98"/>
      <c r="E425" s="99"/>
      <c r="F425" s="99"/>
      <c r="G425" s="99"/>
      <c r="H425" s="99"/>
      <c r="I425" s="99"/>
      <c r="J425" s="99"/>
      <c r="K425" s="99"/>
      <c r="L425" s="99"/>
      <c r="M425" s="99"/>
      <c r="N425" s="90"/>
    </row>
    <row r="426" spans="1:14" x14ac:dyDescent="0.2">
      <c r="A426" s="105"/>
      <c r="B426" s="107" t="s">
        <v>427</v>
      </c>
      <c r="C426" s="455" t="s">
        <v>1465</v>
      </c>
      <c r="D426" s="455"/>
      <c r="E426" s="455"/>
      <c r="F426" s="455"/>
      <c r="G426" s="455"/>
      <c r="H426" s="455"/>
      <c r="I426" s="455"/>
      <c r="J426" s="455"/>
      <c r="K426" s="455"/>
      <c r="L426" s="455"/>
      <c r="M426" s="455"/>
      <c r="N426" s="456"/>
    </row>
    <row r="427" spans="1:14" x14ac:dyDescent="0.2">
      <c r="A427" s="105"/>
      <c r="B427" s="107"/>
      <c r="C427" s="455"/>
      <c r="D427" s="455"/>
      <c r="E427" s="455"/>
      <c r="F427" s="455"/>
      <c r="G427" s="455"/>
      <c r="H427" s="455"/>
      <c r="I427" s="455"/>
      <c r="J427" s="455"/>
      <c r="K427" s="455"/>
      <c r="L427" s="455"/>
      <c r="M427" s="455"/>
      <c r="N427" s="456"/>
    </row>
    <row r="428" spans="1:14" x14ac:dyDescent="0.2">
      <c r="A428" s="105"/>
      <c r="B428" s="98"/>
      <c r="C428" s="455"/>
      <c r="D428" s="455"/>
      <c r="E428" s="455"/>
      <c r="F428" s="455"/>
      <c r="G428" s="455"/>
      <c r="H428" s="455"/>
      <c r="I428" s="455"/>
      <c r="J428" s="455"/>
      <c r="K428" s="455"/>
      <c r="L428" s="455"/>
      <c r="M428" s="455"/>
      <c r="N428" s="456"/>
    </row>
    <row r="429" spans="1:14" x14ac:dyDescent="0.2">
      <c r="A429" s="105"/>
      <c r="B429" s="107" t="s">
        <v>426</v>
      </c>
      <c r="C429" s="98" t="s">
        <v>419</v>
      </c>
      <c r="D429" s="98"/>
      <c r="E429" s="99"/>
      <c r="F429" s="99"/>
      <c r="G429" s="99"/>
      <c r="H429" s="99"/>
      <c r="I429" s="99"/>
      <c r="J429" s="99"/>
      <c r="K429" s="99"/>
      <c r="L429" s="99"/>
      <c r="M429" s="99"/>
      <c r="N429" s="90"/>
    </row>
    <row r="430" spans="1:14" ht="13.5" thickBot="1" x14ac:dyDescent="0.25">
      <c r="A430" s="105"/>
      <c r="B430" s="107" t="s">
        <v>430</v>
      </c>
      <c r="C430" s="98"/>
      <c r="D430" s="98"/>
      <c r="E430" s="99"/>
      <c r="F430" s="99"/>
      <c r="G430" s="99"/>
      <c r="H430" s="99"/>
      <c r="I430" s="99"/>
      <c r="J430" s="99"/>
      <c r="K430" s="99"/>
      <c r="L430" s="99"/>
      <c r="M430" s="99"/>
      <c r="N430" s="90"/>
    </row>
    <row r="431" spans="1:14" x14ac:dyDescent="0.2">
      <c r="A431" s="101"/>
      <c r="B431" s="102" t="s">
        <v>263</v>
      </c>
      <c r="C431" s="102"/>
      <c r="D431" s="102"/>
      <c r="E431" s="103"/>
      <c r="F431" s="103"/>
      <c r="G431" s="103"/>
      <c r="H431" s="103"/>
      <c r="I431" s="103"/>
      <c r="J431" s="113" t="s">
        <v>1971</v>
      </c>
      <c r="K431" s="113"/>
      <c r="L431" s="113" t="s">
        <v>2117</v>
      </c>
      <c r="M431" s="113"/>
      <c r="N431" s="113"/>
    </row>
    <row r="432" spans="1:14" ht="13.5" thickBot="1" x14ac:dyDescent="0.25">
      <c r="A432" s="108"/>
      <c r="B432" s="109"/>
      <c r="C432" s="109"/>
      <c r="D432" s="109"/>
      <c r="E432" s="110"/>
      <c r="F432" s="110"/>
      <c r="G432" s="110"/>
      <c r="H432" s="110"/>
      <c r="I432" s="110"/>
      <c r="J432" s="94" t="s">
        <v>756</v>
      </c>
      <c r="K432" s="94" t="s">
        <v>2116</v>
      </c>
      <c r="L432" s="94" t="s">
        <v>2118</v>
      </c>
      <c r="M432" s="94" t="s">
        <v>2119</v>
      </c>
      <c r="N432" s="94"/>
    </row>
    <row r="433" spans="1:14" x14ac:dyDescent="0.2">
      <c r="A433" s="101"/>
      <c r="B433" s="448" t="s">
        <v>67</v>
      </c>
      <c r="C433" s="448"/>
      <c r="D433" s="448"/>
      <c r="E433" s="103"/>
      <c r="F433" s="103" t="s">
        <v>1180</v>
      </c>
      <c r="G433" s="103" t="s">
        <v>68</v>
      </c>
      <c r="H433" s="103" t="s">
        <v>702</v>
      </c>
      <c r="I433" s="103"/>
      <c r="J433" s="113">
        <f>68.8/ATHENS!O1*ATHENS!O2</f>
        <v>140.40816326530611</v>
      </c>
      <c r="K433" s="113">
        <f>126.5/ATHENS!O1*ATHENS!O2</f>
        <v>258.16326530612247</v>
      </c>
      <c r="L433" s="113">
        <f>158.7/ATHENS!O1*ATHENS!O2</f>
        <v>323.87755102040813</v>
      </c>
      <c r="M433" s="113">
        <f>179.5/ATHENS!O1*ATHENS!O2</f>
        <v>366.32653061224488</v>
      </c>
      <c r="N433" s="113"/>
    </row>
    <row r="434" spans="1:14" x14ac:dyDescent="0.2">
      <c r="A434" s="105"/>
      <c r="B434" s="443" t="s">
        <v>67</v>
      </c>
      <c r="C434" s="443"/>
      <c r="D434" s="443"/>
      <c r="E434" s="99"/>
      <c r="F434" s="99" t="s">
        <v>1181</v>
      </c>
      <c r="G434" s="99" t="s">
        <v>68</v>
      </c>
      <c r="H434" s="99" t="s">
        <v>702</v>
      </c>
      <c r="I434" s="99"/>
      <c r="J434" s="89">
        <f>45.7/ATHENS!O1*ATHENS!O2</f>
        <v>93.26530612244899</v>
      </c>
      <c r="K434" s="89">
        <f>73.5/ATHENS!O1*ATHENS!O2</f>
        <v>150</v>
      </c>
      <c r="L434" s="89">
        <f>93.5/ATHENS!O1*ATHENS!O2</f>
        <v>190.81632653061226</v>
      </c>
      <c r="M434" s="89">
        <f>104.5/ATHENS!O1*ATHENS!O2</f>
        <v>213.26530612244898</v>
      </c>
      <c r="N434" s="89"/>
    </row>
    <row r="435" spans="1:14" x14ac:dyDescent="0.2">
      <c r="A435" s="105"/>
      <c r="B435" s="443" t="s">
        <v>67</v>
      </c>
      <c r="C435" s="443"/>
      <c r="D435" s="443"/>
      <c r="E435" s="99"/>
      <c r="F435" s="99" t="s">
        <v>1182</v>
      </c>
      <c r="G435" s="99" t="s">
        <v>68</v>
      </c>
      <c r="H435" s="99" t="s">
        <v>702</v>
      </c>
      <c r="I435" s="99"/>
      <c r="J435" s="89">
        <f>42.8/ATHENS!O1*ATHENS!O2</f>
        <v>87.346938775510196</v>
      </c>
      <c r="K435" s="89">
        <f>62.9/ATHENS!O1*ATHENS!O2</f>
        <v>128.36734693877551</v>
      </c>
      <c r="L435" s="89">
        <f>76.5/ATHENS!O1*ATHENS!O2</f>
        <v>156.12244897959184</v>
      </c>
      <c r="M435" s="89">
        <f>85.5/ATHENS!O1*ATHENS!O2</f>
        <v>174.48979591836735</v>
      </c>
      <c r="N435" s="89"/>
    </row>
    <row r="436" spans="1:14" x14ac:dyDescent="0.2">
      <c r="A436" s="105"/>
      <c r="B436" s="443" t="s">
        <v>760</v>
      </c>
      <c r="C436" s="443"/>
      <c r="D436" s="443"/>
      <c r="E436" s="99"/>
      <c r="F436" s="99" t="s">
        <v>1181</v>
      </c>
      <c r="G436" s="99" t="s">
        <v>68</v>
      </c>
      <c r="H436" s="99" t="s">
        <v>702</v>
      </c>
      <c r="I436" s="99"/>
      <c r="J436" s="89">
        <f>60.5/ATHENS!O1*ATHENS!O2</f>
        <v>123.46938775510205</v>
      </c>
      <c r="K436" s="89">
        <f>92.9/ATHENS!O1*ATHENS!O2</f>
        <v>189.59183673469389</v>
      </c>
      <c r="L436" s="89">
        <f>113.5/ATHENS!O1*ATHENS!O2</f>
        <v>231.63265306122449</v>
      </c>
      <c r="M436" s="89">
        <f>130.5/ATHENS!O1*ATHENS!O2</f>
        <v>266.32653061224488</v>
      </c>
      <c r="N436" s="89"/>
    </row>
    <row r="437" spans="1:14" ht="13.5" thickBot="1" x14ac:dyDescent="0.25">
      <c r="A437" s="108"/>
      <c r="B437" s="436" t="s">
        <v>902</v>
      </c>
      <c r="C437" s="436"/>
      <c r="D437" s="436"/>
      <c r="E437" s="110"/>
      <c r="F437" s="110"/>
      <c r="G437" s="110"/>
      <c r="H437" s="110"/>
      <c r="I437" s="110"/>
      <c r="J437" s="94">
        <f>18/ATHENS!O1*ATHENS!O2</f>
        <v>36.734693877551024</v>
      </c>
      <c r="K437" s="94">
        <f>18/ATHENS!O1*ATHENS!O2</f>
        <v>36.734693877551024</v>
      </c>
      <c r="L437" s="94">
        <f>18/ATHENS!O1*ATHENS!O2</f>
        <v>36.734693877551024</v>
      </c>
      <c r="M437" s="89">
        <f>18/ATHENS!O1*ATHENS!O2</f>
        <v>36.734693877551024</v>
      </c>
      <c r="N437" s="94"/>
    </row>
    <row r="438" spans="1:14" ht="13.5" thickBot="1" x14ac:dyDescent="0.25">
      <c r="A438" s="97"/>
      <c r="B438" s="98"/>
      <c r="C438" s="98"/>
      <c r="D438" s="98"/>
      <c r="E438" s="99"/>
      <c r="F438" s="99"/>
      <c r="G438" s="99"/>
      <c r="H438" s="99"/>
      <c r="I438" s="99"/>
      <c r="J438" s="99"/>
      <c r="K438" s="99"/>
      <c r="L438" s="99"/>
      <c r="M438" s="99"/>
      <c r="N438" s="99"/>
    </row>
    <row r="439" spans="1:14" ht="13.5" thickBot="1" x14ac:dyDescent="0.25">
      <c r="A439" s="101"/>
      <c r="B439" s="102"/>
      <c r="C439" s="102"/>
      <c r="D439" s="102"/>
      <c r="E439" s="103"/>
      <c r="F439" s="103"/>
      <c r="G439" s="103"/>
      <c r="H439" s="103"/>
      <c r="I439" s="103"/>
      <c r="J439" s="103"/>
      <c r="K439" s="103"/>
      <c r="L439" s="103"/>
      <c r="M439" s="103"/>
      <c r="N439" s="104"/>
    </row>
    <row r="440" spans="1:14" ht="15.75" thickBot="1" x14ac:dyDescent="0.25">
      <c r="A440" s="105"/>
      <c r="B440" s="459" t="s">
        <v>204</v>
      </c>
      <c r="C440" s="460"/>
      <c r="D440" s="460"/>
      <c r="E440" s="460"/>
      <c r="F440" s="460"/>
      <c r="G440" s="460"/>
      <c r="H440" s="460"/>
      <c r="I440" s="460"/>
      <c r="J440" s="460"/>
      <c r="K440" s="460"/>
      <c r="L440" s="460"/>
      <c r="M440" s="461"/>
      <c r="N440" s="106" t="s">
        <v>96</v>
      </c>
    </row>
    <row r="441" spans="1:14" x14ac:dyDescent="0.2">
      <c r="A441" s="105"/>
      <c r="B441" s="107" t="s">
        <v>428</v>
      </c>
      <c r="C441" s="98" t="s">
        <v>422</v>
      </c>
      <c r="D441" s="98"/>
      <c r="E441" s="99"/>
      <c r="F441" s="99"/>
      <c r="G441" s="99"/>
      <c r="H441" s="99"/>
      <c r="I441" s="99"/>
      <c r="J441" s="99"/>
      <c r="K441" s="99"/>
      <c r="L441" s="99"/>
      <c r="M441" s="99"/>
      <c r="N441" s="90"/>
    </row>
    <row r="442" spans="1:14" x14ac:dyDescent="0.2">
      <c r="A442" s="105"/>
      <c r="B442" s="107" t="s">
        <v>429</v>
      </c>
      <c r="C442" s="98" t="s">
        <v>1083</v>
      </c>
      <c r="D442" s="98"/>
      <c r="E442" s="99"/>
      <c r="F442" s="99"/>
      <c r="G442" s="99"/>
      <c r="H442" s="99"/>
      <c r="I442" s="99"/>
      <c r="J442" s="99"/>
      <c r="K442" s="99"/>
      <c r="L442" s="99"/>
      <c r="M442" s="99"/>
      <c r="N442" s="90"/>
    </row>
    <row r="443" spans="1:14" x14ac:dyDescent="0.2">
      <c r="A443" s="105"/>
      <c r="B443" s="107" t="s">
        <v>427</v>
      </c>
      <c r="C443" s="455" t="s">
        <v>306</v>
      </c>
      <c r="D443" s="455"/>
      <c r="E443" s="455"/>
      <c r="F443" s="455"/>
      <c r="G443" s="455"/>
      <c r="H443" s="455"/>
      <c r="I443" s="455"/>
      <c r="J443" s="455"/>
      <c r="K443" s="455"/>
      <c r="L443" s="455"/>
      <c r="M443" s="455"/>
      <c r="N443" s="456"/>
    </row>
    <row r="444" spans="1:14" x14ac:dyDescent="0.2">
      <c r="A444" s="105"/>
      <c r="B444" s="107"/>
      <c r="C444" s="455"/>
      <c r="D444" s="455"/>
      <c r="E444" s="455"/>
      <c r="F444" s="455"/>
      <c r="G444" s="455"/>
      <c r="H444" s="455"/>
      <c r="I444" s="455"/>
      <c r="J444" s="455"/>
      <c r="K444" s="455"/>
      <c r="L444" s="455"/>
      <c r="M444" s="455"/>
      <c r="N444" s="456"/>
    </row>
    <row r="445" spans="1:14" x14ac:dyDescent="0.2">
      <c r="A445" s="105"/>
      <c r="B445" s="107"/>
      <c r="C445" s="455"/>
      <c r="D445" s="455"/>
      <c r="E445" s="455"/>
      <c r="F445" s="455"/>
      <c r="G445" s="455"/>
      <c r="H445" s="455"/>
      <c r="I445" s="455"/>
      <c r="J445" s="455"/>
      <c r="K445" s="455"/>
      <c r="L445" s="455"/>
      <c r="M445" s="455"/>
      <c r="N445" s="456"/>
    </row>
    <row r="446" spans="1:14" x14ac:dyDescent="0.2">
      <c r="A446" s="105"/>
      <c r="B446" s="107"/>
      <c r="C446" s="455"/>
      <c r="D446" s="455"/>
      <c r="E446" s="455"/>
      <c r="F446" s="455"/>
      <c r="G446" s="455"/>
      <c r="H446" s="455"/>
      <c r="I446" s="455"/>
      <c r="J446" s="455"/>
      <c r="K446" s="455"/>
      <c r="L446" s="455"/>
      <c r="M446" s="455"/>
      <c r="N446" s="456"/>
    </row>
    <row r="447" spans="1:14" x14ac:dyDescent="0.2">
      <c r="A447" s="105"/>
      <c r="B447" s="107"/>
      <c r="C447" s="455"/>
      <c r="D447" s="455"/>
      <c r="E447" s="455"/>
      <c r="F447" s="455"/>
      <c r="G447" s="455"/>
      <c r="H447" s="455"/>
      <c r="I447" s="455"/>
      <c r="J447" s="455"/>
      <c r="K447" s="455"/>
      <c r="L447" s="455"/>
      <c r="M447" s="455"/>
      <c r="N447" s="456"/>
    </row>
    <row r="448" spans="1:14" x14ac:dyDescent="0.2">
      <c r="A448" s="105"/>
      <c r="B448" s="107"/>
      <c r="C448" s="455"/>
      <c r="D448" s="455"/>
      <c r="E448" s="455"/>
      <c r="F448" s="455"/>
      <c r="G448" s="455"/>
      <c r="H448" s="455"/>
      <c r="I448" s="455"/>
      <c r="J448" s="455"/>
      <c r="K448" s="455"/>
      <c r="L448" s="455"/>
      <c r="M448" s="455"/>
      <c r="N448" s="456"/>
    </row>
    <row r="449" spans="1:14" x14ac:dyDescent="0.2">
      <c r="A449" s="105"/>
      <c r="B449" s="107"/>
      <c r="C449" s="455"/>
      <c r="D449" s="455"/>
      <c r="E449" s="455"/>
      <c r="F449" s="455"/>
      <c r="G449" s="455"/>
      <c r="H449" s="455"/>
      <c r="I449" s="455"/>
      <c r="J449" s="455"/>
      <c r="K449" s="455"/>
      <c r="L449" s="455"/>
      <c r="M449" s="455"/>
      <c r="N449" s="456"/>
    </row>
    <row r="450" spans="1:14" x14ac:dyDescent="0.2">
      <c r="A450" s="105"/>
      <c r="B450" s="107"/>
      <c r="C450" s="455"/>
      <c r="D450" s="455"/>
      <c r="E450" s="455"/>
      <c r="F450" s="455"/>
      <c r="G450" s="455"/>
      <c r="H450" s="455"/>
      <c r="I450" s="455"/>
      <c r="J450" s="455"/>
      <c r="K450" s="455"/>
      <c r="L450" s="455"/>
      <c r="M450" s="455"/>
      <c r="N450" s="456"/>
    </row>
    <row r="451" spans="1:14" x14ac:dyDescent="0.2">
      <c r="A451" s="105"/>
      <c r="B451" s="98"/>
      <c r="C451" s="455"/>
      <c r="D451" s="455"/>
      <c r="E451" s="455"/>
      <c r="F451" s="455"/>
      <c r="G451" s="455"/>
      <c r="H451" s="455"/>
      <c r="I451" s="455"/>
      <c r="J451" s="455"/>
      <c r="K451" s="455"/>
      <c r="L451" s="455"/>
      <c r="M451" s="455"/>
      <c r="N451" s="456"/>
    </row>
    <row r="452" spans="1:14" x14ac:dyDescent="0.2">
      <c r="A452" s="105"/>
      <c r="B452" s="107" t="s">
        <v>426</v>
      </c>
      <c r="C452" s="98"/>
      <c r="D452" s="98"/>
      <c r="E452" s="99"/>
      <c r="F452" s="99"/>
      <c r="G452" s="99"/>
      <c r="H452" s="99"/>
      <c r="I452" s="99"/>
      <c r="J452" s="99"/>
      <c r="K452" s="99"/>
      <c r="L452" s="99"/>
      <c r="M452" s="99"/>
      <c r="N452" s="90"/>
    </row>
    <row r="453" spans="1:14" ht="13.5" thickBot="1" x14ac:dyDescent="0.25">
      <c r="A453" s="105"/>
      <c r="B453" s="107" t="s">
        <v>430</v>
      </c>
      <c r="C453" s="98"/>
      <c r="D453" s="98"/>
      <c r="E453" s="99"/>
      <c r="F453" s="99"/>
      <c r="G453" s="99"/>
      <c r="H453" s="99"/>
      <c r="I453" s="99"/>
      <c r="J453" s="99"/>
      <c r="K453" s="99"/>
      <c r="L453" s="99"/>
      <c r="M453" s="99"/>
      <c r="N453" s="90"/>
    </row>
    <row r="454" spans="1:14" x14ac:dyDescent="0.2">
      <c r="A454" s="101"/>
      <c r="B454" s="102" t="s">
        <v>263</v>
      </c>
      <c r="C454" s="102"/>
      <c r="D454" s="102"/>
      <c r="E454" s="103"/>
      <c r="F454" s="103"/>
      <c r="G454" s="103"/>
      <c r="H454" s="103"/>
      <c r="I454" s="103"/>
      <c r="J454" s="113" t="s">
        <v>1596</v>
      </c>
      <c r="K454" s="113"/>
      <c r="L454" s="113" t="s">
        <v>1399</v>
      </c>
      <c r="M454" s="113"/>
      <c r="N454" s="113"/>
    </row>
    <row r="455" spans="1:14" ht="13.5" thickBot="1" x14ac:dyDescent="0.25">
      <c r="A455" s="108"/>
      <c r="B455" s="109"/>
      <c r="C455" s="109"/>
      <c r="D455" s="109"/>
      <c r="E455" s="110"/>
      <c r="F455" s="110"/>
      <c r="G455" s="110"/>
      <c r="H455" s="110"/>
      <c r="I455" s="110"/>
      <c r="J455" s="94" t="s">
        <v>481</v>
      </c>
      <c r="K455" s="94" t="s">
        <v>2120</v>
      </c>
      <c r="L455" s="94" t="s">
        <v>81</v>
      </c>
      <c r="M455" s="94" t="s">
        <v>1419</v>
      </c>
      <c r="N455" s="94"/>
    </row>
    <row r="456" spans="1:14" x14ac:dyDescent="0.2">
      <c r="A456" s="101"/>
      <c r="B456" s="448" t="s">
        <v>522</v>
      </c>
      <c r="C456" s="448"/>
      <c r="D456" s="448"/>
      <c r="E456" s="103"/>
      <c r="F456" s="103" t="s">
        <v>518</v>
      </c>
      <c r="G456" s="103" t="s">
        <v>68</v>
      </c>
      <c r="H456" s="103" t="s">
        <v>702</v>
      </c>
      <c r="I456" s="103"/>
      <c r="J456" s="113">
        <f>61.7/ATHENS!O1*ATHENS!O2</f>
        <v>125.91836734693878</v>
      </c>
      <c r="K456" s="113">
        <f>117.7/ATHENS!O1*ATHENS!O2</f>
        <v>240.20408163265307</v>
      </c>
      <c r="L456" s="113">
        <f>151.8/ATHENS!O1*ATHENS!O2</f>
        <v>309.79591836734699</v>
      </c>
      <c r="M456" s="113">
        <f>193.9/ATHENS!O1*ATHENS!O2</f>
        <v>395.71428571428572</v>
      </c>
      <c r="N456" s="113"/>
    </row>
    <row r="457" spans="1:14" ht="13.5" thickBot="1" x14ac:dyDescent="0.25">
      <c r="A457" s="108"/>
      <c r="B457" s="436" t="s">
        <v>285</v>
      </c>
      <c r="C457" s="436"/>
      <c r="D457" s="436"/>
      <c r="E457" s="110"/>
      <c r="F457" s="110" t="s">
        <v>518</v>
      </c>
      <c r="G457" s="110" t="s">
        <v>68</v>
      </c>
      <c r="H457" s="110" t="s">
        <v>702</v>
      </c>
      <c r="I457" s="110"/>
      <c r="J457" s="94">
        <f>78.5/ATHENS!O1*ATHENS!O2</f>
        <v>160.20408163265307</v>
      </c>
      <c r="K457" s="94">
        <f>138.5/ATHENS!O1*ATHENS!O2</f>
        <v>282.65306122448982</v>
      </c>
      <c r="L457" s="94">
        <f>181.5/ATHENS!O1*ATHENS!O2</f>
        <v>370.40816326530614</v>
      </c>
      <c r="M457" s="94">
        <f>236.5/ATHENS!O1*ATHENS!O2</f>
        <v>482.65306122448982</v>
      </c>
      <c r="N457" s="94"/>
    </row>
    <row r="458" spans="1:14" ht="13.5" thickBot="1" x14ac:dyDescent="0.25">
      <c r="A458" s="97"/>
      <c r="B458" s="98"/>
      <c r="C458" s="98"/>
      <c r="D458" s="98"/>
      <c r="E458" s="99"/>
      <c r="F458" s="99"/>
      <c r="G458" s="99"/>
      <c r="H458" s="99"/>
      <c r="I458" s="99"/>
      <c r="J458" s="99"/>
      <c r="K458" s="99"/>
      <c r="L458" s="99"/>
      <c r="M458" s="99"/>
      <c r="N458" s="99"/>
    </row>
    <row r="459" spans="1:14" ht="13.5" thickBot="1" x14ac:dyDescent="0.25">
      <c r="A459" s="101"/>
      <c r="B459" s="102"/>
      <c r="C459" s="102"/>
      <c r="D459" s="102"/>
      <c r="E459" s="103"/>
      <c r="F459" s="103"/>
      <c r="G459" s="103"/>
      <c r="H459" s="103"/>
      <c r="I459" s="103"/>
      <c r="J459" s="103"/>
      <c r="K459" s="103"/>
      <c r="L459" s="103"/>
      <c r="M459" s="103"/>
      <c r="N459" s="104"/>
    </row>
    <row r="460" spans="1:14" ht="15.75" thickBot="1" x14ac:dyDescent="0.25">
      <c r="A460" s="105"/>
      <c r="B460" s="459" t="s">
        <v>557</v>
      </c>
      <c r="C460" s="460"/>
      <c r="D460" s="460"/>
      <c r="E460" s="460"/>
      <c r="F460" s="460"/>
      <c r="G460" s="460"/>
      <c r="H460" s="460"/>
      <c r="I460" s="460"/>
      <c r="J460" s="460"/>
      <c r="K460" s="460"/>
      <c r="L460" s="460"/>
      <c r="M460" s="461"/>
      <c r="N460" s="106" t="s">
        <v>96</v>
      </c>
    </row>
    <row r="461" spans="1:14" x14ac:dyDescent="0.2">
      <c r="A461" s="105"/>
      <c r="B461" s="107" t="s">
        <v>428</v>
      </c>
      <c r="C461" s="98" t="s">
        <v>1346</v>
      </c>
      <c r="D461" s="98"/>
      <c r="E461" s="99"/>
      <c r="F461" s="99"/>
      <c r="G461" s="99"/>
      <c r="H461" s="99"/>
      <c r="I461" s="99"/>
      <c r="J461" s="99"/>
      <c r="K461" s="99"/>
      <c r="L461" s="99"/>
      <c r="M461" s="99"/>
      <c r="N461" s="90"/>
    </row>
    <row r="462" spans="1:14" x14ac:dyDescent="0.2">
      <c r="A462" s="105"/>
      <c r="B462" s="107" t="s">
        <v>429</v>
      </c>
      <c r="C462" s="98" t="s">
        <v>307</v>
      </c>
      <c r="D462" s="98"/>
      <c r="E462" s="99"/>
      <c r="F462" s="99"/>
      <c r="G462" s="99"/>
      <c r="H462" s="99"/>
      <c r="I462" s="99"/>
      <c r="J462" s="99"/>
      <c r="K462" s="99"/>
      <c r="L462" s="99"/>
      <c r="M462" s="99"/>
      <c r="N462" s="90"/>
    </row>
    <row r="463" spans="1:14" x14ac:dyDescent="0.2">
      <c r="A463" s="105"/>
      <c r="B463" s="107" t="s">
        <v>427</v>
      </c>
      <c r="C463" s="455" t="s">
        <v>1613</v>
      </c>
      <c r="D463" s="455"/>
      <c r="E463" s="455"/>
      <c r="F463" s="455"/>
      <c r="G463" s="455"/>
      <c r="H463" s="455"/>
      <c r="I463" s="455"/>
      <c r="J463" s="455"/>
      <c r="K463" s="455"/>
      <c r="L463" s="455"/>
      <c r="M463" s="455"/>
      <c r="N463" s="456"/>
    </row>
    <row r="464" spans="1:14" x14ac:dyDescent="0.2">
      <c r="A464" s="105"/>
      <c r="B464" s="107"/>
      <c r="C464" s="455"/>
      <c r="D464" s="455"/>
      <c r="E464" s="455"/>
      <c r="F464" s="455"/>
      <c r="G464" s="455"/>
      <c r="H464" s="455"/>
      <c r="I464" s="455"/>
      <c r="J464" s="455"/>
      <c r="K464" s="455"/>
      <c r="L464" s="455"/>
      <c r="M464" s="455"/>
      <c r="N464" s="456"/>
    </row>
    <row r="465" spans="1:14" x14ac:dyDescent="0.2">
      <c r="A465" s="105"/>
      <c r="B465" s="107"/>
      <c r="C465" s="455"/>
      <c r="D465" s="455"/>
      <c r="E465" s="455"/>
      <c r="F465" s="455"/>
      <c r="G465" s="455"/>
      <c r="H465" s="455"/>
      <c r="I465" s="455"/>
      <c r="J465" s="455"/>
      <c r="K465" s="455"/>
      <c r="L465" s="455"/>
      <c r="M465" s="455"/>
      <c r="N465" s="456"/>
    </row>
    <row r="466" spans="1:14" x14ac:dyDescent="0.2">
      <c r="A466" s="105"/>
      <c r="B466" s="107" t="s">
        <v>426</v>
      </c>
      <c r="C466" s="98"/>
      <c r="D466" s="98"/>
      <c r="E466" s="99"/>
      <c r="F466" s="99"/>
      <c r="G466" s="99"/>
      <c r="H466" s="99"/>
      <c r="I466" s="99"/>
      <c r="J466" s="99"/>
      <c r="K466" s="99"/>
      <c r="L466" s="99"/>
      <c r="M466" s="99"/>
      <c r="N466" s="90"/>
    </row>
    <row r="467" spans="1:14" ht="13.5" thickBot="1" x14ac:dyDescent="0.25">
      <c r="A467" s="105"/>
      <c r="B467" s="107" t="s">
        <v>430</v>
      </c>
      <c r="C467" s="98"/>
      <c r="D467" s="98"/>
      <c r="E467" s="99"/>
      <c r="F467" s="99"/>
      <c r="G467" s="99"/>
      <c r="H467" s="99"/>
      <c r="I467" s="99"/>
      <c r="J467" s="99"/>
      <c r="K467" s="99"/>
      <c r="L467" s="99"/>
      <c r="M467" s="99"/>
      <c r="N467" s="90"/>
    </row>
    <row r="468" spans="1:14" x14ac:dyDescent="0.2">
      <c r="A468" s="101"/>
      <c r="B468" s="102" t="s">
        <v>263</v>
      </c>
      <c r="C468" s="102"/>
      <c r="D468" s="102"/>
      <c r="E468" s="103"/>
      <c r="F468" s="103"/>
      <c r="G468" s="103"/>
      <c r="H468" s="103"/>
      <c r="I468" s="103"/>
      <c r="J468" s="114" t="s">
        <v>753</v>
      </c>
      <c r="K468" s="113"/>
      <c r="L468" s="113"/>
      <c r="M468" s="113"/>
      <c r="N468" s="113"/>
    </row>
    <row r="469" spans="1:14" ht="13.5" thickBot="1" x14ac:dyDescent="0.25">
      <c r="A469" s="108"/>
      <c r="B469" s="109"/>
      <c r="C469" s="109"/>
      <c r="D469" s="109"/>
      <c r="E469" s="110"/>
      <c r="F469" s="110"/>
      <c r="G469" s="110"/>
      <c r="H469" s="110"/>
      <c r="I469" s="110"/>
      <c r="J469" s="112" t="s">
        <v>481</v>
      </c>
      <c r="K469" s="94" t="s">
        <v>1957</v>
      </c>
      <c r="L469" s="94" t="s">
        <v>1958</v>
      </c>
      <c r="M469" s="94"/>
      <c r="N469" s="94"/>
    </row>
    <row r="470" spans="1:14" x14ac:dyDescent="0.2">
      <c r="A470" s="101"/>
      <c r="B470" s="448" t="s">
        <v>1339</v>
      </c>
      <c r="C470" s="448"/>
      <c r="D470" s="448"/>
      <c r="E470" s="103"/>
      <c r="F470" s="103" t="s">
        <v>1180</v>
      </c>
      <c r="G470" s="103" t="s">
        <v>68</v>
      </c>
      <c r="H470" s="103" t="s">
        <v>702</v>
      </c>
      <c r="I470" s="103"/>
      <c r="J470" s="89">
        <f>73/ATHENS!O1*ATHENS!O2</f>
        <v>148.9795918367347</v>
      </c>
      <c r="K470" s="89">
        <f>103/ATHENS!O1*ATHENS!O2</f>
        <v>210.20408163265307</v>
      </c>
      <c r="L470" s="89">
        <f>125/ATHENS!O1*ATHENS!O2</f>
        <v>255.10204081632654</v>
      </c>
      <c r="M470" s="89"/>
      <c r="N470" s="89"/>
    </row>
    <row r="471" spans="1:14" x14ac:dyDescent="0.2">
      <c r="A471" s="105"/>
      <c r="B471" s="443" t="s">
        <v>1340</v>
      </c>
      <c r="C471" s="443"/>
      <c r="D471" s="443"/>
      <c r="E471" s="99"/>
      <c r="F471" s="99" t="s">
        <v>1181</v>
      </c>
      <c r="G471" s="99" t="s">
        <v>68</v>
      </c>
      <c r="H471" s="99" t="s">
        <v>702</v>
      </c>
      <c r="I471" s="99"/>
      <c r="J471" s="89">
        <f>44.5/ATHENS!O1*ATHENS!O2</f>
        <v>90.816326530612244</v>
      </c>
      <c r="K471" s="89">
        <f>60/ATHENS!O1*ATHENS!O2</f>
        <v>122.44897959183673</v>
      </c>
      <c r="L471" s="89">
        <f>74/ATHENS!O1*ATHENS!O2</f>
        <v>151.0204081632653</v>
      </c>
      <c r="M471" s="89"/>
      <c r="N471" s="89"/>
    </row>
    <row r="472" spans="1:14" ht="13.5" thickBot="1" x14ac:dyDescent="0.25">
      <c r="A472" s="108"/>
      <c r="B472" s="109" t="s">
        <v>1098</v>
      </c>
      <c r="C472" s="109"/>
      <c r="D472" s="109"/>
      <c r="E472" s="110"/>
      <c r="F472" s="110" t="s">
        <v>1182</v>
      </c>
      <c r="G472" s="110" t="s">
        <v>68</v>
      </c>
      <c r="H472" s="110" t="s">
        <v>702</v>
      </c>
      <c r="I472" s="110"/>
      <c r="J472" s="94">
        <f>38/ATHENS!O1*ATHENS!O2</f>
        <v>77.551020408163268</v>
      </c>
      <c r="K472" s="94">
        <f>48.5/ATHENS!O1*ATHENS!O2</f>
        <v>98.979591836734699</v>
      </c>
      <c r="L472" s="94">
        <f>58.5/ATHENS!O1*ATHENS!O2</f>
        <v>119.38775510204081</v>
      </c>
      <c r="M472" s="94"/>
      <c r="N472" s="94"/>
    </row>
    <row r="473" spans="1:14" ht="13.5" thickBot="1" x14ac:dyDescent="0.25">
      <c r="A473" s="97"/>
      <c r="B473" s="98"/>
      <c r="C473" s="98"/>
      <c r="D473" s="98"/>
      <c r="E473" s="99"/>
      <c r="F473" s="99"/>
      <c r="G473" s="99"/>
      <c r="H473" s="99"/>
      <c r="I473" s="99"/>
      <c r="J473" s="99"/>
      <c r="K473" s="99"/>
      <c r="L473" s="99"/>
      <c r="M473" s="99"/>
      <c r="N473" s="99"/>
    </row>
    <row r="474" spans="1:14" ht="13.5" thickBot="1" x14ac:dyDescent="0.25">
      <c r="A474" s="101"/>
      <c r="B474" s="102"/>
      <c r="C474" s="102"/>
      <c r="D474" s="102"/>
      <c r="E474" s="103"/>
      <c r="F474" s="103"/>
      <c r="G474" s="103"/>
      <c r="H474" s="103"/>
      <c r="I474" s="103"/>
      <c r="J474" s="103"/>
      <c r="K474" s="103"/>
      <c r="L474" s="103"/>
      <c r="M474" s="103"/>
      <c r="N474" s="104"/>
    </row>
    <row r="475" spans="1:14" ht="15.75" thickBot="1" x14ac:dyDescent="0.25">
      <c r="A475" s="105"/>
      <c r="B475" s="459" t="s">
        <v>165</v>
      </c>
      <c r="C475" s="460"/>
      <c r="D475" s="460"/>
      <c r="E475" s="460"/>
      <c r="F475" s="460"/>
      <c r="G475" s="460"/>
      <c r="H475" s="460"/>
      <c r="I475" s="460"/>
      <c r="J475" s="460"/>
      <c r="K475" s="460"/>
      <c r="L475" s="460"/>
      <c r="M475" s="461"/>
      <c r="N475" s="106" t="s">
        <v>96</v>
      </c>
    </row>
    <row r="476" spans="1:14" x14ac:dyDescent="0.2">
      <c r="A476" s="105"/>
      <c r="B476" s="107" t="s">
        <v>428</v>
      </c>
      <c r="C476" s="98" t="s">
        <v>1346</v>
      </c>
      <c r="D476" s="98"/>
      <c r="E476" s="99"/>
      <c r="F476" s="99"/>
      <c r="G476" s="99"/>
      <c r="H476" s="99"/>
      <c r="I476" s="99"/>
      <c r="J476" s="99"/>
      <c r="K476" s="99"/>
      <c r="L476" s="99"/>
      <c r="M476" s="99"/>
      <c r="N476" s="90"/>
    </row>
    <row r="477" spans="1:14" x14ac:dyDescent="0.2">
      <c r="A477" s="105"/>
      <c r="B477" s="107" t="s">
        <v>429</v>
      </c>
      <c r="C477" s="98" t="s">
        <v>166</v>
      </c>
      <c r="D477" s="98"/>
      <c r="E477" s="99"/>
      <c r="F477" s="99"/>
      <c r="G477" s="99"/>
      <c r="H477" s="99"/>
      <c r="I477" s="99"/>
      <c r="J477" s="99"/>
      <c r="K477" s="99"/>
      <c r="L477" s="99"/>
      <c r="M477" s="99"/>
      <c r="N477" s="90"/>
    </row>
    <row r="478" spans="1:14" x14ac:dyDescent="0.2">
      <c r="A478" s="105"/>
      <c r="B478" s="107" t="s">
        <v>427</v>
      </c>
      <c r="C478" s="455" t="s">
        <v>1614</v>
      </c>
      <c r="D478" s="455"/>
      <c r="E478" s="455"/>
      <c r="F478" s="455"/>
      <c r="G478" s="455"/>
      <c r="H478" s="455"/>
      <c r="I478" s="455"/>
      <c r="J478" s="455"/>
      <c r="K478" s="455"/>
      <c r="L478" s="455"/>
      <c r="M478" s="455"/>
      <c r="N478" s="456"/>
    </row>
    <row r="479" spans="1:14" x14ac:dyDescent="0.2">
      <c r="A479" s="105"/>
      <c r="B479" s="98"/>
      <c r="C479" s="455"/>
      <c r="D479" s="455"/>
      <c r="E479" s="455"/>
      <c r="F479" s="455"/>
      <c r="G479" s="455"/>
      <c r="H479" s="455"/>
      <c r="I479" s="455"/>
      <c r="J479" s="455"/>
      <c r="K479" s="455"/>
      <c r="L479" s="455"/>
      <c r="M479" s="455"/>
      <c r="N479" s="456"/>
    </row>
    <row r="480" spans="1:14" x14ac:dyDescent="0.2">
      <c r="A480" s="105"/>
      <c r="B480" s="107" t="s">
        <v>426</v>
      </c>
      <c r="C480" s="98" t="s">
        <v>420</v>
      </c>
      <c r="D480" s="98"/>
      <c r="E480" s="99"/>
      <c r="F480" s="99"/>
      <c r="G480" s="99"/>
      <c r="H480" s="99"/>
      <c r="I480" s="99"/>
      <c r="J480" s="99"/>
      <c r="K480" s="99"/>
      <c r="L480" s="99"/>
      <c r="M480" s="99"/>
      <c r="N480" s="90"/>
    </row>
    <row r="481" spans="1:14" ht="13.5" thickBot="1" x14ac:dyDescent="0.25">
      <c r="A481" s="105"/>
      <c r="B481" s="107" t="s">
        <v>430</v>
      </c>
      <c r="C481" s="98"/>
      <c r="D481" s="98"/>
      <c r="E481" s="99"/>
      <c r="F481" s="99"/>
      <c r="G481" s="99"/>
      <c r="H481" s="99"/>
      <c r="I481" s="99"/>
      <c r="J481" s="99"/>
      <c r="K481" s="99"/>
      <c r="L481" s="99"/>
      <c r="M481" s="99"/>
      <c r="N481" s="90"/>
    </row>
    <row r="482" spans="1:14" ht="13.5" thickBot="1" x14ac:dyDescent="0.25">
      <c r="A482" s="101"/>
      <c r="B482" s="102" t="s">
        <v>263</v>
      </c>
      <c r="C482" s="102"/>
      <c r="D482" s="102"/>
      <c r="E482" s="103"/>
      <c r="F482" s="103"/>
      <c r="G482" s="103"/>
      <c r="H482" s="103"/>
      <c r="I482" s="103"/>
      <c r="K482" s="113" t="s">
        <v>758</v>
      </c>
      <c r="L482" s="113" t="s">
        <v>187</v>
      </c>
      <c r="N482" s="113"/>
    </row>
    <row r="483" spans="1:14" ht="13.5" thickBot="1" x14ac:dyDescent="0.25">
      <c r="A483" s="108"/>
      <c r="B483" s="109"/>
      <c r="C483" s="109"/>
      <c r="D483" s="109"/>
      <c r="E483" s="110"/>
      <c r="F483" s="110"/>
      <c r="G483" s="110"/>
      <c r="H483" s="110"/>
      <c r="I483" s="110"/>
      <c r="J483" s="114" t="s">
        <v>753</v>
      </c>
      <c r="K483" s="94" t="s">
        <v>481</v>
      </c>
      <c r="L483" s="94" t="s">
        <v>482</v>
      </c>
      <c r="M483" s="113" t="s">
        <v>188</v>
      </c>
      <c r="N483" s="94"/>
    </row>
    <row r="484" spans="1:14" x14ac:dyDescent="0.2">
      <c r="A484" s="101"/>
      <c r="B484" s="448" t="s">
        <v>67</v>
      </c>
      <c r="C484" s="448"/>
      <c r="D484" s="448"/>
      <c r="E484" s="103"/>
      <c r="F484" s="103" t="s">
        <v>1180</v>
      </c>
      <c r="G484" s="103" t="s">
        <v>68</v>
      </c>
      <c r="H484" s="103" t="s">
        <v>702</v>
      </c>
      <c r="I484" s="103"/>
      <c r="J484" s="89">
        <f>110/ATHENS!O1*ATHENS!O2</f>
        <v>224.48979591836735</v>
      </c>
      <c r="K484" s="89">
        <f>138/ATHENS!O1*ATHENS!O2</f>
        <v>281.63265306122452</v>
      </c>
      <c r="L484" s="89">
        <f>173/ATHENS!O1*ATHENS!O2</f>
        <v>353.0612244897959</v>
      </c>
      <c r="M484" s="89">
        <f>204/ATHENS!O1*ATHENS!O2</f>
        <v>416.32653061224488</v>
      </c>
      <c r="N484" s="113"/>
    </row>
    <row r="485" spans="1:14" x14ac:dyDescent="0.2">
      <c r="A485" s="105"/>
      <c r="B485" s="443" t="s">
        <v>67</v>
      </c>
      <c r="C485" s="443"/>
      <c r="D485" s="443"/>
      <c r="E485" s="99"/>
      <c r="F485" s="99" t="s">
        <v>1181</v>
      </c>
      <c r="G485" s="99" t="s">
        <v>68</v>
      </c>
      <c r="H485" s="99" t="s">
        <v>702</v>
      </c>
      <c r="I485" s="99"/>
      <c r="J485" s="89">
        <f>55/ATHENS!O1*ATHENS!O2</f>
        <v>112.24489795918367</v>
      </c>
      <c r="K485" s="89">
        <f>69/ATHENS!O1*ATHENS!O2</f>
        <v>140.81632653061226</v>
      </c>
      <c r="L485" s="89">
        <f>86.5/ATHENS!O1*ATHENS!O2</f>
        <v>176.53061224489795</v>
      </c>
      <c r="M485" s="89">
        <f>102/ATHENS!O1*ATHENS!O2</f>
        <v>208.16326530612244</v>
      </c>
      <c r="N485" s="89"/>
    </row>
    <row r="486" spans="1:14" ht="13.5" thickBot="1" x14ac:dyDescent="0.25">
      <c r="A486" s="108"/>
      <c r="B486" s="436" t="s">
        <v>67</v>
      </c>
      <c r="C486" s="436"/>
      <c r="D486" s="436"/>
      <c r="E486" s="110"/>
      <c r="F486" s="110" t="s">
        <v>1182</v>
      </c>
      <c r="G486" s="110" t="s">
        <v>68</v>
      </c>
      <c r="H486" s="110" t="s">
        <v>702</v>
      </c>
      <c r="I486" s="110"/>
      <c r="J486" s="94">
        <f>42/ATHENS!O1*ATHENS!O2</f>
        <v>85.714285714285722</v>
      </c>
      <c r="K486" s="94">
        <f>52.6/ATHENS!O1*ATHENS!O2</f>
        <v>107.34693877551021</v>
      </c>
      <c r="L486" s="94">
        <f>64/ATHENS!O1*ATHENS!O2</f>
        <v>130.61224489795919</v>
      </c>
      <c r="M486" s="94">
        <f>80.6/ATHENS!O1*ATHENS!O2</f>
        <v>164.48979591836735</v>
      </c>
      <c r="N486" s="94"/>
    </row>
    <row r="487" spans="1:14" ht="13.5" thickBot="1" x14ac:dyDescent="0.25">
      <c r="A487" s="97"/>
      <c r="B487" s="98"/>
      <c r="C487" s="98"/>
      <c r="D487" s="98"/>
      <c r="E487" s="99"/>
      <c r="F487" s="99"/>
      <c r="G487" s="99"/>
      <c r="H487" s="99"/>
      <c r="I487" s="99"/>
      <c r="J487" s="99"/>
      <c r="K487" s="99"/>
      <c r="L487" s="99"/>
      <c r="M487" s="99"/>
      <c r="N487" s="99"/>
    </row>
    <row r="488" spans="1:14" ht="13.5" thickBot="1" x14ac:dyDescent="0.25">
      <c r="A488" s="101"/>
      <c r="B488" s="102"/>
      <c r="C488" s="102"/>
      <c r="D488" s="102"/>
      <c r="E488" s="103"/>
      <c r="F488" s="103"/>
      <c r="G488" s="103"/>
      <c r="H488" s="103"/>
      <c r="I488" s="103"/>
      <c r="J488" s="103"/>
      <c r="K488" s="103"/>
      <c r="L488" s="103"/>
      <c r="M488" s="103"/>
      <c r="N488" s="104"/>
    </row>
    <row r="489" spans="1:14" ht="15.75" thickBot="1" x14ac:dyDescent="0.25">
      <c r="A489" s="105"/>
      <c r="B489" s="459" t="s">
        <v>1630</v>
      </c>
      <c r="C489" s="460"/>
      <c r="D489" s="460"/>
      <c r="E489" s="460"/>
      <c r="F489" s="460"/>
      <c r="G489" s="460"/>
      <c r="H489" s="460"/>
      <c r="I489" s="460"/>
      <c r="J489" s="460"/>
      <c r="K489" s="460"/>
      <c r="L489" s="460"/>
      <c r="M489" s="461"/>
      <c r="N489" s="106" t="s">
        <v>1164</v>
      </c>
    </row>
    <row r="490" spans="1:14" x14ac:dyDescent="0.2">
      <c r="A490" s="105"/>
      <c r="B490" s="107" t="s">
        <v>428</v>
      </c>
      <c r="C490" s="98" t="s">
        <v>1161</v>
      </c>
      <c r="D490" s="98"/>
      <c r="E490" s="99"/>
      <c r="F490" s="99"/>
      <c r="G490" s="99"/>
      <c r="H490" s="99"/>
      <c r="I490" s="99"/>
      <c r="J490" s="99"/>
      <c r="K490" s="99"/>
      <c r="L490" s="99"/>
      <c r="M490" s="99"/>
      <c r="N490" s="90"/>
    </row>
    <row r="491" spans="1:14" x14ac:dyDescent="0.2">
      <c r="A491" s="105"/>
      <c r="B491" s="107" t="s">
        <v>429</v>
      </c>
      <c r="C491" s="98" t="s">
        <v>769</v>
      </c>
      <c r="D491" s="98"/>
      <c r="E491" s="99"/>
      <c r="F491" s="99"/>
      <c r="G491" s="99"/>
      <c r="H491" s="99"/>
      <c r="I491" s="99"/>
      <c r="J491" s="99"/>
      <c r="K491" s="99"/>
      <c r="L491" s="99"/>
      <c r="M491" s="99"/>
      <c r="N491" s="90"/>
    </row>
    <row r="492" spans="1:14" x14ac:dyDescent="0.2">
      <c r="A492" s="105"/>
      <c r="B492" s="107" t="s">
        <v>427</v>
      </c>
      <c r="C492" s="455" t="s">
        <v>1615</v>
      </c>
      <c r="D492" s="455"/>
      <c r="E492" s="455"/>
      <c r="F492" s="455"/>
      <c r="G492" s="455"/>
      <c r="H492" s="455"/>
      <c r="I492" s="455"/>
      <c r="J492" s="455"/>
      <c r="K492" s="455"/>
      <c r="L492" s="455"/>
      <c r="M492" s="455"/>
      <c r="N492" s="456"/>
    </row>
    <row r="493" spans="1:14" x14ac:dyDescent="0.2">
      <c r="A493" s="105"/>
      <c r="B493" s="107"/>
      <c r="C493" s="455"/>
      <c r="D493" s="455"/>
      <c r="E493" s="455"/>
      <c r="F493" s="455"/>
      <c r="G493" s="455"/>
      <c r="H493" s="455"/>
      <c r="I493" s="455"/>
      <c r="J493" s="455"/>
      <c r="K493" s="455"/>
      <c r="L493" s="455"/>
      <c r="M493" s="455"/>
      <c r="N493" s="456"/>
    </row>
    <row r="494" spans="1:14" x14ac:dyDescent="0.2">
      <c r="A494" s="105"/>
      <c r="B494" s="98"/>
      <c r="C494" s="455"/>
      <c r="D494" s="455"/>
      <c r="E494" s="455"/>
      <c r="F494" s="455"/>
      <c r="G494" s="455"/>
      <c r="H494" s="455"/>
      <c r="I494" s="455"/>
      <c r="J494" s="455"/>
      <c r="K494" s="455"/>
      <c r="L494" s="455"/>
      <c r="M494" s="455"/>
      <c r="N494" s="456"/>
    </row>
    <row r="495" spans="1:14" x14ac:dyDescent="0.2">
      <c r="A495" s="105"/>
      <c r="B495" s="98"/>
      <c r="C495" s="455"/>
      <c r="D495" s="455"/>
      <c r="E495" s="455"/>
      <c r="F495" s="455"/>
      <c r="G495" s="455"/>
      <c r="H495" s="455"/>
      <c r="I495" s="455"/>
      <c r="J495" s="455"/>
      <c r="K495" s="455"/>
      <c r="L495" s="455"/>
      <c r="M495" s="455"/>
      <c r="N495" s="456"/>
    </row>
    <row r="496" spans="1:14" x14ac:dyDescent="0.2">
      <c r="A496" s="105"/>
      <c r="B496" s="107" t="s">
        <v>426</v>
      </c>
      <c r="C496" s="98" t="s">
        <v>929</v>
      </c>
      <c r="D496" s="98"/>
      <c r="E496" s="99"/>
      <c r="F496" s="99"/>
      <c r="G496" s="99"/>
      <c r="H496" s="99"/>
      <c r="I496" s="99"/>
      <c r="J496" s="99"/>
      <c r="K496" s="99"/>
      <c r="L496" s="99"/>
      <c r="M496" s="99"/>
      <c r="N496" s="90"/>
    </row>
    <row r="497" spans="1:14" ht="13.5" thickBot="1" x14ac:dyDescent="0.25">
      <c r="A497" s="105"/>
      <c r="B497" s="107" t="s">
        <v>430</v>
      </c>
      <c r="C497" s="98"/>
      <c r="D497" s="98"/>
      <c r="E497" s="99"/>
      <c r="F497" s="99"/>
      <c r="G497" s="99"/>
      <c r="H497" s="99"/>
      <c r="I497" s="99"/>
      <c r="J497" s="99"/>
      <c r="K497" s="99"/>
      <c r="L497" s="99"/>
      <c r="M497" s="99"/>
      <c r="N497" s="90"/>
    </row>
    <row r="498" spans="1:14" x14ac:dyDescent="0.2">
      <c r="A498" s="101"/>
      <c r="B498" s="102" t="s">
        <v>263</v>
      </c>
      <c r="C498" s="102"/>
      <c r="D498" s="102"/>
      <c r="E498" s="103"/>
      <c r="F498" s="103"/>
      <c r="G498" s="103"/>
      <c r="H498" s="103"/>
      <c r="I498" s="103"/>
      <c r="J498" s="114"/>
      <c r="K498" s="113" t="s">
        <v>397</v>
      </c>
      <c r="L498" s="113" t="s">
        <v>1558</v>
      </c>
      <c r="M498" s="113"/>
      <c r="N498" s="113"/>
    </row>
    <row r="499" spans="1:14" ht="13.5" thickBot="1" x14ac:dyDescent="0.25">
      <c r="A499" s="108"/>
      <c r="B499" s="109"/>
      <c r="C499" s="109"/>
      <c r="D499" s="109"/>
      <c r="E499" s="110"/>
      <c r="F499" s="110"/>
      <c r="G499" s="110"/>
      <c r="H499" s="110"/>
      <c r="I499" s="110"/>
      <c r="J499" s="112" t="s">
        <v>2113</v>
      </c>
      <c r="K499" s="94" t="s">
        <v>756</v>
      </c>
      <c r="L499" s="94" t="s">
        <v>432</v>
      </c>
      <c r="M499" s="94" t="s">
        <v>221</v>
      </c>
      <c r="N499" s="94"/>
    </row>
    <row r="500" spans="1:14" x14ac:dyDescent="0.2">
      <c r="A500" s="101"/>
      <c r="B500" s="448" t="s">
        <v>874</v>
      </c>
      <c r="C500" s="448"/>
      <c r="D500" s="448"/>
      <c r="E500" s="103"/>
      <c r="F500" s="103" t="s">
        <v>518</v>
      </c>
      <c r="G500" s="103" t="s">
        <v>68</v>
      </c>
      <c r="H500" s="103" t="s">
        <v>1184</v>
      </c>
      <c r="I500" s="103"/>
      <c r="J500" s="89">
        <f>145.5/ATHENS!O1*ATHENS!O2</f>
        <v>296.9387755102041</v>
      </c>
      <c r="K500" s="89">
        <f>185.5/ATHENS!O1*ATHENS!O2</f>
        <v>378.57142857142856</v>
      </c>
      <c r="L500" s="89">
        <f>214.6/ATHENS!O1*ATHENS!O2</f>
        <v>437.9591836734694</v>
      </c>
      <c r="M500" s="89">
        <f>273.6/ATHENS!O1*ATHENS!O2</f>
        <v>558.36734693877554</v>
      </c>
      <c r="N500" s="113"/>
    </row>
    <row r="501" spans="1:14" x14ac:dyDescent="0.2">
      <c r="A501" s="105"/>
      <c r="B501" s="443" t="s">
        <v>2112</v>
      </c>
      <c r="C501" s="443"/>
      <c r="D501" s="443"/>
      <c r="E501" s="99"/>
      <c r="F501" s="99" t="s">
        <v>518</v>
      </c>
      <c r="G501" s="99" t="s">
        <v>68</v>
      </c>
      <c r="H501" s="99" t="s">
        <v>1184</v>
      </c>
      <c r="I501" s="99"/>
      <c r="J501" s="89">
        <f>200.5/ATHENS!O1*ATHENS!O2</f>
        <v>409.18367346938777</v>
      </c>
      <c r="K501" s="89">
        <f>213.5/ATHENS!O1*ATHENS!O2</f>
        <v>435.71428571428572</v>
      </c>
      <c r="L501" s="89">
        <f>254.5/ATHENS!O1*ATHENS!O2</f>
        <v>519.38775510204084</v>
      </c>
      <c r="M501" s="89">
        <f>325.7/ATHENS!O1*ATHENS!O2</f>
        <v>664.69387755102036</v>
      </c>
      <c r="N501" s="89"/>
    </row>
    <row r="502" spans="1:14" x14ac:dyDescent="0.2">
      <c r="A502" s="105"/>
      <c r="B502" s="443" t="s">
        <v>875</v>
      </c>
      <c r="C502" s="443"/>
      <c r="D502" s="443"/>
      <c r="E502" s="99"/>
      <c r="F502" s="99" t="s">
        <v>1196</v>
      </c>
      <c r="G502" s="99" t="s">
        <v>68</v>
      </c>
      <c r="H502" s="99" t="s">
        <v>1184</v>
      </c>
      <c r="I502" s="99"/>
      <c r="J502" s="89">
        <f>251.5/ATHENS!O1*ATHENS!O2</f>
        <v>513.26530612244903</v>
      </c>
      <c r="K502" s="89">
        <f>271.5/ATHENS!O1*ATHENS!O2</f>
        <v>554.08163265306121</v>
      </c>
      <c r="L502" s="89">
        <f>315.5/ATHENS!O1*ATHENS!O2</f>
        <v>643.87755102040819</v>
      </c>
      <c r="M502" s="89">
        <f>378.8/ATHENS!O1*ATHENS!O2</f>
        <v>773.0612244897959</v>
      </c>
      <c r="N502" s="89"/>
    </row>
    <row r="503" spans="1:14" ht="13.5" thickBot="1" x14ac:dyDescent="0.25">
      <c r="A503" s="108"/>
      <c r="B503" s="436" t="s">
        <v>901</v>
      </c>
      <c r="C503" s="436"/>
      <c r="D503" s="436"/>
      <c r="E503" s="110"/>
      <c r="F503" s="110" t="s">
        <v>518</v>
      </c>
      <c r="G503" s="110" t="s">
        <v>68</v>
      </c>
      <c r="H503" s="110" t="s">
        <v>1184</v>
      </c>
      <c r="I503" s="110"/>
      <c r="J503" s="94">
        <f>276.5/ATHENS!O1*ATHENS!O2</f>
        <v>564.28571428571433</v>
      </c>
      <c r="K503" s="94">
        <f>308.5/ATHENS!O1*ATHENS!O2</f>
        <v>629.59183673469386</v>
      </c>
      <c r="L503" s="94">
        <f>353.6/ATHENS!O1*ATHENS!O2</f>
        <v>721.63265306122457</v>
      </c>
      <c r="M503" s="94">
        <f>409.9/ATHENS!O1*ATHENS!O2</f>
        <v>836.53061224489795</v>
      </c>
      <c r="N503" s="94"/>
    </row>
    <row r="504" spans="1:14" ht="13.5" thickBot="1" x14ac:dyDescent="0.25">
      <c r="A504" s="97"/>
      <c r="B504" s="98"/>
      <c r="C504" s="98"/>
      <c r="D504" s="98"/>
      <c r="E504" s="99"/>
      <c r="F504" s="99"/>
      <c r="G504" s="99"/>
      <c r="H504" s="99"/>
      <c r="I504" s="99"/>
      <c r="J504" s="99"/>
      <c r="K504" s="99"/>
      <c r="L504" s="99"/>
      <c r="M504" s="99"/>
      <c r="N504" s="99"/>
    </row>
    <row r="505" spans="1:14" ht="13.5" thickBot="1" x14ac:dyDescent="0.25">
      <c r="A505" s="101"/>
      <c r="B505" s="102"/>
      <c r="C505" s="102"/>
      <c r="D505" s="102"/>
      <c r="E505" s="103"/>
      <c r="F505" s="103"/>
      <c r="G505" s="103"/>
      <c r="H505" s="103"/>
      <c r="I505" s="103"/>
      <c r="J505" s="103"/>
      <c r="K505" s="103"/>
      <c r="L505" s="103"/>
      <c r="M505" s="103"/>
      <c r="N505" s="104"/>
    </row>
    <row r="506" spans="1:14" ht="15.75" thickBot="1" x14ac:dyDescent="0.25">
      <c r="A506" s="105"/>
      <c r="B506" s="459" t="s">
        <v>761</v>
      </c>
      <c r="C506" s="460"/>
      <c r="D506" s="460"/>
      <c r="E506" s="460"/>
      <c r="F506" s="460"/>
      <c r="G506" s="460"/>
      <c r="H506" s="460"/>
      <c r="I506" s="460"/>
      <c r="J506" s="460"/>
      <c r="K506" s="460"/>
      <c r="L506" s="460"/>
      <c r="M506" s="461"/>
      <c r="N506" s="106" t="s">
        <v>664</v>
      </c>
    </row>
    <row r="507" spans="1:14" x14ac:dyDescent="0.2">
      <c r="A507" s="105"/>
      <c r="B507" s="107" t="s">
        <v>428</v>
      </c>
      <c r="C507" s="98" t="s">
        <v>1219</v>
      </c>
      <c r="D507" s="98"/>
      <c r="E507" s="99"/>
      <c r="F507" s="99"/>
      <c r="G507" s="99"/>
      <c r="H507" s="99"/>
      <c r="I507" s="99"/>
      <c r="J507" s="99"/>
      <c r="K507" s="99"/>
      <c r="L507" s="99"/>
      <c r="M507" s="99"/>
      <c r="N507" s="90"/>
    </row>
    <row r="508" spans="1:14" x14ac:dyDescent="0.2">
      <c r="A508" s="105"/>
      <c r="B508" s="107" t="s">
        <v>429</v>
      </c>
      <c r="C508" s="98" t="s">
        <v>308</v>
      </c>
      <c r="D508" s="98"/>
      <c r="E508" s="99"/>
      <c r="F508" s="99"/>
      <c r="G508" s="99"/>
      <c r="H508" s="99"/>
      <c r="I508" s="99"/>
      <c r="J508" s="99"/>
      <c r="K508" s="99"/>
      <c r="L508" s="99"/>
      <c r="M508" s="99"/>
      <c r="N508" s="90"/>
    </row>
    <row r="509" spans="1:14" x14ac:dyDescent="0.2">
      <c r="A509" s="105"/>
      <c r="B509" s="107" t="s">
        <v>427</v>
      </c>
      <c r="C509" s="455" t="s">
        <v>1616</v>
      </c>
      <c r="D509" s="455"/>
      <c r="E509" s="455"/>
      <c r="F509" s="455"/>
      <c r="G509" s="455"/>
      <c r="H509" s="455"/>
      <c r="I509" s="455"/>
      <c r="J509" s="455"/>
      <c r="K509" s="455"/>
      <c r="L509" s="455"/>
      <c r="M509" s="455"/>
      <c r="N509" s="456"/>
    </row>
    <row r="510" spans="1:14" x14ac:dyDescent="0.2">
      <c r="A510" s="105"/>
      <c r="B510" s="98"/>
      <c r="C510" s="455"/>
      <c r="D510" s="455"/>
      <c r="E510" s="455"/>
      <c r="F510" s="455"/>
      <c r="G510" s="455"/>
      <c r="H510" s="455"/>
      <c r="I510" s="455"/>
      <c r="J510" s="455"/>
      <c r="K510" s="455"/>
      <c r="L510" s="455"/>
      <c r="M510" s="455"/>
      <c r="N510" s="456"/>
    </row>
    <row r="511" spans="1:14" x14ac:dyDescent="0.2">
      <c r="A511" s="105"/>
      <c r="B511" s="107" t="s">
        <v>426</v>
      </c>
      <c r="C511" s="98" t="s">
        <v>1444</v>
      </c>
      <c r="D511" s="98"/>
      <c r="E511" s="99"/>
      <c r="F511" s="99"/>
      <c r="G511" s="99"/>
      <c r="H511" s="99"/>
      <c r="I511" s="99"/>
      <c r="J511" s="99"/>
      <c r="K511" s="99"/>
      <c r="L511" s="99"/>
      <c r="M511" s="99"/>
      <c r="N511" s="90"/>
    </row>
    <row r="512" spans="1:14" ht="13.5" thickBot="1" x14ac:dyDescent="0.25">
      <c r="A512" s="105"/>
      <c r="B512" s="107" t="s">
        <v>430</v>
      </c>
      <c r="C512" s="98" t="s">
        <v>1445</v>
      </c>
      <c r="D512" s="98"/>
      <c r="E512" s="99"/>
      <c r="F512" s="99"/>
      <c r="G512" s="99"/>
      <c r="H512" s="99"/>
      <c r="I512" s="99"/>
      <c r="J512" s="99"/>
      <c r="K512" s="99"/>
      <c r="L512" s="99"/>
      <c r="M512" s="99"/>
      <c r="N512" s="90"/>
    </row>
    <row r="513" spans="1:14" x14ac:dyDescent="0.2">
      <c r="A513" s="101"/>
      <c r="B513" s="102" t="s">
        <v>263</v>
      </c>
      <c r="C513" s="102"/>
      <c r="D513" s="102"/>
      <c r="E513" s="103"/>
      <c r="F513" s="103"/>
      <c r="G513" s="103"/>
      <c r="H513" s="103"/>
      <c r="I513" s="103"/>
      <c r="J513" s="113" t="s">
        <v>758</v>
      </c>
      <c r="K513" s="113" t="s">
        <v>279</v>
      </c>
      <c r="L513" s="113"/>
      <c r="M513" s="113"/>
      <c r="N513" s="113"/>
    </row>
    <row r="514" spans="1:14" ht="13.5" thickBot="1" x14ac:dyDescent="0.25">
      <c r="A514" s="108"/>
      <c r="B514" s="109"/>
      <c r="C514" s="109"/>
      <c r="D514" s="109"/>
      <c r="E514" s="110"/>
      <c r="F514" s="110"/>
      <c r="G514" s="110"/>
      <c r="H514" s="110"/>
      <c r="I514" s="110"/>
      <c r="J514" s="94" t="s">
        <v>341</v>
      </c>
      <c r="K514" s="94" t="s">
        <v>520</v>
      </c>
      <c r="L514" s="94" t="s">
        <v>74</v>
      </c>
      <c r="M514" s="94" t="s">
        <v>297</v>
      </c>
      <c r="N514" s="94" t="s">
        <v>123</v>
      </c>
    </row>
    <row r="515" spans="1:14" x14ac:dyDescent="0.2">
      <c r="A515" s="101"/>
      <c r="B515" s="448" t="s">
        <v>67</v>
      </c>
      <c r="C515" s="448"/>
      <c r="D515" s="448"/>
      <c r="E515" s="103"/>
      <c r="F515" s="103" t="s">
        <v>1180</v>
      </c>
      <c r="G515" s="103" t="s">
        <v>68</v>
      </c>
      <c r="H515" s="103" t="s">
        <v>702</v>
      </c>
      <c r="I515" s="103"/>
      <c r="J515" s="113">
        <f>48.5/ATHENS!O1*ATHENS!O2</f>
        <v>98.979591836734699</v>
      </c>
      <c r="K515" s="113">
        <f>59/ATHENS!O1*ATHENS!O2</f>
        <v>120.40816326530613</v>
      </c>
      <c r="L515" s="113">
        <f>75/ATHENS!O1*ATHENS!O2</f>
        <v>153.06122448979593</v>
      </c>
      <c r="M515" s="113">
        <f>91/ATHENS!O1*ATHENS!O2</f>
        <v>185.71428571428572</v>
      </c>
      <c r="N515" s="113">
        <f>101.5/ATHENS!O1*ATHENS!O2</f>
        <v>207.14285714285714</v>
      </c>
    </row>
    <row r="516" spans="1:14" x14ac:dyDescent="0.2">
      <c r="A516" s="105"/>
      <c r="B516" s="443" t="s">
        <v>67</v>
      </c>
      <c r="C516" s="443"/>
      <c r="D516" s="443"/>
      <c r="E516" s="99"/>
      <c r="F516" s="99" t="s">
        <v>1181</v>
      </c>
      <c r="G516" s="99" t="s">
        <v>68</v>
      </c>
      <c r="H516" s="99" t="s">
        <v>702</v>
      </c>
      <c r="I516" s="99"/>
      <c r="J516" s="89">
        <f>24.5/ATHENS!O1*ATHENS!O2</f>
        <v>50</v>
      </c>
      <c r="K516" s="89">
        <f>29.5/ATHENS!O1*ATHENS!O2</f>
        <v>60.204081632653065</v>
      </c>
      <c r="L516" s="89">
        <f>37.5/ATHENS!O1*ATHENS!O2</f>
        <v>76.530612244897966</v>
      </c>
      <c r="M516" s="89">
        <f>45.5/ATHENS!O1*ATHENS!O2</f>
        <v>92.857142857142861</v>
      </c>
      <c r="N516" s="89">
        <f>50.7/ATHENS!O1*ATHENS!O2</f>
        <v>103.46938775510205</v>
      </c>
    </row>
    <row r="517" spans="1:14" ht="13.5" thickBot="1" x14ac:dyDescent="0.25">
      <c r="A517" s="108"/>
      <c r="B517" s="436" t="s">
        <v>67</v>
      </c>
      <c r="C517" s="436"/>
      <c r="D517" s="436"/>
      <c r="E517" s="110"/>
      <c r="F517" s="110" t="s">
        <v>1182</v>
      </c>
      <c r="G517" s="110" t="s">
        <v>68</v>
      </c>
      <c r="H517" s="110" t="s">
        <v>702</v>
      </c>
      <c r="I517" s="110"/>
      <c r="J517" s="94">
        <f>25/ATHENS!O1*ATHENS!O2</f>
        <v>51.020408163265309</v>
      </c>
      <c r="K517" s="94">
        <f>28.5/ATHENS!O1*ATHENS!O2</f>
        <v>58.163265306122447</v>
      </c>
      <c r="L517" s="94">
        <f>32/ATHENS!O1*ATHENS!O2</f>
        <v>65.306122448979593</v>
      </c>
      <c r="M517" s="94">
        <f>42.5/ATHENS!O1*ATHENS!O2</f>
        <v>86.734693877551024</v>
      </c>
      <c r="N517" s="94">
        <f>43.8/ATHENS!O1*ATHENS!O2</f>
        <v>89.387755102040813</v>
      </c>
    </row>
    <row r="518" spans="1:14" ht="15.75" thickBot="1" x14ac:dyDescent="0.25">
      <c r="A518" s="97"/>
      <c r="B518" s="98"/>
      <c r="C518" s="98"/>
      <c r="D518" s="98"/>
      <c r="E518" s="99"/>
      <c r="F518" s="99"/>
      <c r="G518" s="99"/>
      <c r="H518" s="99"/>
      <c r="I518" s="99"/>
      <c r="J518" s="99"/>
      <c r="K518" s="99"/>
      <c r="L518" s="99"/>
      <c r="M518" s="99"/>
      <c r="N518" s="299"/>
    </row>
    <row r="519" spans="1:14" ht="13.5" thickBot="1" x14ac:dyDescent="0.25">
      <c r="A519" s="101"/>
      <c r="B519" s="102"/>
      <c r="C519" s="102"/>
      <c r="D519" s="102"/>
      <c r="E519" s="103"/>
      <c r="F519" s="103"/>
      <c r="G519" s="103"/>
      <c r="H519" s="103"/>
      <c r="I519" s="103"/>
      <c r="J519" s="103"/>
      <c r="K519" s="103"/>
      <c r="L519" s="103"/>
      <c r="M519" s="103"/>
      <c r="N519" s="104"/>
    </row>
    <row r="520" spans="1:14" ht="15.75" thickBot="1" x14ac:dyDescent="0.25">
      <c r="A520" s="105"/>
      <c r="B520" s="459" t="s">
        <v>191</v>
      </c>
      <c r="C520" s="460"/>
      <c r="D520" s="460"/>
      <c r="E520" s="460"/>
      <c r="F520" s="460"/>
      <c r="G520" s="460"/>
      <c r="H520" s="460"/>
      <c r="I520" s="460"/>
      <c r="J520" s="460"/>
      <c r="K520" s="460"/>
      <c r="L520" s="460"/>
      <c r="M520" s="461"/>
      <c r="N520" s="106" t="s">
        <v>664</v>
      </c>
    </row>
    <row r="521" spans="1:14" x14ac:dyDescent="0.2">
      <c r="A521" s="105"/>
      <c r="B521" s="107" t="s">
        <v>428</v>
      </c>
      <c r="C521" s="98" t="s">
        <v>446</v>
      </c>
      <c r="D521" s="98"/>
      <c r="E521" s="99"/>
      <c r="F521" s="99"/>
      <c r="G521" s="99"/>
      <c r="H521" s="99"/>
      <c r="I521" s="99"/>
      <c r="J521" s="99"/>
      <c r="K521" s="99"/>
      <c r="L521" s="99"/>
      <c r="M521" s="99"/>
      <c r="N521" s="90"/>
    </row>
    <row r="522" spans="1:14" x14ac:dyDescent="0.2">
      <c r="A522" s="105"/>
      <c r="B522" s="107" t="s">
        <v>429</v>
      </c>
      <c r="C522" s="98" t="s">
        <v>878</v>
      </c>
      <c r="D522" s="98"/>
      <c r="E522" s="99"/>
      <c r="F522" s="99"/>
      <c r="G522" s="99"/>
      <c r="H522" s="99"/>
      <c r="I522" s="99"/>
      <c r="J522" s="99"/>
      <c r="K522" s="99"/>
      <c r="L522" s="99"/>
      <c r="M522" s="99"/>
      <c r="N522" s="90"/>
    </row>
    <row r="523" spans="1:14" x14ac:dyDescent="0.2">
      <c r="A523" s="105"/>
      <c r="B523" s="107" t="s">
        <v>427</v>
      </c>
      <c r="C523" s="455" t="s">
        <v>1617</v>
      </c>
      <c r="D523" s="455"/>
      <c r="E523" s="455"/>
      <c r="F523" s="455"/>
      <c r="G523" s="455"/>
      <c r="H523" s="455"/>
      <c r="I523" s="455"/>
      <c r="J523" s="455"/>
      <c r="K523" s="455"/>
      <c r="L523" s="455"/>
      <c r="M523" s="455"/>
      <c r="N523" s="456"/>
    </row>
    <row r="524" spans="1:14" x14ac:dyDescent="0.2">
      <c r="A524" s="105"/>
      <c r="B524" s="98"/>
      <c r="C524" s="455"/>
      <c r="D524" s="455"/>
      <c r="E524" s="455"/>
      <c r="F524" s="455"/>
      <c r="G524" s="455"/>
      <c r="H524" s="455"/>
      <c r="I524" s="455"/>
      <c r="J524" s="455"/>
      <c r="K524" s="455"/>
      <c r="L524" s="455"/>
      <c r="M524" s="455"/>
      <c r="N524" s="456"/>
    </row>
    <row r="525" spans="1:14" x14ac:dyDescent="0.2">
      <c r="A525" s="105"/>
      <c r="B525" s="107" t="s">
        <v>426</v>
      </c>
      <c r="C525" s="98" t="s">
        <v>411</v>
      </c>
      <c r="D525" s="98"/>
      <c r="E525" s="99"/>
      <c r="F525" s="99"/>
      <c r="G525" s="99"/>
      <c r="H525" s="99"/>
      <c r="I525" s="99"/>
      <c r="J525" s="99"/>
      <c r="K525" s="99"/>
      <c r="L525" s="99"/>
      <c r="M525" s="99"/>
      <c r="N525" s="90"/>
    </row>
    <row r="526" spans="1:14" ht="13.5" thickBot="1" x14ac:dyDescent="0.25">
      <c r="A526" s="105"/>
      <c r="B526" s="107" t="s">
        <v>430</v>
      </c>
      <c r="C526" s="98"/>
      <c r="D526" s="98"/>
      <c r="E526" s="99"/>
      <c r="F526" s="99"/>
      <c r="G526" s="99"/>
      <c r="H526" s="99"/>
      <c r="I526" s="99"/>
      <c r="J526" s="99"/>
      <c r="K526" s="99"/>
      <c r="L526" s="99"/>
      <c r="M526" s="99"/>
      <c r="N526" s="90"/>
    </row>
    <row r="527" spans="1:14" x14ac:dyDescent="0.2">
      <c r="A527" s="101"/>
      <c r="B527" s="102" t="s">
        <v>263</v>
      </c>
      <c r="C527" s="102"/>
      <c r="D527" s="102"/>
      <c r="E527" s="103"/>
      <c r="F527" s="103"/>
      <c r="G527" s="103"/>
      <c r="H527" s="103"/>
      <c r="I527" s="103"/>
      <c r="J527" s="114" t="s">
        <v>2199</v>
      </c>
      <c r="K527" s="113" t="s">
        <v>513</v>
      </c>
      <c r="L527" s="113" t="s">
        <v>1341</v>
      </c>
      <c r="M527" s="113" t="s">
        <v>123</v>
      </c>
      <c r="N527" s="113"/>
    </row>
    <row r="528" spans="1:14" ht="13.5" thickBot="1" x14ac:dyDescent="0.25">
      <c r="A528" s="108"/>
      <c r="B528" s="109"/>
      <c r="C528" s="109"/>
      <c r="D528" s="109"/>
      <c r="E528" s="110"/>
      <c r="F528" s="110"/>
      <c r="G528" s="110"/>
      <c r="H528" s="110"/>
      <c r="I528" s="110"/>
      <c r="J528" s="112" t="s">
        <v>735</v>
      </c>
      <c r="K528" s="94" t="s">
        <v>832</v>
      </c>
      <c r="L528" s="94"/>
      <c r="M528" s="94"/>
      <c r="N528" s="94"/>
    </row>
    <row r="529" spans="1:14" x14ac:dyDescent="0.2">
      <c r="A529" s="101"/>
      <c r="B529" s="448" t="s">
        <v>67</v>
      </c>
      <c r="C529" s="448"/>
      <c r="D529" s="448"/>
      <c r="E529" s="103"/>
      <c r="F529" s="103" t="s">
        <v>1181</v>
      </c>
      <c r="G529" s="103" t="s">
        <v>68</v>
      </c>
      <c r="H529" s="103" t="s">
        <v>702</v>
      </c>
      <c r="I529" s="103"/>
      <c r="J529" s="89">
        <f>26/ATHENS!O1*ATHENS!O2</f>
        <v>53.061224489795919</v>
      </c>
      <c r="K529" s="89">
        <f>32/ATHENS!O1*ATHENS!O2</f>
        <v>65.306122448979593</v>
      </c>
      <c r="L529" s="89">
        <f>45/ATHENS!O1*ATHENS!O2</f>
        <v>91.83673469387756</v>
      </c>
      <c r="M529" s="89">
        <f>52/ATHENS!O1*ATHENS!O2</f>
        <v>106.12244897959184</v>
      </c>
      <c r="N529" s="113"/>
    </row>
    <row r="530" spans="1:14" x14ac:dyDescent="0.2">
      <c r="A530" s="105"/>
      <c r="B530" s="443" t="s">
        <v>67</v>
      </c>
      <c r="C530" s="443"/>
      <c r="D530" s="443"/>
      <c r="E530" s="99"/>
      <c r="F530" s="99" t="s">
        <v>1182</v>
      </c>
      <c r="G530" s="99" t="s">
        <v>68</v>
      </c>
      <c r="H530" s="99" t="s">
        <v>702</v>
      </c>
      <c r="I530" s="99"/>
      <c r="J530" s="89">
        <f>23/ATHENS!O1*ATHENS!O2</f>
        <v>46.938775510204081</v>
      </c>
      <c r="K530" s="89">
        <f>30/ATHENS!O1*ATHENS!O2</f>
        <v>61.224489795918366</v>
      </c>
      <c r="L530" s="89">
        <f>43/ATHENS!O1*ATHENS!O2</f>
        <v>87.755102040816325</v>
      </c>
      <c r="M530" s="89">
        <f>45/ATHENS!O1*ATHENS!O2</f>
        <v>91.83673469387756</v>
      </c>
      <c r="N530" s="89"/>
    </row>
    <row r="531" spans="1:14" ht="13.5" thickBot="1" x14ac:dyDescent="0.25">
      <c r="A531" s="108"/>
      <c r="B531" s="436" t="s">
        <v>67</v>
      </c>
      <c r="C531" s="436"/>
      <c r="D531" s="436"/>
      <c r="E531" s="110"/>
      <c r="F531" s="110" t="s">
        <v>257</v>
      </c>
      <c r="G531" s="110" t="s">
        <v>68</v>
      </c>
      <c r="H531" s="110" t="s">
        <v>702</v>
      </c>
      <c r="I531" s="110"/>
      <c r="J531" s="94">
        <f>21/ATHENS!O1*ATHENS!O2</f>
        <v>42.857142857142861</v>
      </c>
      <c r="K531" s="94">
        <f>28/ATHENS!O1*ATHENS!O2</f>
        <v>57.142857142857146</v>
      </c>
      <c r="L531" s="94">
        <f>35/ATHENS!O1*ATHENS!O2</f>
        <v>71.428571428571431</v>
      </c>
      <c r="M531" s="94">
        <f>40/ATHENS!O1*ATHENS!O2</f>
        <v>81.632653061224488</v>
      </c>
      <c r="N531" s="94"/>
    </row>
    <row r="532" spans="1:14" ht="13.5" thickBot="1" x14ac:dyDescent="0.25">
      <c r="A532" s="97"/>
      <c r="B532" s="98"/>
      <c r="C532" s="98"/>
      <c r="D532" s="98"/>
      <c r="E532" s="99"/>
      <c r="F532" s="99"/>
      <c r="G532" s="99"/>
      <c r="H532" s="99"/>
      <c r="I532" s="99"/>
      <c r="J532" s="99"/>
      <c r="K532" s="99"/>
      <c r="L532" s="99"/>
      <c r="M532" s="99"/>
      <c r="N532" s="99"/>
    </row>
    <row r="533" spans="1:14" ht="13.5" thickBot="1" x14ac:dyDescent="0.25">
      <c r="A533" s="101"/>
      <c r="B533" s="102"/>
      <c r="C533" s="102"/>
      <c r="D533" s="102"/>
      <c r="E533" s="103"/>
      <c r="F533" s="103"/>
      <c r="G533" s="103"/>
      <c r="H533" s="103"/>
      <c r="I533" s="103"/>
      <c r="J533" s="103"/>
      <c r="K533" s="103"/>
      <c r="L533" s="103"/>
      <c r="M533" s="103"/>
      <c r="N533" s="104"/>
    </row>
    <row r="534" spans="1:14" ht="15.75" thickBot="1" x14ac:dyDescent="0.25">
      <c r="A534" s="105"/>
      <c r="B534" s="459" t="s">
        <v>1171</v>
      </c>
      <c r="C534" s="460"/>
      <c r="D534" s="460"/>
      <c r="E534" s="460"/>
      <c r="F534" s="460"/>
      <c r="G534" s="460"/>
      <c r="H534" s="460"/>
      <c r="I534" s="460"/>
      <c r="J534" s="460"/>
      <c r="K534" s="460"/>
      <c r="L534" s="460"/>
      <c r="M534" s="461"/>
      <c r="N534" s="106" t="s">
        <v>664</v>
      </c>
    </row>
    <row r="535" spans="1:14" x14ac:dyDescent="0.2">
      <c r="A535" s="105"/>
      <c r="B535" s="107" t="s">
        <v>428</v>
      </c>
      <c r="C535" s="98" t="s">
        <v>1219</v>
      </c>
      <c r="D535" s="98"/>
      <c r="E535" s="99"/>
      <c r="F535" s="99"/>
      <c r="G535" s="99"/>
      <c r="H535" s="99"/>
      <c r="I535" s="99"/>
      <c r="J535" s="99"/>
      <c r="K535" s="99"/>
      <c r="L535" s="99"/>
      <c r="M535" s="99"/>
      <c r="N535" s="90"/>
    </row>
    <row r="536" spans="1:14" x14ac:dyDescent="0.2">
      <c r="A536" s="105"/>
      <c r="B536" s="107" t="s">
        <v>429</v>
      </c>
      <c r="C536" s="98" t="s">
        <v>879</v>
      </c>
      <c r="D536" s="98"/>
      <c r="E536" s="99"/>
      <c r="F536" s="99"/>
      <c r="G536" s="99"/>
      <c r="H536" s="99"/>
      <c r="I536" s="99"/>
      <c r="J536" s="99"/>
      <c r="K536" s="99"/>
      <c r="L536" s="99"/>
      <c r="M536" s="99"/>
      <c r="N536" s="90"/>
    </row>
    <row r="537" spans="1:14" x14ac:dyDescent="0.2">
      <c r="A537" s="105"/>
      <c r="B537" s="107" t="s">
        <v>427</v>
      </c>
      <c r="C537" s="455" t="s">
        <v>1618</v>
      </c>
      <c r="D537" s="455"/>
      <c r="E537" s="455"/>
      <c r="F537" s="455"/>
      <c r="G537" s="455"/>
      <c r="H537" s="455"/>
      <c r="I537" s="455"/>
      <c r="J537" s="455"/>
      <c r="K537" s="455"/>
      <c r="L537" s="455"/>
      <c r="M537" s="455"/>
      <c r="N537" s="456"/>
    </row>
    <row r="538" spans="1:14" x14ac:dyDescent="0.2">
      <c r="A538" s="105"/>
      <c r="B538" s="107"/>
      <c r="C538" s="455"/>
      <c r="D538" s="455"/>
      <c r="E538" s="455"/>
      <c r="F538" s="455"/>
      <c r="G538" s="455"/>
      <c r="H538" s="455"/>
      <c r="I538" s="455"/>
      <c r="J538" s="455"/>
      <c r="K538" s="455"/>
      <c r="L538" s="455"/>
      <c r="M538" s="455"/>
      <c r="N538" s="456"/>
    </row>
    <row r="539" spans="1:14" x14ac:dyDescent="0.2">
      <c r="A539" s="105"/>
      <c r="B539" s="107"/>
      <c r="C539" s="455"/>
      <c r="D539" s="455"/>
      <c r="E539" s="455"/>
      <c r="F539" s="455"/>
      <c r="G539" s="455"/>
      <c r="H539" s="455"/>
      <c r="I539" s="455"/>
      <c r="J539" s="455"/>
      <c r="K539" s="455"/>
      <c r="L539" s="455"/>
      <c r="M539" s="455"/>
      <c r="N539" s="456"/>
    </row>
    <row r="540" spans="1:14" x14ac:dyDescent="0.2">
      <c r="A540" s="105"/>
      <c r="B540" s="107"/>
      <c r="C540" s="455"/>
      <c r="D540" s="455"/>
      <c r="E540" s="455"/>
      <c r="F540" s="455"/>
      <c r="G540" s="455"/>
      <c r="H540" s="455"/>
      <c r="I540" s="455"/>
      <c r="J540" s="455"/>
      <c r="K540" s="455"/>
      <c r="L540" s="455"/>
      <c r="M540" s="455"/>
      <c r="N540" s="456"/>
    </row>
    <row r="541" spans="1:14" x14ac:dyDescent="0.2">
      <c r="A541" s="105"/>
      <c r="B541" s="107"/>
      <c r="C541" s="455"/>
      <c r="D541" s="455"/>
      <c r="E541" s="455"/>
      <c r="F541" s="455"/>
      <c r="G541" s="455"/>
      <c r="H541" s="455"/>
      <c r="I541" s="455"/>
      <c r="J541" s="455"/>
      <c r="K541" s="455"/>
      <c r="L541" s="455"/>
      <c r="M541" s="455"/>
      <c r="N541" s="456"/>
    </row>
    <row r="542" spans="1:14" x14ac:dyDescent="0.2">
      <c r="A542" s="105"/>
      <c r="B542" s="107" t="s">
        <v>426</v>
      </c>
      <c r="C542" s="98" t="s">
        <v>1503</v>
      </c>
      <c r="D542" s="98"/>
      <c r="E542" s="99"/>
      <c r="F542" s="99"/>
      <c r="G542" s="99"/>
      <c r="H542" s="99"/>
      <c r="I542" s="99"/>
      <c r="J542" s="99"/>
      <c r="K542" s="99"/>
      <c r="L542" s="99"/>
      <c r="M542" s="99"/>
      <c r="N542" s="90"/>
    </row>
    <row r="543" spans="1:14" ht="13.5" thickBot="1" x14ac:dyDescent="0.25">
      <c r="A543" s="105"/>
      <c r="B543" s="107" t="s">
        <v>430</v>
      </c>
      <c r="C543" s="98"/>
      <c r="D543" s="98"/>
      <c r="E543" s="99"/>
      <c r="F543" s="99"/>
      <c r="G543" s="99"/>
      <c r="H543" s="99"/>
      <c r="I543" s="99"/>
      <c r="J543" s="99"/>
      <c r="K543" s="99"/>
      <c r="L543" s="99"/>
      <c r="M543" s="99"/>
      <c r="N543" s="90"/>
    </row>
    <row r="544" spans="1:14" x14ac:dyDescent="0.2">
      <c r="A544" s="101"/>
      <c r="B544" s="102" t="s">
        <v>263</v>
      </c>
      <c r="C544" s="102"/>
      <c r="D544" s="102"/>
      <c r="E544" s="103"/>
      <c r="F544" s="103"/>
      <c r="G544" s="103"/>
      <c r="H544" s="103"/>
      <c r="I544" s="103"/>
      <c r="J544" s="114" t="s">
        <v>758</v>
      </c>
      <c r="K544" s="113" t="s">
        <v>279</v>
      </c>
      <c r="L544" s="113" t="s">
        <v>820</v>
      </c>
      <c r="M544" s="113"/>
      <c r="N544" s="113"/>
    </row>
    <row r="545" spans="1:14" ht="13.5" thickBot="1" x14ac:dyDescent="0.25">
      <c r="A545" s="108"/>
      <c r="B545" s="109"/>
      <c r="C545" s="109"/>
      <c r="D545" s="109"/>
      <c r="E545" s="110"/>
      <c r="F545" s="110"/>
      <c r="G545" s="110"/>
      <c r="H545" s="110"/>
      <c r="I545" s="110"/>
      <c r="J545" s="112" t="s">
        <v>481</v>
      </c>
      <c r="K545" s="94" t="s">
        <v>280</v>
      </c>
      <c r="L545" s="94" t="s">
        <v>1440</v>
      </c>
      <c r="M545" s="94" t="s">
        <v>822</v>
      </c>
      <c r="N545" s="94"/>
    </row>
    <row r="546" spans="1:14" x14ac:dyDescent="0.2">
      <c r="A546" s="101"/>
      <c r="B546" s="448" t="s">
        <v>67</v>
      </c>
      <c r="C546" s="448"/>
      <c r="D546" s="448"/>
      <c r="E546" s="103"/>
      <c r="F546" s="103" t="s">
        <v>1180</v>
      </c>
      <c r="G546" s="103" t="s">
        <v>68</v>
      </c>
      <c r="H546" s="103" t="s">
        <v>702</v>
      </c>
      <c r="I546" s="103"/>
      <c r="J546" s="89">
        <f>57/ATHENS!O1*ATHENS!O2</f>
        <v>116.32653061224489</v>
      </c>
      <c r="K546" s="89">
        <f>75/ATHENS!O1*ATHENS!O2</f>
        <v>153.06122448979593</v>
      </c>
      <c r="L546" s="89">
        <f>93/ATHENS!O1*ATHENS!O2</f>
        <v>189.79591836734693</v>
      </c>
      <c r="M546" s="89">
        <f>111/ATHENS!O1*ATHENS!O2</f>
        <v>226.53061224489795</v>
      </c>
      <c r="N546" s="89"/>
    </row>
    <row r="547" spans="1:14" x14ac:dyDescent="0.2">
      <c r="A547" s="105"/>
      <c r="B547" s="443" t="s">
        <v>67</v>
      </c>
      <c r="C547" s="443"/>
      <c r="D547" s="443"/>
      <c r="E547" s="99"/>
      <c r="F547" s="99" t="s">
        <v>1181</v>
      </c>
      <c r="G547" s="99" t="s">
        <v>68</v>
      </c>
      <c r="H547" s="99" t="s">
        <v>702</v>
      </c>
      <c r="I547" s="99"/>
      <c r="J547" s="89">
        <f>35.5/ATHENS!O1*ATHENS!O2</f>
        <v>72.448979591836732</v>
      </c>
      <c r="K547" s="89">
        <f>47/ATHENS!O1*ATHENS!O2</f>
        <v>95.91836734693878</v>
      </c>
      <c r="L547" s="89">
        <f>58/ATHENS!O1*ATHENS!O2</f>
        <v>118.36734693877551</v>
      </c>
      <c r="M547" s="89">
        <f>69.5/ATHENS!O1*ATHENS!O2</f>
        <v>141.83673469387756</v>
      </c>
      <c r="N547" s="89"/>
    </row>
    <row r="548" spans="1:14" ht="13.5" thickBot="1" x14ac:dyDescent="0.25">
      <c r="A548" s="108"/>
      <c r="B548" s="436" t="s">
        <v>67</v>
      </c>
      <c r="C548" s="436"/>
      <c r="D548" s="436"/>
      <c r="E548" s="110"/>
      <c r="F548" s="110" t="s">
        <v>1182</v>
      </c>
      <c r="G548" s="110" t="s">
        <v>68</v>
      </c>
      <c r="H548" s="110" t="s">
        <v>702</v>
      </c>
      <c r="I548" s="110"/>
      <c r="J548" s="94">
        <f>31.95/ATHENS!O1*ATHENS!O2</f>
        <v>65.204081632653057</v>
      </c>
      <c r="K548" s="94">
        <f>42.5/ATHENS!O1*ATHENS!O2</f>
        <v>86.734693877551024</v>
      </c>
      <c r="L548" s="94">
        <f>52.5/ATHENS!O1*ATHENS!O2</f>
        <v>107.14285714285714</v>
      </c>
      <c r="M548" s="94">
        <f>62.5/ATHENS!O1*ATHENS!O2</f>
        <v>127.55102040816327</v>
      </c>
      <c r="N548" s="94"/>
    </row>
    <row r="549" spans="1:14" x14ac:dyDescent="0.2">
      <c r="A549" s="97"/>
      <c r="B549" s="98"/>
      <c r="C549" s="98"/>
      <c r="D549" s="98"/>
      <c r="E549" s="99"/>
      <c r="F549" s="99"/>
      <c r="G549" s="99"/>
      <c r="H549" s="99"/>
      <c r="I549" s="99"/>
      <c r="J549" s="99"/>
      <c r="K549" s="99"/>
      <c r="L549" s="99"/>
      <c r="M549" s="99"/>
      <c r="N549" s="99"/>
    </row>
  </sheetData>
  <customSheetViews>
    <customSheetView guid="{777CFE61-6F99-11D9-974B-0050BFD074B6}" showRuler="0">
      <selection activeCell="K14" sqref="K14:N18"/>
      <pageMargins left="0" right="0" top="0" bottom="0" header="0" footer="0"/>
      <pageSetup paperSize="9" orientation="portrait" horizontalDpi="4294967293" verticalDpi="300" r:id="rId1"/>
      <headerFooter alignWithMargins="0"/>
    </customSheetView>
    <customSheetView guid="{3C76061C-A85D-4390-B9DB-73E13038638C}" showPageBreaks="1" showGridLines="0" printArea="1" view="pageLayout" topLeftCell="A545">
      <selection activeCell="M51" sqref="M51"/>
      <rowBreaks count="10" manualBreakCount="10">
        <brk id="64" max="16383" man="1"/>
        <brk id="114" max="16383" man="1"/>
        <brk id="188" max="16383" man="1"/>
        <brk id="242" max="16383" man="1"/>
        <brk id="276" max="16383" man="1"/>
        <brk id="312" max="16383" man="1"/>
        <brk id="360" max="16383" man="1"/>
        <brk id="404" max="16383" man="1"/>
        <brk id="458" max="16383" man="1"/>
        <brk id="504" max="16383" man="1"/>
      </rowBreaks>
      <pageMargins left="0.28125" right="0.25" top="0.6692913385826772" bottom="0.70866141732283472" header="0.23622047244094491" footer="0.47244094488188981"/>
      <printOptions horizontalCentered="1"/>
      <pageSetup paperSize="9" firstPageNumber="94" orientation="portrait" useFirstPageNumber="1" horizontalDpi="300" verticalDpi="300" r:id="rId2"/>
      <headerFooter scaleWithDoc="0" alignWithMargins="0">
        <oddHeader>&amp;C TARIFF 2019
 (EURO)
Accommodation in &amp;A</oddHeader>
        <oddFooter>&amp;LAll rates are in EURO&amp;C
TARIFF 2019
&amp;RPage &amp;P</oddFooter>
      </headerFooter>
    </customSheetView>
  </customSheetViews>
  <mergeCells count="163">
    <mergeCell ref="B547:D547"/>
    <mergeCell ref="B548:D548"/>
    <mergeCell ref="B531:D531"/>
    <mergeCell ref="C537:N541"/>
    <mergeCell ref="B534:M534"/>
    <mergeCell ref="C492:N495"/>
    <mergeCell ref="B503:D503"/>
    <mergeCell ref="B502:D502"/>
    <mergeCell ref="B501:D501"/>
    <mergeCell ref="B530:D530"/>
    <mergeCell ref="B529:D529"/>
    <mergeCell ref="C523:N524"/>
    <mergeCell ref="B515:D515"/>
    <mergeCell ref="B517:D517"/>
    <mergeCell ref="C509:N510"/>
    <mergeCell ref="B516:D516"/>
    <mergeCell ref="B506:M506"/>
    <mergeCell ref="B546:D546"/>
    <mergeCell ref="B520:M520"/>
    <mergeCell ref="B500:D500"/>
    <mergeCell ref="B390:M390"/>
    <mergeCell ref="B457:D457"/>
    <mergeCell ref="B406:M406"/>
    <mergeCell ref="C409:N413"/>
    <mergeCell ref="B418:D418"/>
    <mergeCell ref="B420:D420"/>
    <mergeCell ref="B419:D419"/>
    <mergeCell ref="B486:D486"/>
    <mergeCell ref="B489:M489"/>
    <mergeCell ref="B376:M376"/>
    <mergeCell ref="B485:D485"/>
    <mergeCell ref="B475:M475"/>
    <mergeCell ref="B470:D470"/>
    <mergeCell ref="C379:N380"/>
    <mergeCell ref="C393:N396"/>
    <mergeCell ref="B385:D385"/>
    <mergeCell ref="B456:D456"/>
    <mergeCell ref="B460:M460"/>
    <mergeCell ref="B484:D484"/>
    <mergeCell ref="C463:N465"/>
    <mergeCell ref="B471:D471"/>
    <mergeCell ref="B440:M440"/>
    <mergeCell ref="C443:N451"/>
    <mergeCell ref="B387:D387"/>
    <mergeCell ref="B437:D437"/>
    <mergeCell ref="C426:N428"/>
    <mergeCell ref="B433:D433"/>
    <mergeCell ref="C478:N479"/>
    <mergeCell ref="B436:D436"/>
    <mergeCell ref="B435:D435"/>
    <mergeCell ref="B434:D434"/>
    <mergeCell ref="B423:M423"/>
    <mergeCell ref="B386:D386"/>
    <mergeCell ref="B372:D372"/>
    <mergeCell ref="B373:D373"/>
    <mergeCell ref="B341:D341"/>
    <mergeCell ref="B256:D256"/>
    <mergeCell ref="B257:D257"/>
    <mergeCell ref="B274:D274"/>
    <mergeCell ref="B273:D273"/>
    <mergeCell ref="B327:D327"/>
    <mergeCell ref="B272:D272"/>
    <mergeCell ref="B280:M280"/>
    <mergeCell ref="B362:M362"/>
    <mergeCell ref="C365:N367"/>
    <mergeCell ref="B311:D311"/>
    <mergeCell ref="B299:M299"/>
    <mergeCell ref="C283:N288"/>
    <mergeCell ref="B309:D309"/>
    <mergeCell ref="B347:M347"/>
    <mergeCell ref="B359:D359"/>
    <mergeCell ref="B358:D358"/>
    <mergeCell ref="C317:N319"/>
    <mergeCell ref="C350:N352"/>
    <mergeCell ref="B331:M331"/>
    <mergeCell ref="B325:D325"/>
    <mergeCell ref="B357:D357"/>
    <mergeCell ref="C178:N180"/>
    <mergeCell ref="B127:D127"/>
    <mergeCell ref="B126:D126"/>
    <mergeCell ref="B175:M175"/>
    <mergeCell ref="C210:N214"/>
    <mergeCell ref="B241:D241"/>
    <mergeCell ref="B246:M246"/>
    <mergeCell ref="B294:D294"/>
    <mergeCell ref="B295:D295"/>
    <mergeCell ref="B271:D271"/>
    <mergeCell ref="B149:M149"/>
    <mergeCell ref="C152:N153"/>
    <mergeCell ref="B158:D158"/>
    <mergeCell ref="B159:D159"/>
    <mergeCell ref="B19:M19"/>
    <mergeCell ref="B326:D326"/>
    <mergeCell ref="B343:D343"/>
    <mergeCell ref="B220:D220"/>
    <mergeCell ref="B222:D222"/>
    <mergeCell ref="B223:D223"/>
    <mergeCell ref="B221:D221"/>
    <mergeCell ref="B258:D258"/>
    <mergeCell ref="C302:N303"/>
    <mergeCell ref="C249:N251"/>
    <mergeCell ref="B240:D240"/>
    <mergeCell ref="B239:D239"/>
    <mergeCell ref="C119:N120"/>
    <mergeCell ref="B125:D125"/>
    <mergeCell ref="B203:D203"/>
    <mergeCell ref="B131:M131"/>
    <mergeCell ref="C134:N138"/>
    <mergeCell ref="B190:M190"/>
    <mergeCell ref="C193:N199"/>
    <mergeCell ref="B185:D185"/>
    <mergeCell ref="C334:N336"/>
    <mergeCell ref="B32:M32"/>
    <mergeCell ref="B111:D111"/>
    <mergeCell ref="B314:M314"/>
    <mergeCell ref="B342:D342"/>
    <mergeCell ref="B344:D344"/>
    <mergeCell ref="B296:D296"/>
    <mergeCell ref="B293:D293"/>
    <mergeCell ref="B308:D308"/>
    <mergeCell ref="B310:D310"/>
    <mergeCell ref="C264:N266"/>
    <mergeCell ref="B15:D15"/>
    <mergeCell ref="B81:D81"/>
    <mergeCell ref="C35:N37"/>
    <mergeCell ref="B42:D42"/>
    <mergeCell ref="B60:D60"/>
    <mergeCell ref="B61:D61"/>
    <mergeCell ref="C50:N53"/>
    <mergeCell ref="B80:D80"/>
    <mergeCell ref="C69:N75"/>
    <mergeCell ref="B29:D29"/>
    <mergeCell ref="B261:M261"/>
    <mergeCell ref="B204:D204"/>
    <mergeCell ref="B143:D143"/>
    <mergeCell ref="B207:M207"/>
    <mergeCell ref="B227:M227"/>
    <mergeCell ref="C230:N235"/>
    <mergeCell ref="B146:D146"/>
    <mergeCell ref="B14:D14"/>
    <mergeCell ref="B186:D186"/>
    <mergeCell ref="B2:M2"/>
    <mergeCell ref="C5:N7"/>
    <mergeCell ref="B12:D12"/>
    <mergeCell ref="B13:D13"/>
    <mergeCell ref="B82:D82"/>
    <mergeCell ref="B66:M66"/>
    <mergeCell ref="B43:D43"/>
    <mergeCell ref="B47:M47"/>
    <mergeCell ref="B62:D62"/>
    <mergeCell ref="B161:D161"/>
    <mergeCell ref="C22:N23"/>
    <mergeCell ref="B28:D28"/>
    <mergeCell ref="B94:D94"/>
    <mergeCell ref="B112:D112"/>
    <mergeCell ref="B116:M116"/>
    <mergeCell ref="B85:M85"/>
    <mergeCell ref="C88:N89"/>
    <mergeCell ref="B99:M99"/>
    <mergeCell ref="C102:N106"/>
    <mergeCell ref="B95:D95"/>
    <mergeCell ref="B113:D113"/>
    <mergeCell ref="B16:D16"/>
  </mergeCells>
  <phoneticPr fontId="0" type="noConversion"/>
  <hyperlinks>
    <hyperlink ref="B246:M246" r:id="rId3" display="Caldera's Lilium Villa" xr:uid="{00000000-0004-0000-2300-000000000000}"/>
    <hyperlink ref="B347:M347" r:id="rId4" display="Ellinon Thea " xr:uid="{00000000-0004-0000-2300-000001000000}"/>
    <hyperlink ref="B2:M2" r:id="rId5" display="Aressana " xr:uid="{00000000-0004-0000-2300-000002000000}"/>
    <hyperlink ref="B32:M32" r:id="rId6" display="Katikies" xr:uid="{00000000-0004-0000-2300-000003000000}"/>
    <hyperlink ref="B47:M47" r:id="rId7" display="Kirini Suites &amp; Spa" xr:uid="{00000000-0004-0000-2300-000004000000}"/>
    <hyperlink ref="B66:M66" r:id="rId8" display="Majestic" xr:uid="{00000000-0004-0000-2300-000005000000}"/>
    <hyperlink ref="B85:M85" r:id="rId9" display="Mystique " xr:uid="{00000000-0004-0000-2300-000006000000}"/>
    <hyperlink ref="B99:M99" r:id="rId10" display="Nine Muses" xr:uid="{00000000-0004-0000-2300-000007000000}"/>
    <hyperlink ref="B131:M131" r:id="rId11" display="Santorini Princess" xr:uid="{00000000-0004-0000-2300-000008000000}"/>
    <hyperlink ref="B175:M175" r:id="rId12" display="Sun Rocks - Apartment " xr:uid="{00000000-0004-0000-2300-000009000000}"/>
    <hyperlink ref="B190:M190" r:id="rId13" display="Vedema" xr:uid="{00000000-0004-0000-2300-00000A000000}"/>
    <hyperlink ref="B207:M207" r:id="rId14" display="Zannos Melathron" xr:uid="{00000000-0004-0000-2300-00000B000000}"/>
    <hyperlink ref="B227:M227" r:id="rId15" display="Aegean Plaza" xr:uid="{00000000-0004-0000-2300-00000C000000}"/>
    <hyperlink ref="B261:M261" r:id="rId16" display="Canaves Oia Suites" xr:uid="{00000000-0004-0000-2300-00000D000000}"/>
    <hyperlink ref="B19:M19" r:id="rId17" display="Chromata - Apartment " xr:uid="{00000000-0004-0000-2300-00000E000000}"/>
    <hyperlink ref="B280:M280" r:id="rId18" display="Cliff Side" xr:uid="{00000000-0004-0000-2300-00000F000000}"/>
    <hyperlink ref="B299:M299" r:id="rId19" display="Daedalus" xr:uid="{00000000-0004-0000-2300-000010000000}"/>
    <hyperlink ref="B314:M314" r:id="rId20" display="Dana Villas - Apartment " xr:uid="{00000000-0004-0000-2300-000011000000}"/>
    <hyperlink ref="B331:M331" r:id="rId21" display="El Greco" xr:uid="{00000000-0004-0000-2300-000012000000}"/>
    <hyperlink ref="B362:M362" r:id="rId22" display="Nomikos Villas" xr:uid="{00000000-0004-0000-2300-000013000000}"/>
    <hyperlink ref="B376:M376" r:id="rId23" display="On The Rocks - Apartment " xr:uid="{00000000-0004-0000-2300-000014000000}"/>
    <hyperlink ref="B390:M390" r:id="rId24" display="Rocabella Villas - Apartment " xr:uid="{00000000-0004-0000-2300-000015000000}"/>
    <hyperlink ref="B406:M406" r:id="rId25" display="Rose Bay" xr:uid="{00000000-0004-0000-2300-000016000000}"/>
    <hyperlink ref="B423:M423" r:id="rId26" display="Santorini Palace" xr:uid="{00000000-0004-0000-2300-000017000000}"/>
    <hyperlink ref="B440:M440" r:id="rId27" display="Suites of the Gods Spa Hotel" xr:uid="{00000000-0004-0000-2300-000018000000}"/>
    <hyperlink ref="B460:M460" r:id="rId28" display="Theoxenia" xr:uid="{00000000-0004-0000-2300-000019000000}"/>
    <hyperlink ref="B475:M475" r:id="rId29" display="Tzekos Villas" xr:uid="{00000000-0004-0000-2300-00001A000000}"/>
    <hyperlink ref="B489:M489" r:id="rId30" display="Volcano’s View - Apartment " xr:uid="{00000000-0004-0000-2300-00001B000000}"/>
    <hyperlink ref="B506:M506" r:id="rId31" display="Akis" xr:uid="{00000000-0004-0000-2300-00001C000000}"/>
    <hyperlink ref="B534:M534" r:id="rId32" display="Kamari Beach" xr:uid="{00000000-0004-0000-2300-00001D000000}"/>
    <hyperlink ref="B116:M116" r:id="rId33" display="Perivolas - Apartment" xr:uid="{00000000-0004-0000-2300-00001E000000}"/>
    <hyperlink ref="B149:M149" r:id="rId34" display="Splendour" xr:uid="{00000000-0004-0000-2300-00001F000000}"/>
    <hyperlink ref="B520:M520" r:id="rId35" display="Albatros" xr:uid="{00000000-0004-0000-2300-000020000000}"/>
  </hyperlinks>
  <printOptions horizontalCentered="1"/>
  <pageMargins left="0.28125" right="0.25" top="0.6692913385826772" bottom="0.70866141732283472" header="0.23622047244094491" footer="0.47244094488188981"/>
  <pageSetup paperSize="9" firstPageNumber="94" orientation="portrait" useFirstPageNumber="1" horizontalDpi="300" verticalDpi="300" r:id="rId36"/>
  <headerFooter scaleWithDoc="0" alignWithMargins="0">
    <oddHeader xml:space="preserve">&amp;C TARIFF 2026
 (EURO)
</oddHeader>
    <oddFooter>&amp;LAll rates are in EURO&amp;C
TARIFF 2026
&amp;RPage &amp;P</oddFooter>
  </headerFooter>
  <rowBreaks count="10" manualBreakCount="10">
    <brk id="64" max="16383" man="1"/>
    <brk id="114" max="16383" man="1"/>
    <brk id="188" max="16383" man="1"/>
    <brk id="242" max="16383" man="1"/>
    <brk id="276" max="16383" man="1"/>
    <brk id="312" max="16383" man="1"/>
    <brk id="360" max="16383" man="1"/>
    <brk id="404" max="16383" man="1"/>
    <brk id="458" max="16383" man="1"/>
    <brk id="504"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N126"/>
  <sheetViews>
    <sheetView showGridLines="0" view="pageLayout" topLeftCell="A37" workbookViewId="0">
      <selection activeCell="L114" sqref="L114"/>
    </sheetView>
  </sheetViews>
  <sheetFormatPr defaultRowHeight="12.75" x14ac:dyDescent="0.2"/>
  <cols>
    <col min="1" max="1" width="1.85546875" style="100" customWidth="1"/>
    <col min="2" max="3" width="10.7109375" style="100" customWidth="1"/>
    <col min="4" max="9" width="3.7109375" style="100" customWidth="1"/>
    <col min="10" max="10" width="11.28515625" style="100" customWidth="1"/>
    <col min="11" max="14" width="10.7109375" style="100" customWidth="1"/>
    <col min="15" max="15" width="9.28515625" style="100" customWidth="1"/>
    <col min="16" max="20" width="3.7109375" style="100" customWidth="1"/>
    <col min="21" max="21" width="3.28515625" style="100" customWidth="1"/>
    <col min="22" max="25" width="2.7109375" style="100" customWidth="1"/>
    <col min="26" max="16384" width="9.140625" style="100"/>
  </cols>
  <sheetData>
    <row r="1" spans="1:14" ht="13.5" thickBot="1" x14ac:dyDescent="0.25">
      <c r="A1" s="101"/>
      <c r="B1" s="102"/>
      <c r="C1" s="102"/>
      <c r="D1" s="102"/>
      <c r="E1" s="103"/>
      <c r="F1" s="103"/>
      <c r="G1" s="103"/>
      <c r="H1" s="103"/>
      <c r="I1" s="103"/>
      <c r="J1" s="103"/>
      <c r="K1" s="103"/>
      <c r="L1" s="103"/>
      <c r="M1" s="103"/>
      <c r="N1" s="104"/>
    </row>
    <row r="2" spans="1:14" ht="15.75" thickBot="1" x14ac:dyDescent="0.25">
      <c r="A2" s="105"/>
      <c r="B2" s="459" t="s">
        <v>556</v>
      </c>
      <c r="C2" s="460"/>
      <c r="D2" s="460"/>
      <c r="E2" s="460"/>
      <c r="F2" s="460"/>
      <c r="G2" s="460"/>
      <c r="H2" s="460"/>
      <c r="I2" s="460"/>
      <c r="J2" s="460"/>
      <c r="K2" s="460"/>
      <c r="L2" s="460"/>
      <c r="M2" s="461"/>
      <c r="N2" s="106" t="s">
        <v>91</v>
      </c>
    </row>
    <row r="3" spans="1:14" x14ac:dyDescent="0.2">
      <c r="A3" s="105"/>
      <c r="B3" s="107" t="s">
        <v>428</v>
      </c>
      <c r="C3" s="98" t="s">
        <v>234</v>
      </c>
      <c r="D3" s="98"/>
      <c r="E3" s="99"/>
      <c r="F3" s="99"/>
      <c r="G3" s="99"/>
      <c r="H3" s="99"/>
      <c r="I3" s="99"/>
      <c r="J3" s="99"/>
      <c r="K3" s="99"/>
      <c r="L3" s="99"/>
      <c r="M3" s="99"/>
      <c r="N3" s="90"/>
    </row>
    <row r="4" spans="1:14" x14ac:dyDescent="0.2">
      <c r="A4" s="105"/>
      <c r="B4" s="107" t="s">
        <v>429</v>
      </c>
      <c r="C4" s="98" t="s">
        <v>309</v>
      </c>
      <c r="D4" s="98"/>
      <c r="E4" s="99"/>
      <c r="F4" s="99"/>
      <c r="G4" s="99"/>
      <c r="H4" s="99"/>
      <c r="I4" s="99"/>
      <c r="J4" s="99"/>
      <c r="K4" s="99"/>
      <c r="L4" s="99"/>
      <c r="M4" s="99"/>
      <c r="N4" s="90"/>
    </row>
    <row r="5" spans="1:14" x14ac:dyDescent="0.2">
      <c r="A5" s="105"/>
      <c r="B5" s="107" t="s">
        <v>427</v>
      </c>
      <c r="C5" s="444" t="s">
        <v>233</v>
      </c>
      <c r="D5" s="444"/>
      <c r="E5" s="444"/>
      <c r="F5" s="444"/>
      <c r="G5" s="444"/>
      <c r="H5" s="444"/>
      <c r="I5" s="444"/>
      <c r="J5" s="444"/>
      <c r="K5" s="444"/>
      <c r="L5" s="444"/>
      <c r="M5" s="444"/>
      <c r="N5" s="445"/>
    </row>
    <row r="6" spans="1:14" x14ac:dyDescent="0.2">
      <c r="A6" s="105"/>
      <c r="B6" s="107"/>
      <c r="C6" s="444"/>
      <c r="D6" s="444"/>
      <c r="E6" s="444"/>
      <c r="F6" s="444"/>
      <c r="G6" s="444"/>
      <c r="H6" s="444"/>
      <c r="I6" s="444"/>
      <c r="J6" s="444"/>
      <c r="K6" s="444"/>
      <c r="L6" s="444"/>
      <c r="M6" s="444"/>
      <c r="N6" s="445"/>
    </row>
    <row r="7" spans="1:14" ht="13.5" thickBot="1" x14ac:dyDescent="0.25">
      <c r="A7" s="105"/>
      <c r="B7" s="107"/>
      <c r="C7" s="444"/>
      <c r="D7" s="444"/>
      <c r="E7" s="444"/>
      <c r="F7" s="444"/>
      <c r="G7" s="444"/>
      <c r="H7" s="444"/>
      <c r="I7" s="444"/>
      <c r="J7" s="444"/>
      <c r="K7" s="444"/>
      <c r="L7" s="444"/>
      <c r="M7" s="444"/>
      <c r="N7" s="445"/>
    </row>
    <row r="8" spans="1:14" x14ac:dyDescent="0.2">
      <c r="A8" s="101"/>
      <c r="B8" s="102" t="s">
        <v>263</v>
      </c>
      <c r="C8" s="102"/>
      <c r="D8" s="102"/>
      <c r="E8" s="103"/>
      <c r="F8" s="103"/>
      <c r="G8" s="103"/>
      <c r="H8" s="103"/>
      <c r="I8" s="103"/>
      <c r="J8" s="114" t="s">
        <v>1869</v>
      </c>
      <c r="K8" s="113" t="s">
        <v>1871</v>
      </c>
      <c r="L8" s="113" t="s">
        <v>1873</v>
      </c>
      <c r="M8" s="113"/>
      <c r="N8" s="113"/>
    </row>
    <row r="9" spans="1:14" ht="13.5" thickBot="1" x14ac:dyDescent="0.25">
      <c r="A9" s="108"/>
      <c r="B9" s="109"/>
      <c r="C9" s="109"/>
      <c r="D9" s="109"/>
      <c r="E9" s="110"/>
      <c r="F9" s="110"/>
      <c r="G9" s="110"/>
      <c r="H9" s="110"/>
      <c r="I9" s="110"/>
      <c r="J9" s="112" t="s">
        <v>1870</v>
      </c>
      <c r="K9" s="94" t="s">
        <v>1872</v>
      </c>
      <c r="L9" s="94" t="s">
        <v>799</v>
      </c>
      <c r="M9" s="94" t="s">
        <v>1874</v>
      </c>
      <c r="N9" s="94" t="s">
        <v>123</v>
      </c>
    </row>
    <row r="10" spans="1:14" x14ac:dyDescent="0.2">
      <c r="A10" s="101"/>
      <c r="B10" s="448" t="s">
        <v>67</v>
      </c>
      <c r="C10" s="448"/>
      <c r="D10" s="448"/>
      <c r="E10" s="103"/>
      <c r="F10" s="103" t="s">
        <v>1180</v>
      </c>
      <c r="G10" s="103" t="s">
        <v>68</v>
      </c>
      <c r="H10" s="103" t="s">
        <v>702</v>
      </c>
      <c r="I10" s="103"/>
      <c r="J10" s="89">
        <f>70.5/ATHENS!O1*ATHENS!O2</f>
        <v>143.87755102040816</v>
      </c>
      <c r="K10" s="89">
        <f>88.5/ATHENS!O1*ATHENS!O2</f>
        <v>180.61224489795919</v>
      </c>
      <c r="L10" s="89">
        <f>106.5/ATHENS!O1*ATHENS!O2</f>
        <v>217.34693877551021</v>
      </c>
      <c r="M10" s="113">
        <f>124.5/ATHENS!O1*ATHENS!O2</f>
        <v>254.08163265306123</v>
      </c>
      <c r="N10" s="113">
        <f>151.5/ATHENS!O1*ATHENS!O2</f>
        <v>309.18367346938777</v>
      </c>
    </row>
    <row r="11" spans="1:14" x14ac:dyDescent="0.2">
      <c r="A11" s="105"/>
      <c r="B11" s="443" t="s">
        <v>67</v>
      </c>
      <c r="C11" s="443"/>
      <c r="D11" s="443"/>
      <c r="E11" s="99"/>
      <c r="F11" s="99" t="s">
        <v>1181</v>
      </c>
      <c r="G11" s="99" t="s">
        <v>68</v>
      </c>
      <c r="H11" s="99" t="s">
        <v>702</v>
      </c>
      <c r="I11" s="99"/>
      <c r="J11" s="89">
        <f>40.5/ATHENS!O1*ATHENS!O2</f>
        <v>82.653061224489804</v>
      </c>
      <c r="K11" s="89">
        <f>49.5/ATHENS!O1*ATHENS!O2</f>
        <v>101.0204081632653</v>
      </c>
      <c r="L11" s="89">
        <f>58.5/ATHENS!O1*ATHENS!O2</f>
        <v>119.38775510204081</v>
      </c>
      <c r="M11" s="89">
        <f>67.5/ATHENS!O1*ATHENS!O2</f>
        <v>137.75510204081633</v>
      </c>
      <c r="N11" s="89">
        <f>81/ATHENS!O1*ATHENS!O2</f>
        <v>165.30612244897961</v>
      </c>
    </row>
    <row r="12" spans="1:14" ht="13.5" thickBot="1" x14ac:dyDescent="0.25">
      <c r="A12" s="108"/>
      <c r="B12" s="436" t="s">
        <v>67</v>
      </c>
      <c r="C12" s="436"/>
      <c r="D12" s="436"/>
      <c r="E12" s="110"/>
      <c r="F12" s="110" t="s">
        <v>1182</v>
      </c>
      <c r="G12" s="110" t="s">
        <v>68</v>
      </c>
      <c r="H12" s="110" t="s">
        <v>702</v>
      </c>
      <c r="I12" s="110"/>
      <c r="J12" s="94">
        <f>36/ATHENS!O1*ATHENS!O2</f>
        <v>73.469387755102048</v>
      </c>
      <c r="K12" s="94">
        <f>45/ATHENS!O1*ATHENS!O2</f>
        <v>91.83673469387756</v>
      </c>
      <c r="L12" s="94">
        <f>54/ATHENS!O1*ATHENS!O2</f>
        <v>110.20408163265306</v>
      </c>
      <c r="M12" s="94">
        <f>61.5/ATHENS!O1*ATHENS!O2</f>
        <v>125.51020408163265</v>
      </c>
      <c r="N12" s="94">
        <f>72/ATHENS!O1*ATHENS!O2</f>
        <v>146.9387755102041</v>
      </c>
    </row>
    <row r="13" spans="1:14" ht="13.5" thickBot="1" x14ac:dyDescent="0.25">
      <c r="A13" s="97"/>
      <c r="B13" s="98"/>
      <c r="C13" s="98"/>
      <c r="D13" s="98"/>
      <c r="E13" s="99"/>
      <c r="F13" s="99"/>
      <c r="G13" s="99"/>
      <c r="H13" s="99"/>
      <c r="I13" s="99"/>
      <c r="J13" s="99"/>
      <c r="K13" s="99"/>
      <c r="L13" s="99"/>
      <c r="M13" s="99"/>
      <c r="N13" s="99"/>
    </row>
    <row r="14" spans="1:14" ht="13.5" thickBot="1" x14ac:dyDescent="0.25">
      <c r="A14" s="101"/>
      <c r="B14" s="102"/>
      <c r="C14" s="102"/>
      <c r="D14" s="102"/>
      <c r="E14" s="103"/>
      <c r="F14" s="103"/>
      <c r="G14" s="103"/>
      <c r="H14" s="103"/>
      <c r="I14" s="103"/>
      <c r="J14" s="103"/>
      <c r="K14" s="103"/>
      <c r="L14" s="103"/>
      <c r="M14" s="103"/>
      <c r="N14" s="104"/>
    </row>
    <row r="15" spans="1:14" ht="15.75" thickBot="1" x14ac:dyDescent="0.25">
      <c r="A15" s="105"/>
      <c r="B15" s="459" t="s">
        <v>1384</v>
      </c>
      <c r="C15" s="460"/>
      <c r="D15" s="460"/>
      <c r="E15" s="460"/>
      <c r="F15" s="460"/>
      <c r="G15" s="460"/>
      <c r="H15" s="460"/>
      <c r="I15" s="460"/>
      <c r="J15" s="460"/>
      <c r="K15" s="460"/>
      <c r="L15" s="460"/>
      <c r="M15" s="461"/>
      <c r="N15" s="106" t="s">
        <v>91</v>
      </c>
    </row>
    <row r="16" spans="1:14" x14ac:dyDescent="0.2">
      <c r="A16" s="105"/>
      <c r="B16" s="107" t="s">
        <v>428</v>
      </c>
      <c r="C16" s="98" t="s">
        <v>1385</v>
      </c>
      <c r="D16" s="98"/>
      <c r="E16" s="99"/>
      <c r="F16" s="99"/>
      <c r="G16" s="99"/>
      <c r="H16" s="99"/>
      <c r="I16" s="99"/>
      <c r="J16" s="99"/>
      <c r="K16" s="99"/>
      <c r="L16" s="99"/>
      <c r="M16" s="99"/>
      <c r="N16" s="90"/>
    </row>
    <row r="17" spans="1:14" x14ac:dyDescent="0.2">
      <c r="A17" s="105"/>
      <c r="B17" s="107" t="s">
        <v>429</v>
      </c>
      <c r="C17" s="98" t="s">
        <v>562</v>
      </c>
      <c r="D17" s="98"/>
      <c r="E17" s="99"/>
      <c r="F17" s="99"/>
      <c r="G17" s="99"/>
      <c r="H17" s="99"/>
      <c r="I17" s="99"/>
      <c r="J17" s="99"/>
      <c r="K17" s="99"/>
      <c r="L17" s="99"/>
      <c r="M17" s="99"/>
      <c r="N17" s="90"/>
    </row>
    <row r="18" spans="1:14" x14ac:dyDescent="0.2">
      <c r="A18" s="105"/>
      <c r="B18" s="107" t="s">
        <v>427</v>
      </c>
      <c r="C18" s="462" t="s">
        <v>1533</v>
      </c>
      <c r="D18" s="462"/>
      <c r="E18" s="462"/>
      <c r="F18" s="462"/>
      <c r="G18" s="462"/>
      <c r="H18" s="462"/>
      <c r="I18" s="462"/>
      <c r="J18" s="462"/>
      <c r="K18" s="462"/>
      <c r="L18" s="462"/>
      <c r="M18" s="462"/>
      <c r="N18" s="463"/>
    </row>
    <row r="19" spans="1:14" x14ac:dyDescent="0.2">
      <c r="A19" s="105"/>
      <c r="B19" s="107"/>
      <c r="C19" s="462"/>
      <c r="D19" s="462"/>
      <c r="E19" s="462"/>
      <c r="F19" s="462"/>
      <c r="G19" s="462"/>
      <c r="H19" s="462"/>
      <c r="I19" s="462"/>
      <c r="J19" s="462"/>
      <c r="K19" s="462"/>
      <c r="L19" s="462"/>
      <c r="M19" s="462"/>
      <c r="N19" s="463"/>
    </row>
    <row r="20" spans="1:14" x14ac:dyDescent="0.2">
      <c r="A20" s="105"/>
      <c r="B20" s="107"/>
      <c r="C20" s="462"/>
      <c r="D20" s="462"/>
      <c r="E20" s="462"/>
      <c r="F20" s="462"/>
      <c r="G20" s="462"/>
      <c r="H20" s="462"/>
      <c r="I20" s="462"/>
      <c r="J20" s="462"/>
      <c r="K20" s="462"/>
      <c r="L20" s="462"/>
      <c r="M20" s="462"/>
      <c r="N20" s="463"/>
    </row>
    <row r="21" spans="1:14" ht="13.5" thickBot="1" x14ac:dyDescent="0.25">
      <c r="A21" s="105"/>
      <c r="B21" s="107" t="s">
        <v>426</v>
      </c>
      <c r="C21" s="98" t="s">
        <v>866</v>
      </c>
      <c r="D21" s="98"/>
      <c r="E21" s="99"/>
      <c r="F21" s="99"/>
      <c r="G21" s="99"/>
      <c r="H21" s="99"/>
      <c r="I21" s="99"/>
      <c r="J21" s="99"/>
      <c r="K21" s="99"/>
      <c r="L21" s="99"/>
      <c r="M21" s="99"/>
      <c r="N21" s="90"/>
    </row>
    <row r="22" spans="1:14" x14ac:dyDescent="0.2">
      <c r="A22" s="101"/>
      <c r="B22" s="102" t="s">
        <v>263</v>
      </c>
      <c r="C22" s="102"/>
      <c r="D22" s="102"/>
      <c r="E22" s="103"/>
      <c r="F22" s="103"/>
      <c r="G22" s="103"/>
      <c r="H22" s="103"/>
      <c r="I22" s="103"/>
      <c r="J22" s="114" t="s">
        <v>2084</v>
      </c>
      <c r="K22" s="113" t="s">
        <v>2086</v>
      </c>
      <c r="L22" s="113" t="s">
        <v>2087</v>
      </c>
      <c r="M22" s="113" t="s">
        <v>934</v>
      </c>
      <c r="N22" s="113"/>
    </row>
    <row r="23" spans="1:14" ht="13.5" thickBot="1" x14ac:dyDescent="0.25">
      <c r="A23" s="108"/>
      <c r="B23" s="109"/>
      <c r="C23" s="109"/>
      <c r="D23" s="109"/>
      <c r="E23" s="110"/>
      <c r="F23" s="110"/>
      <c r="G23" s="110"/>
      <c r="H23" s="110"/>
      <c r="I23" s="110"/>
      <c r="J23" s="112" t="s">
        <v>2085</v>
      </c>
      <c r="K23" s="94" t="s">
        <v>1428</v>
      </c>
      <c r="L23" s="94" t="s">
        <v>1808</v>
      </c>
      <c r="M23" s="94" t="s">
        <v>1588</v>
      </c>
      <c r="N23" s="94"/>
    </row>
    <row r="24" spans="1:14" x14ac:dyDescent="0.2">
      <c r="A24" s="105"/>
      <c r="B24" s="443" t="s">
        <v>67</v>
      </c>
      <c r="C24" s="443"/>
      <c r="D24" s="443"/>
      <c r="E24" s="99"/>
      <c r="F24" s="99" t="s">
        <v>1181</v>
      </c>
      <c r="G24" s="99" t="s">
        <v>68</v>
      </c>
      <c r="H24" s="99" t="s">
        <v>702</v>
      </c>
      <c r="I24" s="99"/>
      <c r="J24" s="89">
        <f>35.5/ATHENS!O1*ATHENS!O2</f>
        <v>72.448979591836732</v>
      </c>
      <c r="K24" s="89">
        <f>56.8/ATHENS!O1*ATHENS!O2</f>
        <v>115.91836734693877</v>
      </c>
      <c r="L24" s="89">
        <f>80.7/ATHENS!O1*ATHENS!O2</f>
        <v>164.69387755102042</v>
      </c>
      <c r="M24" s="89">
        <f>108.9/ATHENS!O1*ATHENS!O2</f>
        <v>222.2448979591837</v>
      </c>
      <c r="N24" s="89"/>
    </row>
    <row r="25" spans="1:14" x14ac:dyDescent="0.2">
      <c r="A25" s="105"/>
      <c r="B25" s="98" t="s">
        <v>67</v>
      </c>
      <c r="C25" s="98"/>
      <c r="D25" s="98"/>
      <c r="E25" s="99"/>
      <c r="F25" s="99" t="s">
        <v>1182</v>
      </c>
      <c r="G25" s="99" t="s">
        <v>68</v>
      </c>
      <c r="H25" s="99" t="s">
        <v>702</v>
      </c>
      <c r="I25" s="99"/>
      <c r="J25" s="89">
        <f>29.5/ATHENS!O1*ATHENS!O2</f>
        <v>60.204081632653065</v>
      </c>
      <c r="K25" s="89">
        <f>47.5/ATHENS!O1*ATHENS!O2</f>
        <v>96.938775510204081</v>
      </c>
      <c r="L25" s="89">
        <f>67.5/ATHENS!O1*ATHENS!O2</f>
        <v>137.75510204081633</v>
      </c>
      <c r="M25" s="89">
        <f>90.8/ATHENS!O1*ATHENS!O2</f>
        <v>185.30612244897958</v>
      </c>
      <c r="N25" s="89"/>
    </row>
    <row r="26" spans="1:14" ht="13.5" thickBot="1" x14ac:dyDescent="0.25">
      <c r="A26" s="108"/>
      <c r="B26" s="436"/>
      <c r="C26" s="436"/>
      <c r="D26" s="436"/>
      <c r="E26" s="110"/>
      <c r="F26" s="110"/>
      <c r="G26" s="110"/>
      <c r="H26" s="110"/>
      <c r="I26" s="110"/>
      <c r="J26" s="94"/>
      <c r="K26" s="94"/>
      <c r="L26" s="94"/>
      <c r="M26" s="94"/>
      <c r="N26" s="94"/>
    </row>
    <row r="27" spans="1:14" ht="13.5" thickBot="1" x14ac:dyDescent="0.25">
      <c r="A27" s="97"/>
      <c r="B27" s="98"/>
      <c r="C27" s="98"/>
      <c r="D27" s="98"/>
      <c r="E27" s="99"/>
      <c r="F27" s="99"/>
      <c r="G27" s="99"/>
      <c r="H27" s="99"/>
      <c r="I27" s="99"/>
      <c r="J27" s="99"/>
      <c r="K27" s="99"/>
      <c r="L27" s="99"/>
      <c r="M27" s="99"/>
      <c r="N27" s="99"/>
    </row>
    <row r="28" spans="1:14" ht="13.5" thickBot="1" x14ac:dyDescent="0.25">
      <c r="A28" s="101"/>
      <c r="B28" s="102"/>
      <c r="C28" s="102"/>
      <c r="D28" s="102"/>
      <c r="E28" s="103"/>
      <c r="F28" s="103"/>
      <c r="G28" s="103"/>
      <c r="H28" s="103"/>
      <c r="I28" s="103"/>
      <c r="J28" s="103"/>
      <c r="K28" s="103"/>
      <c r="L28" s="103"/>
      <c r="M28" s="103"/>
      <c r="N28" s="104"/>
    </row>
    <row r="29" spans="1:14" ht="15.75" thickBot="1" x14ac:dyDescent="0.25">
      <c r="A29" s="105"/>
      <c r="B29" s="459" t="s">
        <v>867</v>
      </c>
      <c r="C29" s="460"/>
      <c r="D29" s="460"/>
      <c r="E29" s="460"/>
      <c r="F29" s="460"/>
      <c r="G29" s="460"/>
      <c r="H29" s="460"/>
      <c r="I29" s="460"/>
      <c r="J29" s="460"/>
      <c r="K29" s="460"/>
      <c r="L29" s="460"/>
      <c r="M29" s="461"/>
      <c r="N29" s="106" t="s">
        <v>96</v>
      </c>
    </row>
    <row r="30" spans="1:14" x14ac:dyDescent="0.2">
      <c r="A30" s="105"/>
      <c r="B30" s="107" t="s">
        <v>428</v>
      </c>
      <c r="C30" s="98" t="s">
        <v>868</v>
      </c>
      <c r="D30" s="98"/>
      <c r="E30" s="99"/>
      <c r="F30" s="99"/>
      <c r="G30" s="99"/>
      <c r="H30" s="99"/>
      <c r="I30" s="99"/>
      <c r="J30" s="99"/>
      <c r="K30" s="99"/>
      <c r="L30" s="99"/>
      <c r="M30" s="99"/>
      <c r="N30" s="90"/>
    </row>
    <row r="31" spans="1:14" x14ac:dyDescent="0.2">
      <c r="A31" s="105"/>
      <c r="B31" s="107" t="s">
        <v>429</v>
      </c>
      <c r="C31" s="98" t="s">
        <v>1092</v>
      </c>
      <c r="D31" s="98"/>
      <c r="E31" s="99"/>
      <c r="F31" s="99"/>
      <c r="G31" s="99"/>
      <c r="H31" s="99"/>
      <c r="I31" s="99"/>
      <c r="J31" s="99"/>
      <c r="K31" s="99"/>
      <c r="L31" s="99"/>
      <c r="M31" s="99"/>
      <c r="N31" s="90"/>
    </row>
    <row r="32" spans="1:14" x14ac:dyDescent="0.2">
      <c r="A32" s="105"/>
      <c r="B32" s="107" t="s">
        <v>427</v>
      </c>
      <c r="C32" s="455" t="s">
        <v>1631</v>
      </c>
      <c r="D32" s="455"/>
      <c r="E32" s="455"/>
      <c r="F32" s="455"/>
      <c r="G32" s="455"/>
      <c r="H32" s="455"/>
      <c r="I32" s="455"/>
      <c r="J32" s="455"/>
      <c r="K32" s="455"/>
      <c r="L32" s="455"/>
      <c r="M32" s="455"/>
      <c r="N32" s="456"/>
    </row>
    <row r="33" spans="1:14" x14ac:dyDescent="0.2">
      <c r="A33" s="105"/>
      <c r="B33" s="107"/>
      <c r="C33" s="455"/>
      <c r="D33" s="455"/>
      <c r="E33" s="455"/>
      <c r="F33" s="455"/>
      <c r="G33" s="455"/>
      <c r="H33" s="455"/>
      <c r="I33" s="455"/>
      <c r="J33" s="455"/>
      <c r="K33" s="455"/>
      <c r="L33" s="455"/>
      <c r="M33" s="455"/>
      <c r="N33" s="456"/>
    </row>
    <row r="34" spans="1:14" ht="13.5" thickBot="1" x14ac:dyDescent="0.25">
      <c r="A34" s="105"/>
      <c r="B34" s="107" t="s">
        <v>426</v>
      </c>
      <c r="C34" s="98" t="s">
        <v>869</v>
      </c>
      <c r="D34" s="98"/>
      <c r="E34" s="99"/>
      <c r="F34" s="99"/>
      <c r="G34" s="99"/>
      <c r="H34" s="99"/>
      <c r="I34" s="99"/>
      <c r="J34" s="99"/>
      <c r="K34" s="99"/>
      <c r="L34" s="99"/>
      <c r="M34" s="99"/>
      <c r="N34" s="90"/>
    </row>
    <row r="35" spans="1:14" x14ac:dyDescent="0.2">
      <c r="A35" s="101"/>
      <c r="B35" s="102" t="s">
        <v>263</v>
      </c>
      <c r="C35" s="102"/>
      <c r="D35" s="102"/>
      <c r="E35" s="103"/>
      <c r="F35" s="103"/>
      <c r="G35" s="103"/>
      <c r="H35" s="103"/>
      <c r="I35" s="103"/>
      <c r="J35" s="114" t="s">
        <v>1966</v>
      </c>
      <c r="K35" s="114" t="s">
        <v>279</v>
      </c>
      <c r="L35" s="114" t="s">
        <v>770</v>
      </c>
      <c r="M35" s="114"/>
      <c r="N35" s="113"/>
    </row>
    <row r="36" spans="1:14" ht="13.5" thickBot="1" x14ac:dyDescent="0.25">
      <c r="A36" s="108"/>
      <c r="B36" s="109"/>
      <c r="C36" s="109"/>
      <c r="D36" s="109"/>
      <c r="E36" s="110"/>
      <c r="F36" s="110"/>
      <c r="G36" s="110"/>
      <c r="H36" s="110"/>
      <c r="I36" s="110"/>
      <c r="J36" s="112" t="s">
        <v>1967</v>
      </c>
      <c r="K36" s="112" t="s">
        <v>1968</v>
      </c>
      <c r="L36" s="112" t="s">
        <v>1969</v>
      </c>
      <c r="M36" s="112" t="s">
        <v>1970</v>
      </c>
      <c r="N36" s="94"/>
    </row>
    <row r="37" spans="1:14" x14ac:dyDescent="0.2">
      <c r="A37" s="101"/>
      <c r="B37" s="448" t="s">
        <v>67</v>
      </c>
      <c r="C37" s="448"/>
      <c r="D37" s="448"/>
      <c r="E37" s="103"/>
      <c r="F37" s="103" t="s">
        <v>1180</v>
      </c>
      <c r="G37" s="103" t="s">
        <v>68</v>
      </c>
      <c r="H37" s="103" t="s">
        <v>702</v>
      </c>
      <c r="I37" s="103"/>
      <c r="J37" s="113">
        <f>126/ATHENS!O1*ATHENS!O2</f>
        <v>257.14285714285717</v>
      </c>
      <c r="K37" s="113">
        <f>162/ATHENS!O1*ATHENS!O2</f>
        <v>330.61224489795921</v>
      </c>
      <c r="L37" s="113">
        <f>180/ATHENS!O1*ATHENS!O2</f>
        <v>367.34693877551024</v>
      </c>
      <c r="M37" s="113">
        <f>198/ATHENS!O1*ATHENS!O2</f>
        <v>404.08163265306121</v>
      </c>
      <c r="N37" s="113"/>
    </row>
    <row r="38" spans="1:14" x14ac:dyDescent="0.2">
      <c r="A38" s="105"/>
      <c r="B38" s="443" t="s">
        <v>67</v>
      </c>
      <c r="C38" s="443"/>
      <c r="D38" s="443"/>
      <c r="E38" s="99"/>
      <c r="F38" s="99" t="s">
        <v>1181</v>
      </c>
      <c r="G38" s="99" t="s">
        <v>68</v>
      </c>
      <c r="H38" s="99" t="s">
        <v>702</v>
      </c>
      <c r="I38" s="99"/>
      <c r="J38" s="89">
        <f>63/ATHENS!O1*ATHENS!O2</f>
        <v>128.57142857142858</v>
      </c>
      <c r="K38" s="89">
        <f>81/ATHENS!O1*ATHENS!O2</f>
        <v>165.30612244897961</v>
      </c>
      <c r="L38" s="89">
        <f>90/ATHENS!O1*ATHENS!O2</f>
        <v>183.67346938775512</v>
      </c>
      <c r="M38" s="89">
        <f>99/ATHENS!O1*ATHENS!O2</f>
        <v>202.0408163265306</v>
      </c>
      <c r="N38" s="89"/>
    </row>
    <row r="39" spans="1:14" ht="13.5" thickBot="1" x14ac:dyDescent="0.25">
      <c r="A39" s="108"/>
      <c r="B39" s="436" t="s">
        <v>67</v>
      </c>
      <c r="C39" s="436"/>
      <c r="D39" s="436"/>
      <c r="E39" s="110"/>
      <c r="F39" s="110" t="s">
        <v>1182</v>
      </c>
      <c r="G39" s="110" t="s">
        <v>68</v>
      </c>
      <c r="H39" s="110" t="s">
        <v>702</v>
      </c>
      <c r="I39" s="110"/>
      <c r="J39" s="94">
        <f>48.6/ATHENS!O1*ATHENS!O2</f>
        <v>99.183673469387756</v>
      </c>
      <c r="K39" s="94">
        <f>60.6/ATHENS!O1*ATHENS!O2</f>
        <v>123.67346938775511</v>
      </c>
      <c r="L39" s="94">
        <f>66.6/ATHENS!O1*ATHENS!O2</f>
        <v>135.91836734693877</v>
      </c>
      <c r="M39" s="94">
        <f>72.6/ATHENS!O1*ATHENS!O2</f>
        <v>148.16326530612244</v>
      </c>
      <c r="N39" s="94"/>
    </row>
    <row r="40" spans="1:14" ht="13.5" thickBot="1" x14ac:dyDescent="0.25">
      <c r="A40" s="119"/>
      <c r="B40" s="120" t="s">
        <v>870</v>
      </c>
      <c r="C40" s="120"/>
      <c r="D40" s="120"/>
      <c r="E40" s="121"/>
      <c r="F40" s="121"/>
      <c r="G40" s="121"/>
      <c r="H40" s="121"/>
      <c r="I40" s="121"/>
      <c r="J40" s="121"/>
      <c r="K40" s="121"/>
      <c r="L40" s="121"/>
      <c r="M40" s="121"/>
      <c r="N40" s="122"/>
    </row>
    <row r="41" spans="1:14" ht="13.5" thickBot="1" x14ac:dyDescent="0.25">
      <c r="A41" s="97"/>
      <c r="B41" s="98"/>
      <c r="C41" s="98"/>
      <c r="D41" s="98"/>
      <c r="E41" s="99"/>
      <c r="F41" s="99"/>
      <c r="G41" s="99"/>
      <c r="H41" s="99"/>
      <c r="I41" s="99"/>
      <c r="J41" s="99"/>
      <c r="K41" s="99"/>
      <c r="L41" s="99"/>
      <c r="M41" s="99"/>
      <c r="N41" s="99"/>
    </row>
    <row r="42" spans="1:14" ht="13.5" thickBot="1" x14ac:dyDescent="0.25">
      <c r="A42" s="101"/>
      <c r="B42" s="102"/>
      <c r="C42" s="102"/>
      <c r="D42" s="102"/>
      <c r="E42" s="103"/>
      <c r="F42" s="103"/>
      <c r="G42" s="103"/>
      <c r="H42" s="103"/>
      <c r="I42" s="103"/>
      <c r="J42" s="103"/>
      <c r="K42" s="103"/>
      <c r="L42" s="103"/>
      <c r="M42" s="103"/>
      <c r="N42" s="104"/>
    </row>
    <row r="43" spans="1:14" ht="15.75" thickBot="1" x14ac:dyDescent="0.25">
      <c r="A43" s="105"/>
      <c r="B43" s="459" t="s">
        <v>236</v>
      </c>
      <c r="C43" s="460"/>
      <c r="D43" s="460"/>
      <c r="E43" s="460"/>
      <c r="F43" s="460"/>
      <c r="G43" s="460"/>
      <c r="H43" s="460"/>
      <c r="I43" s="460"/>
      <c r="J43" s="460"/>
      <c r="K43" s="460"/>
      <c r="L43" s="460"/>
      <c r="M43" s="461"/>
      <c r="N43" s="106" t="s">
        <v>96</v>
      </c>
    </row>
    <row r="44" spans="1:14" x14ac:dyDescent="0.2">
      <c r="A44" s="105"/>
      <c r="B44" s="107" t="s">
        <v>428</v>
      </c>
      <c r="C44" s="98" t="s">
        <v>238</v>
      </c>
      <c r="D44" s="98"/>
      <c r="E44" s="99"/>
      <c r="F44" s="99"/>
      <c r="G44" s="99"/>
      <c r="H44" s="99"/>
      <c r="I44" s="99"/>
      <c r="J44" s="99"/>
      <c r="K44" s="99"/>
      <c r="L44" s="99"/>
      <c r="M44" s="99"/>
      <c r="N44" s="90"/>
    </row>
    <row r="45" spans="1:14" x14ac:dyDescent="0.2">
      <c r="A45" s="105"/>
      <c r="B45" s="107" t="s">
        <v>429</v>
      </c>
      <c r="C45" s="98" t="s">
        <v>1243</v>
      </c>
      <c r="D45" s="98"/>
      <c r="E45" s="99"/>
      <c r="F45" s="99"/>
      <c r="G45" s="99"/>
      <c r="H45" s="99"/>
      <c r="I45" s="99"/>
      <c r="J45" s="99"/>
      <c r="K45" s="99"/>
      <c r="L45" s="99"/>
      <c r="M45" s="99"/>
      <c r="N45" s="90"/>
    </row>
    <row r="46" spans="1:14" x14ac:dyDescent="0.2">
      <c r="A46" s="105"/>
      <c r="B46" s="107" t="s">
        <v>427</v>
      </c>
      <c r="C46" s="455" t="s">
        <v>62</v>
      </c>
      <c r="D46" s="455"/>
      <c r="E46" s="455"/>
      <c r="F46" s="455"/>
      <c r="G46" s="455"/>
      <c r="H46" s="455"/>
      <c r="I46" s="455"/>
      <c r="J46" s="455"/>
      <c r="K46" s="455"/>
      <c r="L46" s="455"/>
      <c r="M46" s="455"/>
      <c r="N46" s="456"/>
    </row>
    <row r="47" spans="1:14" x14ac:dyDescent="0.2">
      <c r="A47" s="105"/>
      <c r="B47" s="107"/>
      <c r="C47" s="455"/>
      <c r="D47" s="455"/>
      <c r="E47" s="455"/>
      <c r="F47" s="455"/>
      <c r="G47" s="455"/>
      <c r="H47" s="455"/>
      <c r="I47" s="455"/>
      <c r="J47" s="455"/>
      <c r="K47" s="455"/>
      <c r="L47" s="455"/>
      <c r="M47" s="455"/>
      <c r="N47" s="456"/>
    </row>
    <row r="48" spans="1:14" x14ac:dyDescent="0.2">
      <c r="A48" s="105"/>
      <c r="B48" s="107"/>
      <c r="C48" s="455"/>
      <c r="D48" s="455"/>
      <c r="E48" s="455"/>
      <c r="F48" s="455"/>
      <c r="G48" s="455"/>
      <c r="H48" s="455"/>
      <c r="I48" s="455"/>
      <c r="J48" s="455"/>
      <c r="K48" s="455"/>
      <c r="L48" s="455"/>
      <c r="M48" s="455"/>
      <c r="N48" s="456"/>
    </row>
    <row r="49" spans="1:14" ht="13.5" thickBot="1" x14ac:dyDescent="0.25">
      <c r="A49" s="105"/>
      <c r="B49" s="98"/>
      <c r="C49" s="455"/>
      <c r="D49" s="455"/>
      <c r="E49" s="455"/>
      <c r="F49" s="455"/>
      <c r="G49" s="455"/>
      <c r="H49" s="455"/>
      <c r="I49" s="455"/>
      <c r="J49" s="455"/>
      <c r="K49" s="455"/>
      <c r="L49" s="455"/>
      <c r="M49" s="455"/>
      <c r="N49" s="456"/>
    </row>
    <row r="50" spans="1:14" x14ac:dyDescent="0.2">
      <c r="A50" s="101"/>
      <c r="B50" s="102" t="s">
        <v>263</v>
      </c>
      <c r="C50" s="102"/>
      <c r="D50" s="102"/>
      <c r="E50" s="103"/>
      <c r="F50" s="103"/>
      <c r="G50" s="103"/>
      <c r="H50" s="103"/>
      <c r="I50" s="103"/>
      <c r="J50" s="114" t="s">
        <v>758</v>
      </c>
      <c r="K50" s="114" t="s">
        <v>279</v>
      </c>
      <c r="L50" s="114"/>
      <c r="M50" s="114"/>
      <c r="N50" s="113"/>
    </row>
    <row r="51" spans="1:14" ht="13.5" thickBot="1" x14ac:dyDescent="0.25">
      <c r="A51" s="108"/>
      <c r="B51" s="109"/>
      <c r="C51" s="109"/>
      <c r="D51" s="109"/>
      <c r="E51" s="110"/>
      <c r="F51" s="110"/>
      <c r="G51" s="110"/>
      <c r="H51" s="110"/>
      <c r="I51" s="110"/>
      <c r="J51" s="112" t="s">
        <v>481</v>
      </c>
      <c r="K51" s="112" t="s">
        <v>832</v>
      </c>
      <c r="L51" s="112" t="s">
        <v>228</v>
      </c>
      <c r="M51" s="112" t="s">
        <v>188</v>
      </c>
      <c r="N51" s="94"/>
    </row>
    <row r="52" spans="1:14" x14ac:dyDescent="0.2">
      <c r="A52" s="101"/>
      <c r="B52" s="448" t="s">
        <v>67</v>
      </c>
      <c r="C52" s="448"/>
      <c r="D52" s="448"/>
      <c r="E52" s="103"/>
      <c r="F52" s="103" t="s">
        <v>63</v>
      </c>
      <c r="G52" s="103" t="s">
        <v>68</v>
      </c>
      <c r="H52" s="103" t="s">
        <v>702</v>
      </c>
      <c r="I52" s="103"/>
      <c r="J52" s="113">
        <f>73.38/ATHENS!O1*ATHENS!O2</f>
        <v>149.75510204081633</v>
      </c>
      <c r="K52" s="113">
        <f>85.71/ATHENS!O1*ATHENS!O2</f>
        <v>174.91836734693877</v>
      </c>
      <c r="L52" s="113">
        <f>95.22/ATHENS!O1*ATHENS!O2</f>
        <v>194.32653061224491</v>
      </c>
      <c r="M52" s="113">
        <f>115.11/ATHENS!O1*ATHENS!O2</f>
        <v>234.91836734693877</v>
      </c>
      <c r="N52" s="113"/>
    </row>
    <row r="53" spans="1:14" x14ac:dyDescent="0.2">
      <c r="A53" s="105"/>
      <c r="B53" s="443" t="s">
        <v>67</v>
      </c>
      <c r="C53" s="443"/>
      <c r="D53" s="443"/>
      <c r="E53" s="99"/>
      <c r="F53" s="99" t="s">
        <v>1196</v>
      </c>
      <c r="G53" s="99" t="s">
        <v>68</v>
      </c>
      <c r="H53" s="99" t="s">
        <v>702</v>
      </c>
      <c r="I53" s="99"/>
      <c r="J53" s="89">
        <f>36.69/ATHENS!O1*ATHENS!O2</f>
        <v>74.877551020408163</v>
      </c>
      <c r="K53" s="89">
        <f>42.85/ATHENS!O1*ATHENS!O2</f>
        <v>87.448979591836732</v>
      </c>
      <c r="L53" s="89">
        <f>47.61/ATHENS!O1*ATHENS!O2</f>
        <v>97.163265306122454</v>
      </c>
      <c r="M53" s="89">
        <f>57.55/ATHENS!O1*ATHENS!O2</f>
        <v>117.44897959183673</v>
      </c>
      <c r="N53" s="89"/>
    </row>
    <row r="54" spans="1:14" ht="13.5" thickBot="1" x14ac:dyDescent="0.25">
      <c r="A54" s="108"/>
      <c r="B54" s="436" t="s">
        <v>67</v>
      </c>
      <c r="C54" s="436"/>
      <c r="D54" s="436"/>
      <c r="E54" s="110"/>
      <c r="F54" s="110" t="s">
        <v>370</v>
      </c>
      <c r="G54" s="110" t="s">
        <v>68</v>
      </c>
      <c r="H54" s="110" t="s">
        <v>702</v>
      </c>
      <c r="I54" s="110"/>
      <c r="J54" s="94">
        <f>28.2/ATHENS!O1*ATHENS!O2</f>
        <v>57.551020408163268</v>
      </c>
      <c r="K54" s="94">
        <f>33.48/ATHENS!O1*ATHENS!O2</f>
        <v>68.326530612244895</v>
      </c>
      <c r="L54" s="94">
        <f>42.81/ATHENS!O1*ATHENS!O2</f>
        <v>87.367346938775512</v>
      </c>
      <c r="M54" s="94">
        <f>51.78/ATHENS!O1*ATHENS!O2</f>
        <v>105.67346938775511</v>
      </c>
      <c r="N54" s="94"/>
    </row>
    <row r="55" spans="1:14" ht="13.5" thickBot="1" x14ac:dyDescent="0.25">
      <c r="A55" s="101"/>
      <c r="B55" s="102"/>
      <c r="C55" s="102"/>
      <c r="D55" s="102"/>
      <c r="E55" s="103"/>
      <c r="F55" s="103"/>
      <c r="G55" s="103"/>
      <c r="H55" s="103"/>
      <c r="I55" s="103"/>
      <c r="J55" s="103"/>
      <c r="K55" s="103"/>
      <c r="L55" s="103"/>
      <c r="M55" s="103"/>
      <c r="N55" s="104"/>
    </row>
    <row r="56" spans="1:14" ht="15.75" thickBot="1" x14ac:dyDescent="0.25">
      <c r="A56" s="105"/>
      <c r="B56" s="459" t="s">
        <v>662</v>
      </c>
      <c r="C56" s="460"/>
      <c r="D56" s="460"/>
      <c r="E56" s="460"/>
      <c r="F56" s="460"/>
      <c r="G56" s="460"/>
      <c r="H56" s="460"/>
      <c r="I56" s="460"/>
      <c r="J56" s="460"/>
      <c r="K56" s="460"/>
      <c r="L56" s="460"/>
      <c r="M56" s="461"/>
      <c r="N56" s="106" t="s">
        <v>96</v>
      </c>
    </row>
    <row r="57" spans="1:14" x14ac:dyDescent="0.2">
      <c r="A57" s="105"/>
      <c r="B57" s="107" t="s">
        <v>428</v>
      </c>
      <c r="C57" s="98" t="s">
        <v>622</v>
      </c>
      <c r="D57" s="98"/>
      <c r="E57" s="99"/>
      <c r="F57" s="99"/>
      <c r="G57" s="99"/>
      <c r="H57" s="99"/>
      <c r="I57" s="99"/>
      <c r="J57" s="99"/>
      <c r="K57" s="99"/>
      <c r="L57" s="99"/>
      <c r="M57" s="99"/>
      <c r="N57" s="90"/>
    </row>
    <row r="58" spans="1:14" x14ac:dyDescent="0.2">
      <c r="A58" s="105"/>
      <c r="B58" s="107" t="s">
        <v>429</v>
      </c>
      <c r="C58" s="98" t="s">
        <v>563</v>
      </c>
      <c r="D58" s="98"/>
      <c r="E58" s="99"/>
      <c r="F58" s="99"/>
      <c r="G58" s="99"/>
      <c r="H58" s="99"/>
      <c r="I58" s="99"/>
      <c r="J58" s="99"/>
      <c r="K58" s="99"/>
      <c r="L58" s="99"/>
      <c r="M58" s="99"/>
      <c r="N58" s="90"/>
    </row>
    <row r="59" spans="1:14" x14ac:dyDescent="0.2">
      <c r="A59" s="105"/>
      <c r="B59" s="107" t="s">
        <v>427</v>
      </c>
      <c r="C59" s="455" t="s">
        <v>1632</v>
      </c>
      <c r="D59" s="455"/>
      <c r="E59" s="455"/>
      <c r="F59" s="455"/>
      <c r="G59" s="455"/>
      <c r="H59" s="455"/>
      <c r="I59" s="455"/>
      <c r="J59" s="455"/>
      <c r="K59" s="455"/>
      <c r="L59" s="455"/>
      <c r="M59" s="455"/>
      <c r="N59" s="456"/>
    </row>
    <row r="60" spans="1:14" x14ac:dyDescent="0.2">
      <c r="A60" s="105"/>
      <c r="B60" s="107"/>
      <c r="C60" s="455"/>
      <c r="D60" s="455"/>
      <c r="E60" s="455"/>
      <c r="F60" s="455"/>
      <c r="G60" s="455"/>
      <c r="H60" s="455"/>
      <c r="I60" s="455"/>
      <c r="J60" s="455"/>
      <c r="K60" s="455"/>
      <c r="L60" s="455"/>
      <c r="M60" s="455"/>
      <c r="N60" s="456"/>
    </row>
    <row r="61" spans="1:14" x14ac:dyDescent="0.2">
      <c r="A61" s="105"/>
      <c r="B61" s="107"/>
      <c r="C61" s="455"/>
      <c r="D61" s="455"/>
      <c r="E61" s="455"/>
      <c r="F61" s="455"/>
      <c r="G61" s="455"/>
      <c r="H61" s="455"/>
      <c r="I61" s="455"/>
      <c r="J61" s="455"/>
      <c r="K61" s="455"/>
      <c r="L61" s="455"/>
      <c r="M61" s="455"/>
      <c r="N61" s="456"/>
    </row>
    <row r="62" spans="1:14" ht="13.5" thickBot="1" x14ac:dyDescent="0.25">
      <c r="A62" s="105"/>
      <c r="B62" s="107" t="s">
        <v>426</v>
      </c>
      <c r="C62" s="98" t="s">
        <v>623</v>
      </c>
      <c r="D62" s="98"/>
      <c r="E62" s="99"/>
      <c r="F62" s="99"/>
      <c r="G62" s="99"/>
      <c r="H62" s="99"/>
      <c r="I62" s="99"/>
      <c r="J62" s="99"/>
      <c r="K62" s="99"/>
      <c r="L62" s="99"/>
      <c r="M62" s="99"/>
      <c r="N62" s="90"/>
    </row>
    <row r="63" spans="1:14" x14ac:dyDescent="0.2">
      <c r="A63" s="101"/>
      <c r="B63" s="102" t="s">
        <v>263</v>
      </c>
      <c r="C63" s="102"/>
      <c r="D63" s="102"/>
      <c r="E63" s="103"/>
      <c r="F63" s="103"/>
      <c r="G63" s="103"/>
      <c r="H63" s="103"/>
      <c r="I63" s="103"/>
      <c r="J63" s="114" t="s">
        <v>1414</v>
      </c>
      <c r="K63" s="113" t="s">
        <v>1409</v>
      </c>
      <c r="L63" s="113"/>
      <c r="M63" s="113"/>
      <c r="N63" s="113"/>
    </row>
    <row r="64" spans="1:14" ht="13.5" thickBot="1" x14ac:dyDescent="0.25">
      <c r="A64" s="108"/>
      <c r="B64" s="109"/>
      <c r="C64" s="109"/>
      <c r="D64" s="109"/>
      <c r="E64" s="110"/>
      <c r="F64" s="110"/>
      <c r="G64" s="110"/>
      <c r="H64" s="110"/>
      <c r="I64" s="110"/>
      <c r="J64" s="112" t="s">
        <v>2088</v>
      </c>
      <c r="K64" s="94" t="s">
        <v>235</v>
      </c>
      <c r="L64" s="94" t="s">
        <v>1410</v>
      </c>
      <c r="M64" s="94"/>
      <c r="N64" s="94"/>
    </row>
    <row r="65" spans="1:14" x14ac:dyDescent="0.2">
      <c r="A65" s="101"/>
      <c r="B65" s="448" t="s">
        <v>67</v>
      </c>
      <c r="C65" s="448"/>
      <c r="D65" s="448"/>
      <c r="E65" s="103"/>
      <c r="F65" s="103" t="s">
        <v>1180</v>
      </c>
      <c r="G65" s="103" t="s">
        <v>1484</v>
      </c>
      <c r="H65" s="103" t="s">
        <v>702</v>
      </c>
      <c r="I65" s="103"/>
      <c r="J65" s="89">
        <f>80.9/ATHENS!O1*ATHENS!O2</f>
        <v>165.10204081632654</v>
      </c>
      <c r="K65" s="89">
        <f>92.6/ATHENS!O1*ATHENS!O2</f>
        <v>188.9795918367347</v>
      </c>
      <c r="L65" s="89">
        <f>127.6/ATHENS!O1*ATHENS!O2</f>
        <v>260.40816326530614</v>
      </c>
      <c r="M65" s="89"/>
      <c r="N65" s="113"/>
    </row>
    <row r="66" spans="1:14" x14ac:dyDescent="0.2">
      <c r="A66" s="105"/>
      <c r="B66" s="443" t="s">
        <v>67</v>
      </c>
      <c r="C66" s="443"/>
      <c r="D66" s="443"/>
      <c r="E66" s="99"/>
      <c r="F66" s="99" t="s">
        <v>1181</v>
      </c>
      <c r="G66" s="99" t="s">
        <v>1484</v>
      </c>
      <c r="H66" s="99" t="s">
        <v>702</v>
      </c>
      <c r="I66" s="99"/>
      <c r="J66" s="89">
        <f>42.6/ATHENS!O1*ATHENS!O2</f>
        <v>86.938775510204081</v>
      </c>
      <c r="K66" s="89">
        <f>62.5/ATHENS!O1*ATHENS!O2</f>
        <v>127.55102040816327</v>
      </c>
      <c r="L66" s="89">
        <f>75.9/ATHENS!O1*ATHENS!O2</f>
        <v>154.89795918367349</v>
      </c>
      <c r="M66" s="89"/>
      <c r="N66" s="89"/>
    </row>
    <row r="67" spans="1:14" ht="13.5" thickBot="1" x14ac:dyDescent="0.25">
      <c r="A67" s="108"/>
      <c r="B67" s="436" t="s">
        <v>67</v>
      </c>
      <c r="C67" s="436"/>
      <c r="D67" s="436"/>
      <c r="E67" s="110"/>
      <c r="F67" s="110" t="s">
        <v>1182</v>
      </c>
      <c r="G67" s="110" t="s">
        <v>1484</v>
      </c>
      <c r="H67" s="110" t="s">
        <v>702</v>
      </c>
      <c r="I67" s="110"/>
      <c r="J67" s="94">
        <f>36.9/ATHENS!O1*ATHENS!O2</f>
        <v>75.306122448979593</v>
      </c>
      <c r="K67" s="94">
        <f>56.5/ATHENS!O1*ATHENS!O2</f>
        <v>115.30612244897959</v>
      </c>
      <c r="L67" s="94">
        <f>68.5/ATHENS!O1*ATHENS!O2</f>
        <v>139.79591836734693</v>
      </c>
      <c r="M67" s="94"/>
      <c r="N67" s="94"/>
    </row>
    <row r="68" spans="1:14" ht="13.5" thickBot="1" x14ac:dyDescent="0.25">
      <c r="A68" s="119"/>
      <c r="B68" s="120" t="s">
        <v>1159</v>
      </c>
      <c r="C68" s="120"/>
      <c r="D68" s="120"/>
      <c r="E68" s="121"/>
      <c r="F68" s="121"/>
      <c r="G68" s="121"/>
      <c r="H68" s="121"/>
      <c r="I68" s="121"/>
      <c r="J68" s="121"/>
      <c r="K68" s="121"/>
      <c r="L68" s="121"/>
      <c r="M68" s="121"/>
      <c r="N68" s="122"/>
    </row>
    <row r="69" spans="1:14" ht="13.5" thickBot="1" x14ac:dyDescent="0.25">
      <c r="A69" s="97"/>
      <c r="B69" s="98"/>
      <c r="C69" s="98"/>
      <c r="D69" s="98"/>
      <c r="E69" s="99"/>
      <c r="F69" s="99"/>
      <c r="G69" s="99"/>
      <c r="H69" s="99"/>
      <c r="I69" s="99"/>
      <c r="J69" s="99"/>
      <c r="K69" s="99"/>
      <c r="L69" s="99"/>
      <c r="M69" s="99"/>
      <c r="N69" s="99"/>
    </row>
    <row r="70" spans="1:14" ht="13.5" thickBot="1" x14ac:dyDescent="0.25">
      <c r="A70" s="101"/>
      <c r="B70" s="102"/>
      <c r="C70" s="102"/>
      <c r="D70" s="102"/>
      <c r="E70" s="103"/>
      <c r="F70" s="103"/>
      <c r="G70" s="103"/>
      <c r="H70" s="103"/>
      <c r="I70" s="103"/>
      <c r="J70" s="103"/>
      <c r="K70" s="103"/>
      <c r="L70" s="103"/>
      <c r="M70" s="103"/>
      <c r="N70" s="104"/>
    </row>
    <row r="71" spans="1:14" ht="15.75" thickBot="1" x14ac:dyDescent="0.25">
      <c r="A71" s="105"/>
      <c r="B71" s="459" t="s">
        <v>237</v>
      </c>
      <c r="C71" s="460"/>
      <c r="D71" s="460"/>
      <c r="E71" s="460"/>
      <c r="F71" s="460"/>
      <c r="G71" s="460"/>
      <c r="H71" s="460"/>
      <c r="I71" s="460"/>
      <c r="J71" s="460"/>
      <c r="K71" s="460"/>
      <c r="L71" s="460"/>
      <c r="M71" s="461"/>
      <c r="N71" s="106" t="s">
        <v>96</v>
      </c>
    </row>
    <row r="72" spans="1:14" x14ac:dyDescent="0.2">
      <c r="A72" s="105"/>
      <c r="B72" s="107" t="s">
        <v>428</v>
      </c>
      <c r="C72" s="98" t="s">
        <v>311</v>
      </c>
      <c r="D72" s="98"/>
      <c r="E72" s="99"/>
      <c r="F72" s="99"/>
      <c r="G72" s="99"/>
      <c r="H72" s="99"/>
      <c r="I72" s="99"/>
      <c r="J72" s="99"/>
      <c r="K72" s="99"/>
      <c r="L72" s="99"/>
      <c r="M72" s="99"/>
      <c r="N72" s="90"/>
    </row>
    <row r="73" spans="1:14" x14ac:dyDescent="0.2">
      <c r="A73" s="105"/>
      <c r="B73" s="107" t="s">
        <v>429</v>
      </c>
      <c r="C73" s="98" t="s">
        <v>310</v>
      </c>
      <c r="D73" s="98"/>
      <c r="E73" s="99"/>
      <c r="F73" s="99"/>
      <c r="G73" s="99"/>
      <c r="H73" s="99"/>
      <c r="I73" s="99"/>
      <c r="J73" s="99"/>
      <c r="K73" s="99"/>
      <c r="L73" s="99"/>
      <c r="M73" s="99"/>
      <c r="N73" s="90"/>
    </row>
    <row r="74" spans="1:14" x14ac:dyDescent="0.2">
      <c r="A74" s="105"/>
      <c r="B74" s="107" t="s">
        <v>427</v>
      </c>
      <c r="C74" s="474" t="s">
        <v>64</v>
      </c>
      <c r="D74" s="474"/>
      <c r="E74" s="474"/>
      <c r="F74" s="474"/>
      <c r="G74" s="474"/>
      <c r="H74" s="474"/>
      <c r="I74" s="474"/>
      <c r="J74" s="474"/>
      <c r="K74" s="474"/>
      <c r="L74" s="474"/>
      <c r="M74" s="474"/>
      <c r="N74" s="475"/>
    </row>
    <row r="75" spans="1:14" x14ac:dyDescent="0.2">
      <c r="A75" s="105"/>
      <c r="B75" s="107"/>
      <c r="C75" s="474"/>
      <c r="D75" s="474"/>
      <c r="E75" s="474"/>
      <c r="F75" s="474"/>
      <c r="G75" s="474"/>
      <c r="H75" s="474"/>
      <c r="I75" s="474"/>
      <c r="J75" s="474"/>
      <c r="K75" s="474"/>
      <c r="L75" s="474"/>
      <c r="M75" s="474"/>
      <c r="N75" s="475"/>
    </row>
    <row r="76" spans="1:14" x14ac:dyDescent="0.2">
      <c r="A76" s="105"/>
      <c r="B76" s="107"/>
      <c r="C76" s="474"/>
      <c r="D76" s="474"/>
      <c r="E76" s="474"/>
      <c r="F76" s="474"/>
      <c r="G76" s="474"/>
      <c r="H76" s="474"/>
      <c r="I76" s="474"/>
      <c r="J76" s="474"/>
      <c r="K76" s="474"/>
      <c r="L76" s="474"/>
      <c r="M76" s="474"/>
      <c r="N76" s="475"/>
    </row>
    <row r="77" spans="1:14" ht="19.5" customHeight="1" thickBot="1" x14ac:dyDescent="0.25">
      <c r="A77" s="105"/>
      <c r="B77" s="98"/>
      <c r="C77" s="474"/>
      <c r="D77" s="474"/>
      <c r="E77" s="474"/>
      <c r="F77" s="474"/>
      <c r="G77" s="474"/>
      <c r="H77" s="474"/>
      <c r="I77" s="474"/>
      <c r="J77" s="474"/>
      <c r="K77" s="474"/>
      <c r="L77" s="474"/>
      <c r="M77" s="474"/>
      <c r="N77" s="475"/>
    </row>
    <row r="78" spans="1:14" x14ac:dyDescent="0.2">
      <c r="A78" s="101"/>
      <c r="B78" s="102" t="s">
        <v>263</v>
      </c>
      <c r="C78" s="102"/>
      <c r="D78" s="102"/>
      <c r="E78" s="103"/>
      <c r="F78" s="103"/>
      <c r="G78" s="103"/>
      <c r="H78" s="103"/>
      <c r="I78" s="103"/>
      <c r="J78" s="114" t="s">
        <v>2039</v>
      </c>
      <c r="K78" s="114" t="s">
        <v>576</v>
      </c>
      <c r="L78" s="114" t="s">
        <v>577</v>
      </c>
      <c r="M78" s="114"/>
      <c r="N78" s="113"/>
    </row>
    <row r="79" spans="1:14" ht="13.5" thickBot="1" x14ac:dyDescent="0.25">
      <c r="A79" s="108"/>
      <c r="B79" s="109"/>
      <c r="C79" s="109"/>
      <c r="D79" s="109"/>
      <c r="E79" s="110"/>
      <c r="F79" s="110"/>
      <c r="G79" s="110"/>
      <c r="H79" s="110"/>
      <c r="I79" s="110"/>
      <c r="J79" s="112" t="s">
        <v>2089</v>
      </c>
      <c r="K79" s="112" t="s">
        <v>1583</v>
      </c>
      <c r="L79" s="112" t="s">
        <v>235</v>
      </c>
      <c r="M79" s="112" t="s">
        <v>579</v>
      </c>
      <c r="N79" s="94"/>
    </row>
    <row r="80" spans="1:14" x14ac:dyDescent="0.2">
      <c r="A80" s="105"/>
      <c r="B80" s="443" t="s">
        <v>67</v>
      </c>
      <c r="C80" s="443"/>
      <c r="D80" s="443"/>
      <c r="E80" s="99"/>
      <c r="F80" s="99" t="s">
        <v>1180</v>
      </c>
      <c r="G80" s="99" t="s">
        <v>68</v>
      </c>
      <c r="H80" s="99" t="s">
        <v>702</v>
      </c>
      <c r="I80" s="99"/>
      <c r="J80" s="89">
        <f>100.7/ATHENS!O1*ATHENS!O2</f>
        <v>205.51020408163265</v>
      </c>
      <c r="K80" s="89">
        <f>118.5/ATHENS!O1*ATHENS!O2</f>
        <v>241.83673469387756</v>
      </c>
      <c r="L80" s="89">
        <f>149.5/ATHENS!O1*ATHENS!O2</f>
        <v>305.10204081632656</v>
      </c>
      <c r="M80" s="89">
        <f>186.9/ATHENS!O1*ATHENS!O2</f>
        <v>381.42857142857144</v>
      </c>
      <c r="N80" s="89"/>
    </row>
    <row r="81" spans="1:14" x14ac:dyDescent="0.2">
      <c r="A81" s="105"/>
      <c r="B81" s="98" t="s">
        <v>67</v>
      </c>
      <c r="C81" s="98"/>
      <c r="D81" s="98"/>
      <c r="E81" s="99"/>
      <c r="F81" s="99" t="s">
        <v>1181</v>
      </c>
      <c r="G81" s="99" t="s">
        <v>68</v>
      </c>
      <c r="H81" s="99" t="s">
        <v>702</v>
      </c>
      <c r="I81" s="99"/>
      <c r="J81" s="89">
        <f>50.5/ATHENS!O1*ATHENS!O2</f>
        <v>103.06122448979592</v>
      </c>
      <c r="K81" s="89">
        <f>59.5/ATHENS!O1*ATHENS!O2</f>
        <v>121.42857142857143</v>
      </c>
      <c r="L81" s="89">
        <f>74.5/ATHENS!O1*ATHENS!O2</f>
        <v>152.0408163265306</v>
      </c>
      <c r="M81" s="89">
        <f>93.5/ATHENS!O1*ATHENS!O2</f>
        <v>190.81632653061226</v>
      </c>
      <c r="N81" s="89"/>
    </row>
    <row r="82" spans="1:14" ht="13.5" thickBot="1" x14ac:dyDescent="0.25">
      <c r="A82" s="108"/>
      <c r="B82" s="436" t="s">
        <v>67</v>
      </c>
      <c r="C82" s="436"/>
      <c r="D82" s="436"/>
      <c r="E82" s="110"/>
      <c r="F82" s="110" t="s">
        <v>1182</v>
      </c>
      <c r="G82" s="110" t="s">
        <v>68</v>
      </c>
      <c r="H82" s="110" t="s">
        <v>702</v>
      </c>
      <c r="I82" s="110"/>
      <c r="J82" s="94">
        <f>45.7/ATHENS!O1*ATHENS!O2</f>
        <v>93.26530612244899</v>
      </c>
      <c r="K82" s="94">
        <f>53.7/ATHENS!O1*ATHENS!O2</f>
        <v>109.59183673469389</v>
      </c>
      <c r="L82" s="94">
        <f>67.5/ATHENS!O1*ATHENS!O2</f>
        <v>137.75510204081633</v>
      </c>
      <c r="M82" s="94">
        <f>84.5/ATHENS!O1*ATHENS!O2</f>
        <v>172.44897959183675</v>
      </c>
      <c r="N82" s="94"/>
    </row>
    <row r="83" spans="1:14" ht="11.25" customHeight="1" thickBot="1" x14ac:dyDescent="0.25">
      <c r="A83" s="97"/>
      <c r="B83" s="98"/>
      <c r="C83" s="98"/>
      <c r="D83" s="98"/>
      <c r="E83" s="99"/>
      <c r="F83" s="99"/>
      <c r="G83" s="99"/>
      <c r="H83" s="99"/>
      <c r="I83" s="99"/>
      <c r="J83" s="99"/>
      <c r="K83" s="99"/>
      <c r="L83" s="99"/>
      <c r="M83" s="99"/>
      <c r="N83" s="99"/>
    </row>
    <row r="84" spans="1:14" ht="13.5" thickBot="1" x14ac:dyDescent="0.25">
      <c r="A84" s="101"/>
      <c r="B84" s="102"/>
      <c r="C84" s="102"/>
      <c r="D84" s="102"/>
      <c r="E84" s="103"/>
      <c r="F84" s="103"/>
      <c r="G84" s="103"/>
      <c r="H84" s="103"/>
      <c r="I84" s="103"/>
      <c r="J84" s="103"/>
      <c r="K84" s="103"/>
      <c r="L84" s="103"/>
      <c r="M84" s="103"/>
      <c r="N84" s="104"/>
    </row>
    <row r="85" spans="1:14" ht="16.5" thickBot="1" x14ac:dyDescent="0.25">
      <c r="A85" s="105"/>
      <c r="B85" s="470" t="s">
        <v>762</v>
      </c>
      <c r="C85" s="471"/>
      <c r="D85" s="471"/>
      <c r="E85" s="471"/>
      <c r="F85" s="471"/>
      <c r="G85" s="471"/>
      <c r="H85" s="471"/>
      <c r="I85" s="471"/>
      <c r="J85" s="471"/>
      <c r="K85" s="471"/>
      <c r="L85" s="471"/>
      <c r="M85" s="472"/>
      <c r="N85" s="106" t="s">
        <v>664</v>
      </c>
    </row>
    <row r="86" spans="1:14" x14ac:dyDescent="0.2">
      <c r="A86" s="105"/>
      <c r="B86" s="107" t="s">
        <v>428</v>
      </c>
      <c r="C86" s="98" t="s">
        <v>763</v>
      </c>
      <c r="D86" s="98"/>
      <c r="E86" s="99"/>
      <c r="F86" s="99"/>
      <c r="G86" s="99"/>
      <c r="H86" s="99"/>
      <c r="I86" s="99"/>
      <c r="J86" s="99"/>
      <c r="K86" s="99"/>
      <c r="L86" s="99"/>
      <c r="M86" s="99"/>
      <c r="N86" s="90"/>
    </row>
    <row r="87" spans="1:14" x14ac:dyDescent="0.2">
      <c r="A87" s="105"/>
      <c r="B87" s="107" t="s">
        <v>429</v>
      </c>
      <c r="C87" s="98" t="s">
        <v>1494</v>
      </c>
      <c r="D87" s="98"/>
      <c r="E87" s="99"/>
      <c r="F87" s="99"/>
      <c r="G87" s="99"/>
      <c r="H87" s="99"/>
      <c r="I87" s="99"/>
      <c r="J87" s="99"/>
      <c r="K87" s="99"/>
      <c r="L87" s="99"/>
      <c r="M87" s="99"/>
      <c r="N87" s="90"/>
    </row>
    <row r="88" spans="1:14" x14ac:dyDescent="0.2">
      <c r="A88" s="105"/>
      <c r="B88" s="107" t="s">
        <v>427</v>
      </c>
      <c r="C88" s="455" t="s">
        <v>1633</v>
      </c>
      <c r="D88" s="455"/>
      <c r="E88" s="455"/>
      <c r="F88" s="455"/>
      <c r="G88" s="455"/>
      <c r="H88" s="455"/>
      <c r="I88" s="455"/>
      <c r="J88" s="455"/>
      <c r="K88" s="455"/>
      <c r="L88" s="455"/>
      <c r="M88" s="455"/>
      <c r="N88" s="456"/>
    </row>
    <row r="89" spans="1:14" ht="13.5" thickBot="1" x14ac:dyDescent="0.25">
      <c r="A89" s="105"/>
      <c r="B89" s="98"/>
      <c r="C89" s="473"/>
      <c r="D89" s="455"/>
      <c r="E89" s="455"/>
      <c r="F89" s="455"/>
      <c r="G89" s="455"/>
      <c r="H89" s="455"/>
      <c r="I89" s="455"/>
      <c r="J89" s="455"/>
      <c r="K89" s="455"/>
      <c r="L89" s="455"/>
      <c r="M89" s="455"/>
      <c r="N89" s="456"/>
    </row>
    <row r="90" spans="1:14" x14ac:dyDescent="0.2">
      <c r="A90" s="101"/>
      <c r="B90" s="102" t="s">
        <v>263</v>
      </c>
      <c r="C90" s="102"/>
      <c r="D90" s="102"/>
      <c r="E90" s="103"/>
      <c r="F90" s="103"/>
      <c r="G90" s="103"/>
      <c r="H90" s="103"/>
      <c r="I90" s="103"/>
      <c r="J90" s="114" t="s">
        <v>1383</v>
      </c>
      <c r="K90" s="113" t="s">
        <v>507</v>
      </c>
      <c r="L90" s="113"/>
      <c r="M90" s="113"/>
      <c r="N90" s="113"/>
    </row>
    <row r="91" spans="1:14" ht="13.5" thickBot="1" x14ac:dyDescent="0.25">
      <c r="A91" s="108"/>
      <c r="B91" s="109"/>
      <c r="C91" s="109"/>
      <c r="D91" s="109"/>
      <c r="E91" s="110"/>
      <c r="F91" s="110"/>
      <c r="G91" s="110"/>
      <c r="H91" s="110"/>
      <c r="I91" s="110"/>
      <c r="J91" s="112" t="s">
        <v>1587</v>
      </c>
      <c r="K91" s="94" t="s">
        <v>508</v>
      </c>
      <c r="L91" s="94" t="s">
        <v>514</v>
      </c>
      <c r="M91" s="94"/>
      <c r="N91" s="94"/>
    </row>
    <row r="92" spans="1:14" x14ac:dyDescent="0.2">
      <c r="A92" s="101"/>
      <c r="B92" s="448" t="s">
        <v>67</v>
      </c>
      <c r="C92" s="448"/>
      <c r="D92" s="448"/>
      <c r="E92" s="103"/>
      <c r="F92" s="103" t="s">
        <v>1180</v>
      </c>
      <c r="G92" s="103" t="s">
        <v>68</v>
      </c>
      <c r="H92" s="103" t="s">
        <v>702</v>
      </c>
      <c r="I92" s="103"/>
      <c r="J92" s="89">
        <f>35.5/ATHENS!O1*ATHENS!O2</f>
        <v>72.448979591836732</v>
      </c>
      <c r="K92" s="89">
        <f>65.7/ATHENS!O1*ATHENS!O2</f>
        <v>134.08163265306123</v>
      </c>
      <c r="L92" s="89">
        <f>96.5/ATHENS!O1*ATHENS!O2</f>
        <v>196.9387755102041</v>
      </c>
      <c r="M92" s="89"/>
      <c r="N92" s="113"/>
    </row>
    <row r="93" spans="1:14" x14ac:dyDescent="0.2">
      <c r="A93" s="105"/>
      <c r="B93" s="443" t="s">
        <v>67</v>
      </c>
      <c r="C93" s="443"/>
      <c r="D93" s="443"/>
      <c r="E93" s="99"/>
      <c r="F93" s="99" t="s">
        <v>1181</v>
      </c>
      <c r="G93" s="99" t="s">
        <v>68</v>
      </c>
      <c r="H93" s="99" t="s">
        <v>702</v>
      </c>
      <c r="I93" s="99"/>
      <c r="J93" s="89">
        <f>17.5/ATHENS!O1*ATHENS!O2</f>
        <v>35.714285714285715</v>
      </c>
      <c r="K93" s="89">
        <f>32.8/ATHENS!O1*ATHENS!O2</f>
        <v>66.938775510204081</v>
      </c>
      <c r="L93" s="89">
        <f>48.5/ATHENS!O1*ATHENS!O2</f>
        <v>98.979591836734699</v>
      </c>
      <c r="M93" s="89"/>
      <c r="N93" s="89"/>
    </row>
    <row r="94" spans="1:14" ht="13.5" thickBot="1" x14ac:dyDescent="0.25">
      <c r="A94" s="108"/>
      <c r="B94" s="436" t="s">
        <v>67</v>
      </c>
      <c r="C94" s="436"/>
      <c r="D94" s="436"/>
      <c r="E94" s="110"/>
      <c r="F94" s="110" t="s">
        <v>1182</v>
      </c>
      <c r="G94" s="110" t="s">
        <v>68</v>
      </c>
      <c r="H94" s="110" t="s">
        <v>702</v>
      </c>
      <c r="I94" s="110"/>
      <c r="J94" s="94">
        <f>15.7/ATHENS!O1*ATHENS!O2</f>
        <v>32.04081632653061</v>
      </c>
      <c r="K94" s="94">
        <f>29.5/ATHENS!O1*ATHENS!O2</f>
        <v>60.204081632653065</v>
      </c>
      <c r="L94" s="94">
        <f>43.5/ATHENS!O1*ATHENS!O2</f>
        <v>88.775510204081641</v>
      </c>
      <c r="M94" s="94"/>
      <c r="N94" s="94"/>
    </row>
    <row r="95" spans="1:14" ht="13.5" thickBot="1" x14ac:dyDescent="0.25">
      <c r="A95" s="119"/>
      <c r="B95" s="120" t="s">
        <v>629</v>
      </c>
      <c r="C95" s="120"/>
      <c r="D95" s="120"/>
      <c r="E95" s="121"/>
      <c r="F95" s="121"/>
      <c r="G95" s="121"/>
      <c r="H95" s="121"/>
      <c r="I95" s="121"/>
      <c r="J95" s="121"/>
      <c r="K95" s="121"/>
      <c r="L95" s="121"/>
      <c r="M95" s="121"/>
      <c r="N95" s="122"/>
    </row>
    <row r="96" spans="1:14" x14ac:dyDescent="0.2">
      <c r="A96" s="97"/>
      <c r="B96" s="98"/>
      <c r="C96" s="98"/>
      <c r="D96" s="98"/>
      <c r="E96" s="99"/>
      <c r="F96" s="99"/>
      <c r="G96" s="99"/>
      <c r="H96" s="99"/>
      <c r="I96" s="99"/>
      <c r="J96" s="99"/>
      <c r="K96" s="99"/>
      <c r="L96" s="99"/>
      <c r="M96" s="99"/>
      <c r="N96" s="99"/>
    </row>
    <row r="97" spans="1:14" ht="9.75" customHeight="1" thickBot="1" x14ac:dyDescent="0.25">
      <c r="A97" s="97"/>
      <c r="B97" s="98"/>
      <c r="C97" s="98"/>
      <c r="D97" s="98"/>
      <c r="E97" s="99"/>
      <c r="F97" s="99"/>
      <c r="G97" s="99"/>
      <c r="H97" s="99"/>
      <c r="I97" s="99"/>
      <c r="J97" s="99"/>
      <c r="K97" s="99"/>
      <c r="L97" s="99"/>
      <c r="M97" s="99"/>
      <c r="N97" s="99"/>
    </row>
    <row r="98" spans="1:14" ht="13.5" thickBot="1" x14ac:dyDescent="0.25">
      <c r="A98" s="101"/>
      <c r="B98" s="102"/>
      <c r="C98" s="102"/>
      <c r="D98" s="102"/>
      <c r="E98" s="103"/>
      <c r="F98" s="103"/>
      <c r="G98" s="103"/>
      <c r="H98" s="103"/>
      <c r="I98" s="103"/>
      <c r="J98" s="103"/>
      <c r="K98" s="103"/>
      <c r="L98" s="103"/>
      <c r="M98" s="103"/>
      <c r="N98" s="104"/>
    </row>
    <row r="99" spans="1:14" ht="15.75" thickBot="1" x14ac:dyDescent="0.25">
      <c r="A99" s="105"/>
      <c r="B99" s="459" t="s">
        <v>312</v>
      </c>
      <c r="C99" s="460"/>
      <c r="D99" s="460"/>
      <c r="E99" s="460"/>
      <c r="F99" s="460"/>
      <c r="G99" s="460"/>
      <c r="H99" s="460"/>
      <c r="I99" s="460"/>
      <c r="J99" s="460"/>
      <c r="K99" s="460"/>
      <c r="L99" s="460"/>
      <c r="M99" s="461"/>
      <c r="N99" s="106" t="s">
        <v>1102</v>
      </c>
    </row>
    <row r="100" spans="1:14" x14ac:dyDescent="0.2">
      <c r="A100" s="105"/>
      <c r="B100" s="107" t="s">
        <v>428</v>
      </c>
      <c r="C100" s="98" t="s">
        <v>802</v>
      </c>
      <c r="D100" s="98"/>
      <c r="E100" s="99"/>
      <c r="F100" s="99"/>
      <c r="G100" s="99"/>
      <c r="H100" s="99"/>
      <c r="I100" s="99"/>
      <c r="J100" s="99"/>
      <c r="K100" s="99"/>
      <c r="L100" s="99"/>
      <c r="M100" s="99"/>
      <c r="N100" s="90"/>
    </row>
    <row r="101" spans="1:14" x14ac:dyDescent="0.2">
      <c r="A101" s="105"/>
      <c r="B101" s="107" t="s">
        <v>429</v>
      </c>
      <c r="C101" s="98" t="s">
        <v>1058</v>
      </c>
      <c r="D101" s="98"/>
      <c r="E101" s="99"/>
      <c r="F101" s="99"/>
      <c r="G101" s="99"/>
      <c r="H101" s="99"/>
      <c r="I101" s="99"/>
      <c r="J101" s="99"/>
      <c r="K101" s="99"/>
      <c r="L101" s="99"/>
      <c r="M101" s="99"/>
      <c r="N101" s="90"/>
    </row>
    <row r="102" spans="1:14" x14ac:dyDescent="0.2">
      <c r="A102" s="105"/>
      <c r="B102" s="107" t="s">
        <v>427</v>
      </c>
      <c r="C102" s="444" t="s">
        <v>1122</v>
      </c>
      <c r="D102" s="444"/>
      <c r="E102" s="444"/>
      <c r="F102" s="444"/>
      <c r="G102" s="444"/>
      <c r="H102" s="444"/>
      <c r="I102" s="444"/>
      <c r="J102" s="444"/>
      <c r="K102" s="444"/>
      <c r="L102" s="444"/>
      <c r="M102" s="444"/>
      <c r="N102" s="445"/>
    </row>
    <row r="103" spans="1:14" x14ac:dyDescent="0.2">
      <c r="A103" s="105"/>
      <c r="B103" s="98"/>
      <c r="C103" s="444"/>
      <c r="D103" s="444"/>
      <c r="E103" s="444"/>
      <c r="F103" s="444"/>
      <c r="G103" s="444"/>
      <c r="H103" s="444"/>
      <c r="I103" s="444"/>
      <c r="J103" s="444"/>
      <c r="K103" s="444"/>
      <c r="L103" s="444"/>
      <c r="M103" s="444"/>
      <c r="N103" s="445"/>
    </row>
    <row r="104" spans="1:14" ht="13.5" thickBot="1" x14ac:dyDescent="0.25">
      <c r="A104" s="105"/>
      <c r="B104" s="107" t="s">
        <v>426</v>
      </c>
      <c r="C104" s="98" t="s">
        <v>1059</v>
      </c>
      <c r="D104" s="98"/>
      <c r="E104" s="99"/>
      <c r="F104" s="99"/>
      <c r="G104" s="99"/>
      <c r="H104" s="98"/>
      <c r="I104" s="99"/>
      <c r="J104" s="98"/>
      <c r="K104" s="99"/>
      <c r="L104" s="99"/>
      <c r="M104" s="99"/>
      <c r="N104" s="90"/>
    </row>
    <row r="105" spans="1:14" x14ac:dyDescent="0.2">
      <c r="A105" s="101"/>
      <c r="B105" s="102" t="s">
        <v>263</v>
      </c>
      <c r="C105" s="102"/>
      <c r="D105" s="102"/>
      <c r="E105" s="103"/>
      <c r="F105" s="103"/>
      <c r="G105" s="103"/>
      <c r="H105" s="103"/>
      <c r="I105" s="103"/>
      <c r="J105" s="114"/>
      <c r="K105" s="113" t="s">
        <v>279</v>
      </c>
      <c r="L105" s="113"/>
      <c r="M105" s="113"/>
      <c r="N105" s="113"/>
    </row>
    <row r="106" spans="1:14" ht="13.5" thickBot="1" x14ac:dyDescent="0.25">
      <c r="A106" s="108"/>
      <c r="B106" s="109"/>
      <c r="C106" s="109"/>
      <c r="D106" s="109"/>
      <c r="E106" s="110"/>
      <c r="F106" s="110"/>
      <c r="G106" s="110"/>
      <c r="H106" s="110"/>
      <c r="I106" s="110"/>
      <c r="J106" s="112" t="s">
        <v>758</v>
      </c>
      <c r="K106" s="94" t="s">
        <v>832</v>
      </c>
      <c r="L106" s="94" t="s">
        <v>1341</v>
      </c>
      <c r="M106" s="94" t="s">
        <v>123</v>
      </c>
      <c r="N106" s="94"/>
    </row>
    <row r="107" spans="1:14" x14ac:dyDescent="0.2">
      <c r="A107" s="101"/>
      <c r="B107" s="448" t="s">
        <v>67</v>
      </c>
      <c r="C107" s="448"/>
      <c r="D107" s="448"/>
      <c r="E107" s="103"/>
      <c r="F107" s="103" t="s">
        <v>1180</v>
      </c>
      <c r="G107" s="103" t="s">
        <v>68</v>
      </c>
      <c r="H107" s="103" t="s">
        <v>702</v>
      </c>
      <c r="I107" s="103"/>
      <c r="J107" s="113">
        <f>30/ATHENS!O1*ATHENS!O2</f>
        <v>61.224489795918366</v>
      </c>
      <c r="K107" s="113">
        <f>37.5/ATHENS!O1*ATHENS!O2</f>
        <v>76.530612244897966</v>
      </c>
      <c r="L107" s="113">
        <f>59/ATHENS!O1*ATHENS!O2</f>
        <v>120.40816326530613</v>
      </c>
      <c r="M107" s="113">
        <f>73/ATHENS!O1*ATHENS!O2</f>
        <v>148.9795918367347</v>
      </c>
      <c r="N107" s="113"/>
    </row>
    <row r="108" spans="1:14" x14ac:dyDescent="0.2">
      <c r="A108" s="105"/>
      <c r="B108" s="443" t="s">
        <v>67</v>
      </c>
      <c r="C108" s="443"/>
      <c r="D108" s="443"/>
      <c r="E108" s="99"/>
      <c r="F108" s="99" t="s">
        <v>1181</v>
      </c>
      <c r="G108" s="99" t="s">
        <v>68</v>
      </c>
      <c r="H108" s="99" t="s">
        <v>702</v>
      </c>
      <c r="I108" s="99"/>
      <c r="J108" s="89">
        <f>17.25/ATHENS!O1*ATHENS!O2</f>
        <v>35.204081632653065</v>
      </c>
      <c r="K108" s="89">
        <f>22.5/ATHENS!O1*ATHENS!O2</f>
        <v>45.91836734693878</v>
      </c>
      <c r="L108" s="89">
        <f>36.5/ATHENS!O1*ATHENS!O2</f>
        <v>74.489795918367349</v>
      </c>
      <c r="M108" s="89">
        <f>43/ATHENS!O1*ATHENS!O2</f>
        <v>87.755102040816325</v>
      </c>
      <c r="N108" s="89"/>
    </row>
    <row r="109" spans="1:14" ht="13.5" thickBot="1" x14ac:dyDescent="0.25">
      <c r="A109" s="108"/>
      <c r="B109" s="436" t="s">
        <v>67</v>
      </c>
      <c r="C109" s="436"/>
      <c r="D109" s="436"/>
      <c r="E109" s="110"/>
      <c r="F109" s="110" t="s">
        <v>1182</v>
      </c>
      <c r="G109" s="110" t="s">
        <v>68</v>
      </c>
      <c r="H109" s="110" t="s">
        <v>702</v>
      </c>
      <c r="I109" s="110"/>
      <c r="J109" s="94">
        <f>13.66/ATHENS!O1*ATHENS!O2</f>
        <v>27.877551020408163</v>
      </c>
      <c r="K109" s="94">
        <f>18.66/ATHENS!O1*ATHENS!O2</f>
        <v>38.081632653061227</v>
      </c>
      <c r="L109" s="94">
        <f>30.35/ATHENS!O1*ATHENS!O2</f>
        <v>61.938775510204088</v>
      </c>
      <c r="M109" s="94">
        <f>35/ATHENS!O1*ATHENS!O2</f>
        <v>71.428571428571431</v>
      </c>
      <c r="N109" s="94"/>
    </row>
    <row r="110" spans="1:14" ht="13.5" thickBot="1" x14ac:dyDescent="0.25">
      <c r="A110" s="97"/>
      <c r="B110" s="98"/>
      <c r="C110" s="98"/>
      <c r="D110" s="98"/>
      <c r="E110" s="99"/>
      <c r="F110" s="99"/>
      <c r="G110" s="99"/>
      <c r="H110" s="99"/>
      <c r="I110" s="99"/>
      <c r="J110" s="99"/>
      <c r="K110" s="99"/>
      <c r="L110" s="99"/>
      <c r="M110" s="99"/>
      <c r="N110" s="99"/>
    </row>
    <row r="111" spans="1:14" ht="13.5" thickBot="1" x14ac:dyDescent="0.25">
      <c r="A111" s="101"/>
      <c r="B111" s="102"/>
      <c r="C111" s="102"/>
      <c r="D111" s="102"/>
      <c r="E111" s="103"/>
      <c r="F111" s="103"/>
      <c r="G111" s="103"/>
      <c r="H111" s="103"/>
      <c r="I111" s="103"/>
      <c r="J111" s="103"/>
      <c r="K111" s="103"/>
      <c r="L111" s="103"/>
      <c r="M111" s="103"/>
      <c r="N111" s="104"/>
    </row>
    <row r="112" spans="1:14" ht="15.75" thickBot="1" x14ac:dyDescent="0.25">
      <c r="A112" s="105"/>
      <c r="B112" s="459" t="s">
        <v>630</v>
      </c>
      <c r="C112" s="460"/>
      <c r="D112" s="460"/>
      <c r="E112" s="460"/>
      <c r="F112" s="460"/>
      <c r="G112" s="460"/>
      <c r="H112" s="460"/>
      <c r="I112" s="460"/>
      <c r="J112" s="460"/>
      <c r="K112" s="460"/>
      <c r="L112" s="460"/>
      <c r="M112" s="461"/>
      <c r="N112" s="106" t="s">
        <v>664</v>
      </c>
    </row>
    <row r="113" spans="1:14" x14ac:dyDescent="0.2">
      <c r="A113" s="105"/>
      <c r="B113" s="107" t="s">
        <v>428</v>
      </c>
      <c r="C113" s="98" t="s">
        <v>1160</v>
      </c>
      <c r="D113" s="98"/>
      <c r="E113" s="99"/>
      <c r="F113" s="99"/>
      <c r="G113" s="99"/>
      <c r="H113" s="99"/>
      <c r="I113" s="99"/>
      <c r="J113" s="99"/>
      <c r="K113" s="99"/>
      <c r="L113" s="99"/>
      <c r="M113" s="99"/>
      <c r="N113" s="90"/>
    </row>
    <row r="114" spans="1:14" x14ac:dyDescent="0.2">
      <c r="A114" s="105"/>
      <c r="B114" s="107" t="s">
        <v>429</v>
      </c>
      <c r="C114" s="98" t="s">
        <v>506</v>
      </c>
      <c r="D114" s="98"/>
      <c r="E114" s="99"/>
      <c r="F114" s="99"/>
      <c r="G114" s="99"/>
      <c r="H114" s="99"/>
      <c r="I114" s="99"/>
      <c r="J114" s="99"/>
      <c r="K114" s="99"/>
      <c r="L114" s="99"/>
      <c r="M114" s="99"/>
      <c r="N114" s="90"/>
    </row>
    <row r="115" spans="1:14" x14ac:dyDescent="0.2">
      <c r="A115" s="105"/>
      <c r="B115" s="107" t="s">
        <v>427</v>
      </c>
      <c r="C115" s="455" t="s">
        <v>1123</v>
      </c>
      <c r="D115" s="455"/>
      <c r="E115" s="455"/>
      <c r="F115" s="455"/>
      <c r="G115" s="455"/>
      <c r="H115" s="455"/>
      <c r="I115" s="455"/>
      <c r="J115" s="455"/>
      <c r="K115" s="455"/>
      <c r="L115" s="455"/>
      <c r="M115" s="455"/>
      <c r="N115" s="456"/>
    </row>
    <row r="116" spans="1:14" x14ac:dyDescent="0.2">
      <c r="A116" s="105"/>
      <c r="B116" s="107"/>
      <c r="C116" s="455"/>
      <c r="D116" s="455"/>
      <c r="E116" s="455"/>
      <c r="F116" s="455"/>
      <c r="G116" s="455"/>
      <c r="H116" s="455"/>
      <c r="I116" s="455"/>
      <c r="J116" s="455"/>
      <c r="K116" s="455"/>
      <c r="L116" s="455"/>
      <c r="M116" s="455"/>
      <c r="N116" s="456"/>
    </row>
    <row r="117" spans="1:14" x14ac:dyDescent="0.2">
      <c r="A117" s="105"/>
      <c r="B117" s="107"/>
      <c r="C117" s="455"/>
      <c r="D117" s="455"/>
      <c r="E117" s="455"/>
      <c r="F117" s="455"/>
      <c r="G117" s="455"/>
      <c r="H117" s="455"/>
      <c r="I117" s="455"/>
      <c r="J117" s="455"/>
      <c r="K117" s="455"/>
      <c r="L117" s="455"/>
      <c r="M117" s="455"/>
      <c r="N117" s="456"/>
    </row>
    <row r="118" spans="1:14" x14ac:dyDescent="0.2">
      <c r="A118" s="105"/>
      <c r="B118" s="107"/>
      <c r="C118" s="455"/>
      <c r="D118" s="455"/>
      <c r="E118" s="455"/>
      <c r="F118" s="455"/>
      <c r="G118" s="455"/>
      <c r="H118" s="455"/>
      <c r="I118" s="455"/>
      <c r="J118" s="455"/>
      <c r="K118" s="455"/>
      <c r="L118" s="455"/>
      <c r="M118" s="455"/>
      <c r="N118" s="456"/>
    </row>
    <row r="119" spans="1:14" x14ac:dyDescent="0.2">
      <c r="A119" s="105"/>
      <c r="B119" s="107" t="s">
        <v>426</v>
      </c>
      <c r="C119" s="98" t="s">
        <v>1335</v>
      </c>
      <c r="D119" s="98"/>
      <c r="E119" s="99"/>
      <c r="F119" s="99"/>
      <c r="G119" s="99"/>
      <c r="H119" s="99"/>
      <c r="I119" s="99"/>
      <c r="J119" s="99"/>
      <c r="K119" s="99"/>
      <c r="L119" s="99"/>
      <c r="M119" s="99"/>
      <c r="N119" s="90"/>
    </row>
    <row r="120" spans="1:14" ht="13.5" thickBot="1" x14ac:dyDescent="0.25">
      <c r="A120" s="108"/>
      <c r="B120" s="118" t="s">
        <v>430</v>
      </c>
      <c r="C120" s="109"/>
      <c r="D120" s="109"/>
      <c r="E120" s="110"/>
      <c r="F120" s="110"/>
      <c r="G120" s="110"/>
      <c r="H120" s="110"/>
      <c r="I120" s="110"/>
      <c r="J120" s="110"/>
      <c r="K120" s="110"/>
      <c r="L120" s="110"/>
      <c r="M120" s="110"/>
      <c r="N120" s="93"/>
    </row>
    <row r="121" spans="1:14" x14ac:dyDescent="0.2">
      <c r="A121" s="101"/>
      <c r="B121" s="102" t="s">
        <v>263</v>
      </c>
      <c r="C121" s="102"/>
      <c r="D121" s="102"/>
      <c r="E121" s="103"/>
      <c r="F121" s="103"/>
      <c r="G121" s="103"/>
      <c r="H121" s="103"/>
      <c r="I121" s="103"/>
      <c r="J121" s="114" t="s">
        <v>758</v>
      </c>
      <c r="K121" s="113" t="s">
        <v>279</v>
      </c>
      <c r="L121" s="113"/>
      <c r="M121" s="113"/>
      <c r="N121" s="113"/>
    </row>
    <row r="122" spans="1:14" ht="13.5" thickBot="1" x14ac:dyDescent="0.25">
      <c r="A122" s="108"/>
      <c r="B122" s="109"/>
      <c r="C122" s="109"/>
      <c r="D122" s="109"/>
      <c r="E122" s="110"/>
      <c r="F122" s="110"/>
      <c r="G122" s="110"/>
      <c r="H122" s="110"/>
      <c r="I122" s="110"/>
      <c r="J122" s="112" t="s">
        <v>481</v>
      </c>
      <c r="K122" s="94" t="s">
        <v>832</v>
      </c>
      <c r="L122" s="94" t="s">
        <v>1341</v>
      </c>
      <c r="M122" s="94" t="s">
        <v>123</v>
      </c>
      <c r="N122" s="94"/>
    </row>
    <row r="123" spans="1:14" x14ac:dyDescent="0.2">
      <c r="A123" s="105"/>
      <c r="B123" s="443" t="s">
        <v>67</v>
      </c>
      <c r="C123" s="443"/>
      <c r="D123" s="443"/>
      <c r="E123" s="99"/>
      <c r="F123" s="99" t="s">
        <v>1180</v>
      </c>
      <c r="G123" s="99" t="s">
        <v>68</v>
      </c>
      <c r="H123" s="99" t="s">
        <v>702</v>
      </c>
      <c r="I123" s="99"/>
      <c r="J123" s="111">
        <f>35/ATHENS!O1*ATHENS!O2</f>
        <v>71.428571428571431</v>
      </c>
      <c r="K123" s="89">
        <f>65/ATHENS!O1*ATHENS!O2</f>
        <v>132.65306122448979</v>
      </c>
      <c r="L123" s="89">
        <f>80/ATHENS!O1*ATHENS!O2</f>
        <v>163.26530612244898</v>
      </c>
      <c r="M123" s="89">
        <f>100/ATHENS!O1*ATHENS!O2</f>
        <v>204.08163265306123</v>
      </c>
      <c r="N123" s="89"/>
    </row>
    <row r="124" spans="1:14" x14ac:dyDescent="0.2">
      <c r="A124" s="105"/>
      <c r="B124" s="443" t="s">
        <v>67</v>
      </c>
      <c r="C124" s="443"/>
      <c r="D124" s="443"/>
      <c r="E124" s="99"/>
      <c r="F124" s="99" t="s">
        <v>1181</v>
      </c>
      <c r="G124" s="99" t="s">
        <v>68</v>
      </c>
      <c r="H124" s="99" t="s">
        <v>702</v>
      </c>
      <c r="I124" s="99"/>
      <c r="J124" s="89">
        <f>20/ATHENS!O1*ATHENS!O2</f>
        <v>40.816326530612244</v>
      </c>
      <c r="K124" s="89">
        <f>35/ATHENS!O1*ATHENS!O2</f>
        <v>71.428571428571431</v>
      </c>
      <c r="L124" s="89">
        <f>45/ATHENS!O1*ATHENS!O2</f>
        <v>91.83673469387756</v>
      </c>
      <c r="M124" s="89">
        <f>60/ATHENS!O1*ATHENS!O2</f>
        <v>122.44897959183673</v>
      </c>
      <c r="N124" s="89"/>
    </row>
    <row r="125" spans="1:14" ht="13.5" thickBot="1" x14ac:dyDescent="0.25">
      <c r="A125" s="105"/>
      <c r="B125" s="443" t="s">
        <v>67</v>
      </c>
      <c r="C125" s="443"/>
      <c r="D125" s="443"/>
      <c r="E125" s="99"/>
      <c r="F125" s="99" t="s">
        <v>1182</v>
      </c>
      <c r="G125" s="99" t="s">
        <v>68</v>
      </c>
      <c r="H125" s="99" t="s">
        <v>702</v>
      </c>
      <c r="I125" s="99"/>
      <c r="J125" s="89">
        <f>20/ATHENS!O1*ATHENS!O2</f>
        <v>40.816326530612244</v>
      </c>
      <c r="K125" s="89">
        <f>31.66/ATHENS!O1*ATHENS!O2</f>
        <v>64.612244897959187</v>
      </c>
      <c r="L125" s="89">
        <f>36.6/ATHENS!O1*ATHENS!O2</f>
        <v>74.693877551020407</v>
      </c>
      <c r="M125" s="89">
        <f>46.6/ATHENS!O1*ATHENS!O2</f>
        <v>95.102040816326536</v>
      </c>
      <c r="N125" s="89"/>
    </row>
    <row r="126" spans="1:14" ht="13.5" thickBot="1" x14ac:dyDescent="0.25">
      <c r="A126" s="119"/>
      <c r="B126" s="120" t="s">
        <v>1119</v>
      </c>
      <c r="C126" s="120"/>
      <c r="D126" s="120"/>
      <c r="E126" s="121"/>
      <c r="F126" s="121"/>
      <c r="G126" s="121"/>
      <c r="H126" s="121"/>
      <c r="I126" s="121"/>
      <c r="J126" s="121"/>
      <c r="K126" s="121"/>
      <c r="L126" s="121"/>
      <c r="M126" s="121"/>
      <c r="N126" s="122"/>
    </row>
  </sheetData>
  <customSheetViews>
    <customSheetView guid="{3C76061C-A85D-4390-B9DB-73E13038638C}" showPageBreaks="1" showGridLines="0" view="pageLayout" topLeftCell="A153">
      <selection activeCell="M51" sqref="M51"/>
      <rowBreaks count="2" manualBreakCount="2">
        <brk id="54" max="16383" man="1"/>
        <brk id="109" max="16383" man="1"/>
      </rowBreaks>
      <pageMargins left="0.28125" right="0.25" top="0.6692913385826772" bottom="0.70866141732283472" header="0.23622047244094491" footer="0.47244094488188981"/>
      <printOptions horizontalCentered="1"/>
      <pageSetup paperSize="9" firstPageNumber="106"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43">
    <mergeCell ref="B2:M2"/>
    <mergeCell ref="C5:N7"/>
    <mergeCell ref="B10:D10"/>
    <mergeCell ref="B11:D11"/>
    <mergeCell ref="B12:D12"/>
    <mergeCell ref="B15:M15"/>
    <mergeCell ref="B29:M29"/>
    <mergeCell ref="B66:D66"/>
    <mergeCell ref="B24:D24"/>
    <mergeCell ref="B26:D26"/>
    <mergeCell ref="B39:D39"/>
    <mergeCell ref="B54:D54"/>
    <mergeCell ref="B53:D53"/>
    <mergeCell ref="C46:N49"/>
    <mergeCell ref="B52:D52"/>
    <mergeCell ref="B43:M43"/>
    <mergeCell ref="B37:D37"/>
    <mergeCell ref="B38:D38"/>
    <mergeCell ref="C18:N20"/>
    <mergeCell ref="C32:N33"/>
    <mergeCell ref="B56:M56"/>
    <mergeCell ref="B82:D82"/>
    <mergeCell ref="C59:N61"/>
    <mergeCell ref="B71:M71"/>
    <mergeCell ref="C74:N77"/>
    <mergeCell ref="B80:D80"/>
    <mergeCell ref="B65:D65"/>
    <mergeCell ref="B123:D123"/>
    <mergeCell ref="B67:D67"/>
    <mergeCell ref="B125:D125"/>
    <mergeCell ref="B109:D109"/>
    <mergeCell ref="C102:N103"/>
    <mergeCell ref="B107:D107"/>
    <mergeCell ref="B108:D108"/>
    <mergeCell ref="C115:N118"/>
    <mergeCell ref="B124:D124"/>
    <mergeCell ref="B112:M112"/>
    <mergeCell ref="B93:D93"/>
    <mergeCell ref="B94:D94"/>
    <mergeCell ref="B99:M99"/>
    <mergeCell ref="B92:D92"/>
    <mergeCell ref="B85:M85"/>
    <mergeCell ref="C88:N89"/>
  </mergeCells>
  <phoneticPr fontId="17" type="noConversion"/>
  <hyperlinks>
    <hyperlink ref="B2:M2" r:id="rId2" display="Skiathos Palace" xr:uid="{00000000-0004-0000-2400-000000000000}"/>
    <hyperlink ref="B15:M15" r:id="rId3" display="Skiathos Princess" xr:uid="{00000000-0004-0000-2400-000001000000}"/>
    <hyperlink ref="B43:M43" r:id="rId4" display="Dabasis" xr:uid="{00000000-0004-0000-2400-000002000000}"/>
    <hyperlink ref="B71:M71" r:id="rId5" display="Kivo" xr:uid="{00000000-0004-0000-2400-000003000000}"/>
    <hyperlink ref="B29:M29" r:id="rId6" display="Atrium" xr:uid="{00000000-0004-0000-2400-000004000000}"/>
    <hyperlink ref="B56:M56" r:id="rId7" display="Esperides" xr:uid="{00000000-0004-0000-2400-000005000000}"/>
    <hyperlink ref="B112:M112" r:id="rId8" display="Plaza" xr:uid="{00000000-0004-0000-2400-000006000000}"/>
  </hyperlinks>
  <printOptions horizontalCentered="1"/>
  <pageMargins left="0.28125" right="0.25" top="0.6692913385826772" bottom="0.70866141732283472" header="0.23622047244094491" footer="0.47244094488188981"/>
  <pageSetup paperSize="9" firstPageNumber="106" orientation="portrait" useFirstPageNumber="1" horizontalDpi="300" verticalDpi="300" r:id="rId9"/>
  <headerFooter scaleWithDoc="0" alignWithMargins="0">
    <oddHeader xml:space="preserve">&amp;C TARIFF 2026
 (EURO)
</oddHeader>
    <oddFooter>&amp;LAll rates are in EURO&amp;C
TARIFF 2026
&amp;RPage &amp;P</oddFooter>
  </headerFooter>
  <rowBreaks count="2" manualBreakCount="2">
    <brk id="54" max="16383" man="1"/>
    <brk id="109" max="16383"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3:N99"/>
  <sheetViews>
    <sheetView showGridLines="0" view="pageLayout" topLeftCell="A100" zoomScaleNormal="100" workbookViewId="0">
      <selection activeCell="L114" sqref="L114"/>
    </sheetView>
  </sheetViews>
  <sheetFormatPr defaultRowHeight="12.75" x14ac:dyDescent="0.2"/>
  <cols>
    <col min="1" max="1" width="1.85546875" style="125" customWidth="1"/>
    <col min="2" max="3" width="10.7109375" style="125" customWidth="1"/>
    <col min="4" max="9" width="3.7109375" style="125" customWidth="1"/>
    <col min="10" max="14" width="10.7109375" style="125" customWidth="1"/>
    <col min="15" max="16384" width="9.140625" style="125"/>
  </cols>
  <sheetData>
    <row r="3" spans="1:14" ht="13.5" thickBot="1" x14ac:dyDescent="0.25"/>
    <row r="4" spans="1:14" ht="13.5" thickBot="1" x14ac:dyDescent="0.25">
      <c r="A4" s="101"/>
      <c r="B4" s="102"/>
      <c r="C4" s="102"/>
      <c r="D4" s="102"/>
      <c r="E4" s="103"/>
      <c r="F4" s="103"/>
      <c r="G4" s="103"/>
      <c r="H4" s="103"/>
      <c r="I4" s="103"/>
      <c r="J4" s="103"/>
      <c r="K4" s="103"/>
      <c r="L4" s="103"/>
      <c r="M4" s="103"/>
      <c r="N4" s="104"/>
    </row>
    <row r="5" spans="1:14" ht="15.75" thickBot="1" x14ac:dyDescent="0.25">
      <c r="A5" s="105"/>
      <c r="B5" s="459" t="s">
        <v>133</v>
      </c>
      <c r="C5" s="460"/>
      <c r="D5" s="460"/>
      <c r="E5" s="460"/>
      <c r="F5" s="460"/>
      <c r="G5" s="460"/>
      <c r="H5" s="460"/>
      <c r="I5" s="460"/>
      <c r="J5" s="460"/>
      <c r="K5" s="460"/>
      <c r="L5" s="460"/>
      <c r="M5" s="461"/>
      <c r="N5" s="106" t="s">
        <v>1104</v>
      </c>
    </row>
    <row r="6" spans="1:14" x14ac:dyDescent="0.2">
      <c r="A6" s="105"/>
      <c r="B6" s="107" t="s">
        <v>428</v>
      </c>
      <c r="C6" s="98" t="s">
        <v>137</v>
      </c>
      <c r="D6" s="98"/>
      <c r="E6" s="99"/>
      <c r="F6" s="99"/>
      <c r="G6" s="99"/>
      <c r="H6" s="99"/>
      <c r="I6" s="99"/>
      <c r="J6" s="99"/>
      <c r="K6" s="99"/>
      <c r="L6" s="99"/>
      <c r="M6" s="99"/>
      <c r="N6" s="90"/>
    </row>
    <row r="7" spans="1:14" x14ac:dyDescent="0.2">
      <c r="A7" s="105"/>
      <c r="B7" s="107" t="s">
        <v>429</v>
      </c>
      <c r="C7" s="98" t="s">
        <v>313</v>
      </c>
      <c r="D7" s="98"/>
      <c r="E7" s="99"/>
      <c r="F7" s="99"/>
      <c r="G7" s="99"/>
      <c r="H7" s="99"/>
      <c r="I7" s="99"/>
      <c r="J7" s="99"/>
      <c r="K7" s="99"/>
      <c r="L7" s="99"/>
      <c r="M7" s="99"/>
      <c r="N7" s="90"/>
    </row>
    <row r="8" spans="1:14" x14ac:dyDescent="0.2">
      <c r="A8" s="105"/>
      <c r="B8" s="107" t="s">
        <v>427</v>
      </c>
      <c r="C8" s="444" t="s">
        <v>1124</v>
      </c>
      <c r="D8" s="444"/>
      <c r="E8" s="444"/>
      <c r="F8" s="444"/>
      <c r="G8" s="444"/>
      <c r="H8" s="444"/>
      <c r="I8" s="444"/>
      <c r="J8" s="444"/>
      <c r="K8" s="444"/>
      <c r="L8" s="444"/>
      <c r="M8" s="444"/>
      <c r="N8" s="445"/>
    </row>
    <row r="9" spans="1:14" x14ac:dyDescent="0.2">
      <c r="A9" s="105"/>
      <c r="B9" s="107"/>
      <c r="C9" s="444"/>
      <c r="D9" s="444"/>
      <c r="E9" s="444"/>
      <c r="F9" s="444"/>
      <c r="G9" s="444"/>
      <c r="H9" s="444"/>
      <c r="I9" s="444"/>
      <c r="J9" s="444"/>
      <c r="K9" s="444"/>
      <c r="L9" s="444"/>
      <c r="M9" s="444"/>
      <c r="N9" s="445"/>
    </row>
    <row r="10" spans="1:14" x14ac:dyDescent="0.2">
      <c r="A10" s="105"/>
      <c r="B10" s="107"/>
      <c r="C10" s="444"/>
      <c r="D10" s="444"/>
      <c r="E10" s="444"/>
      <c r="F10" s="444"/>
      <c r="G10" s="444"/>
      <c r="H10" s="444"/>
      <c r="I10" s="444"/>
      <c r="J10" s="444"/>
      <c r="K10" s="444"/>
      <c r="L10" s="444"/>
      <c r="M10" s="444"/>
      <c r="N10" s="445"/>
    </row>
    <row r="11" spans="1:14" x14ac:dyDescent="0.2">
      <c r="A11" s="105"/>
      <c r="B11" s="98"/>
      <c r="C11" s="444"/>
      <c r="D11" s="444"/>
      <c r="E11" s="444"/>
      <c r="F11" s="444"/>
      <c r="G11" s="444"/>
      <c r="H11" s="444"/>
      <c r="I11" s="444"/>
      <c r="J11" s="444"/>
      <c r="K11" s="444"/>
      <c r="L11" s="444"/>
      <c r="M11" s="444"/>
      <c r="N11" s="445"/>
    </row>
    <row r="12" spans="1:14" ht="13.5" thickBot="1" x14ac:dyDescent="0.25">
      <c r="A12" s="105"/>
      <c r="B12" s="98"/>
      <c r="C12" s="444"/>
      <c r="D12" s="444"/>
      <c r="E12" s="444"/>
      <c r="F12" s="444"/>
      <c r="G12" s="444"/>
      <c r="H12" s="444"/>
      <c r="I12" s="444"/>
      <c r="J12" s="444"/>
      <c r="K12" s="444"/>
      <c r="L12" s="444"/>
      <c r="M12" s="444"/>
      <c r="N12" s="445"/>
    </row>
    <row r="13" spans="1:14" x14ac:dyDescent="0.2">
      <c r="A13" s="101"/>
      <c r="B13" s="102" t="s">
        <v>263</v>
      </c>
      <c r="C13" s="102"/>
      <c r="D13" s="102"/>
      <c r="E13" s="103"/>
      <c r="F13" s="103"/>
      <c r="G13" s="103"/>
      <c r="H13" s="103"/>
      <c r="I13" s="103"/>
      <c r="J13" s="114" t="s">
        <v>1835</v>
      </c>
      <c r="K13" s="113" t="s">
        <v>1837</v>
      </c>
      <c r="L13" s="113"/>
      <c r="M13" s="113"/>
      <c r="N13" s="113"/>
    </row>
    <row r="14" spans="1:14" ht="13.5" thickBot="1" x14ac:dyDescent="0.25">
      <c r="A14" s="108"/>
      <c r="B14" s="98"/>
      <c r="C14" s="109"/>
      <c r="D14" s="109"/>
      <c r="E14" s="110"/>
      <c r="F14" s="110"/>
      <c r="G14" s="110"/>
      <c r="H14" s="110"/>
      <c r="I14" s="110"/>
      <c r="J14" s="112" t="s">
        <v>1836</v>
      </c>
      <c r="K14" s="94" t="s">
        <v>1838</v>
      </c>
      <c r="L14" s="94" t="s">
        <v>1839</v>
      </c>
      <c r="M14" s="94" t="s">
        <v>1840</v>
      </c>
      <c r="N14" s="94"/>
    </row>
    <row r="15" spans="1:14" x14ac:dyDescent="0.2">
      <c r="A15" s="101"/>
      <c r="B15" s="448" t="s">
        <v>67</v>
      </c>
      <c r="C15" s="448"/>
      <c r="D15" s="448"/>
      <c r="E15" s="103"/>
      <c r="F15" s="103" t="s">
        <v>1180</v>
      </c>
      <c r="G15" s="103" t="s">
        <v>68</v>
      </c>
      <c r="H15" s="103" t="s">
        <v>702</v>
      </c>
      <c r="I15" s="103"/>
      <c r="J15" s="113">
        <f>124/ATHENS!O1*ATHENS!O2</f>
        <v>253.06122448979593</v>
      </c>
      <c r="K15" s="113">
        <f>134/ATHENS!O1*ATHENS!O2</f>
        <v>273.46938775510205</v>
      </c>
      <c r="L15" s="113">
        <f>173/ATHENS!O1*ATHENS!O2</f>
        <v>353.0612244897959</v>
      </c>
      <c r="M15" s="113">
        <f>207/ATHENS!O1*ATHENS!O2</f>
        <v>422.44897959183675</v>
      </c>
      <c r="N15" s="113"/>
    </row>
    <row r="16" spans="1:14" x14ac:dyDescent="0.2">
      <c r="A16" s="105"/>
      <c r="B16" s="443" t="s">
        <v>67</v>
      </c>
      <c r="C16" s="443"/>
      <c r="D16" s="443"/>
      <c r="E16" s="99"/>
      <c r="F16" s="99" t="s">
        <v>1181</v>
      </c>
      <c r="G16" s="99" t="s">
        <v>68</v>
      </c>
      <c r="H16" s="99" t="s">
        <v>702</v>
      </c>
      <c r="I16" s="99"/>
      <c r="J16" s="89">
        <f>62/ATHENS!O1*ATHENS!O2</f>
        <v>126.53061224489797</v>
      </c>
      <c r="K16" s="89">
        <f>67/ATHENS!O1*ATHENS!O2</f>
        <v>136.73469387755102</v>
      </c>
      <c r="L16" s="89">
        <f>86.5/ATHENS!O1*ATHENS!O2</f>
        <v>176.53061224489795</v>
      </c>
      <c r="M16" s="89">
        <f>103.5/ATHENS!O1*ATHENS!O2</f>
        <v>211.22448979591837</v>
      </c>
      <c r="N16" s="89"/>
    </row>
    <row r="17" spans="1:14" ht="13.5" thickBot="1" x14ac:dyDescent="0.25">
      <c r="A17" s="108"/>
      <c r="B17" s="436" t="s">
        <v>67</v>
      </c>
      <c r="C17" s="436"/>
      <c r="D17" s="436"/>
      <c r="E17" s="110"/>
      <c r="F17" s="110" t="s">
        <v>1182</v>
      </c>
      <c r="G17" s="110" t="s">
        <v>68</v>
      </c>
      <c r="H17" s="110" t="s">
        <v>702</v>
      </c>
      <c r="I17" s="110"/>
      <c r="J17" s="94">
        <f>49.6/ATHENS!O1*ATHENS!O2</f>
        <v>101.22448979591837</v>
      </c>
      <c r="K17" s="94">
        <f>53.5/ATHENS!O1*ATHENS!O2</f>
        <v>109.18367346938776</v>
      </c>
      <c r="L17" s="94">
        <f>66.5/ATHENS!O1*ATHENS!O2</f>
        <v>135.71428571428572</v>
      </c>
      <c r="M17" s="94">
        <f>77.5/ATHENS!O1*ATHENS!O2</f>
        <v>158.16326530612244</v>
      </c>
      <c r="N17" s="94"/>
    </row>
    <row r="18" spans="1:14" ht="13.5" thickBot="1" x14ac:dyDescent="0.25">
      <c r="A18" s="97"/>
      <c r="B18" s="98"/>
      <c r="C18" s="98"/>
      <c r="D18" s="98"/>
      <c r="E18" s="99"/>
      <c r="F18" s="99"/>
      <c r="G18" s="99"/>
      <c r="H18" s="99"/>
      <c r="I18" s="99"/>
      <c r="J18" s="99"/>
      <c r="K18" s="99"/>
      <c r="L18" s="99"/>
      <c r="M18" s="99"/>
      <c r="N18" s="99"/>
    </row>
    <row r="19" spans="1:14" x14ac:dyDescent="0.2">
      <c r="A19" s="20"/>
      <c r="B19" s="21"/>
      <c r="C19" s="21"/>
      <c r="D19" s="21"/>
      <c r="E19" s="22"/>
      <c r="F19" s="22"/>
      <c r="G19" s="22"/>
      <c r="H19" s="22"/>
      <c r="I19" s="22"/>
      <c r="J19" s="22"/>
      <c r="K19" s="22"/>
      <c r="L19" s="22"/>
      <c r="M19" s="22"/>
      <c r="N19" s="23"/>
    </row>
    <row r="20" spans="1:14" ht="15" x14ac:dyDescent="0.2">
      <c r="A20" s="24"/>
      <c r="B20" s="413" t="s">
        <v>1661</v>
      </c>
      <c r="C20" s="414"/>
      <c r="D20" s="414"/>
      <c r="E20" s="414"/>
      <c r="F20" s="414"/>
      <c r="G20" s="414"/>
      <c r="H20" s="414"/>
      <c r="I20" s="414"/>
      <c r="J20" s="414"/>
      <c r="K20" s="414"/>
      <c r="L20" s="414"/>
      <c r="M20" s="415"/>
      <c r="N20" s="25" t="s">
        <v>96</v>
      </c>
    </row>
    <row r="21" spans="1:14" x14ac:dyDescent="0.2">
      <c r="A21" s="24"/>
      <c r="B21" s="26" t="s">
        <v>428</v>
      </c>
      <c r="C21" s="15"/>
      <c r="D21" s="15"/>
      <c r="E21" s="16"/>
      <c r="F21" s="16"/>
      <c r="G21" s="16"/>
      <c r="H21" s="16"/>
      <c r="I21" s="16"/>
      <c r="J21" s="16"/>
      <c r="K21" s="16"/>
      <c r="L21" s="16"/>
      <c r="M21" s="16"/>
      <c r="N21" s="27"/>
    </row>
    <row r="22" spans="1:14" x14ac:dyDescent="0.2">
      <c r="A22" s="24"/>
      <c r="B22" s="26" t="s">
        <v>429</v>
      </c>
      <c r="C22" s="15" t="s">
        <v>1655</v>
      </c>
      <c r="D22" s="15"/>
      <c r="E22" s="16"/>
      <c r="F22" s="16"/>
      <c r="G22" s="16"/>
      <c r="H22" s="16"/>
      <c r="I22" s="16"/>
      <c r="J22" s="16"/>
      <c r="K22" s="16"/>
      <c r="L22" s="16"/>
      <c r="M22" s="16"/>
      <c r="N22" s="27"/>
    </row>
    <row r="23" spans="1:14" x14ac:dyDescent="0.2">
      <c r="A23" s="24"/>
      <c r="B23" s="26" t="s">
        <v>427</v>
      </c>
      <c r="C23" s="416" t="s">
        <v>1663</v>
      </c>
      <c r="D23" s="416"/>
      <c r="E23" s="416"/>
      <c r="F23" s="416"/>
      <c r="G23" s="416"/>
      <c r="H23" s="416"/>
      <c r="I23" s="416"/>
      <c r="J23" s="416"/>
      <c r="K23" s="416"/>
      <c r="L23" s="416"/>
      <c r="M23" s="416"/>
      <c r="N23" s="417"/>
    </row>
    <row r="24" spans="1:14" x14ac:dyDescent="0.2">
      <c r="A24" s="24"/>
      <c r="B24" s="15"/>
      <c r="C24" s="416"/>
      <c r="D24" s="416"/>
      <c r="E24" s="416"/>
      <c r="F24" s="416"/>
      <c r="G24" s="416"/>
      <c r="H24" s="416"/>
      <c r="I24" s="416"/>
      <c r="J24" s="416"/>
      <c r="K24" s="416"/>
      <c r="L24" s="416"/>
      <c r="M24" s="416"/>
      <c r="N24" s="417"/>
    </row>
    <row r="25" spans="1:14" ht="18.75" x14ac:dyDescent="0.3">
      <c r="A25" s="24"/>
      <c r="B25" s="26" t="s">
        <v>426</v>
      </c>
      <c r="C25" s="292" t="s">
        <v>1662</v>
      </c>
      <c r="D25" s="15"/>
      <c r="E25" s="16"/>
      <c r="F25" s="16"/>
      <c r="G25" s="16"/>
      <c r="H25" s="16"/>
      <c r="I25" s="16"/>
      <c r="J25" s="16"/>
      <c r="K25" s="16"/>
      <c r="L25" s="16"/>
      <c r="M25" s="16"/>
      <c r="N25" s="27"/>
    </row>
    <row r="26" spans="1:14" ht="13.5" thickBot="1" x14ac:dyDescent="0.25">
      <c r="A26" s="28"/>
      <c r="B26" s="26" t="s">
        <v>430</v>
      </c>
      <c r="C26" s="29"/>
      <c r="D26" s="29"/>
      <c r="E26" s="30"/>
      <c r="F26" s="30"/>
      <c r="G26" s="30"/>
      <c r="H26" s="30"/>
      <c r="I26" s="30"/>
      <c r="J26" s="30"/>
      <c r="K26" s="30"/>
      <c r="L26" s="30"/>
      <c r="M26" s="30"/>
      <c r="N26" s="31"/>
    </row>
    <row r="27" spans="1:14" x14ac:dyDescent="0.2">
      <c r="A27" s="24"/>
      <c r="B27" s="21" t="s">
        <v>263</v>
      </c>
      <c r="C27" s="15"/>
      <c r="D27" s="15"/>
      <c r="E27" s="16"/>
      <c r="F27" s="16"/>
      <c r="G27" s="16"/>
      <c r="H27" s="16"/>
      <c r="I27" s="16"/>
      <c r="J27" s="58" t="s">
        <v>776</v>
      </c>
      <c r="K27" s="55"/>
      <c r="L27" s="55" t="s">
        <v>2073</v>
      </c>
      <c r="M27" s="55"/>
      <c r="N27" s="55"/>
    </row>
    <row r="28" spans="1:14" ht="13.5" thickBot="1" x14ac:dyDescent="0.25">
      <c r="A28" s="28"/>
      <c r="B28" s="29"/>
      <c r="C28" s="29"/>
      <c r="D28" s="29"/>
      <c r="E28" s="30"/>
      <c r="F28" s="30"/>
      <c r="G28" s="30"/>
      <c r="H28" s="30"/>
      <c r="I28" s="30"/>
      <c r="J28" s="44" t="s">
        <v>282</v>
      </c>
      <c r="K28" s="36" t="s">
        <v>2072</v>
      </c>
      <c r="L28" s="36" t="s">
        <v>2074</v>
      </c>
      <c r="M28" s="36" t="s">
        <v>2075</v>
      </c>
      <c r="N28" s="36"/>
    </row>
    <row r="29" spans="1:14" x14ac:dyDescent="0.2">
      <c r="A29" s="20"/>
      <c r="B29" s="412" t="s">
        <v>67</v>
      </c>
      <c r="C29" s="412"/>
      <c r="D29" s="412"/>
      <c r="E29" s="22"/>
      <c r="F29" s="22" t="s">
        <v>1180</v>
      </c>
      <c r="G29" s="22" t="s">
        <v>68</v>
      </c>
      <c r="H29" s="22" t="s">
        <v>702</v>
      </c>
      <c r="I29" s="16"/>
      <c r="J29" s="66">
        <f>57.5/ATHENS!O1*ATHENS!O2</f>
        <v>117.34693877551021</v>
      </c>
      <c r="K29" s="66">
        <f>66.5/ATHENS!O1*ATHENS!O2</f>
        <v>135.71428571428572</v>
      </c>
      <c r="L29" s="40">
        <f>74/ATHENS!O1*ATHENS!O2</f>
        <v>151.0204081632653</v>
      </c>
      <c r="M29" s="38">
        <f>96/ATHENS!O1*ATHENS!O2</f>
        <v>195.91836734693877</v>
      </c>
      <c r="N29" s="38"/>
    </row>
    <row r="30" spans="1:14" x14ac:dyDescent="0.2">
      <c r="A30" s="24"/>
      <c r="B30" s="411" t="s">
        <v>67</v>
      </c>
      <c r="C30" s="411"/>
      <c r="D30" s="411"/>
      <c r="E30" s="16"/>
      <c r="F30" s="16" t="s">
        <v>1181</v>
      </c>
      <c r="G30" s="16" t="s">
        <v>68</v>
      </c>
      <c r="H30" s="16" t="s">
        <v>702</v>
      </c>
      <c r="I30" s="16"/>
      <c r="J30" s="66">
        <f>21.5/ATHENS!O1*ATHENS!O2</f>
        <v>43.877551020408163</v>
      </c>
      <c r="K30" s="66">
        <f>24.6/ATHENS!O1*ATHENS!O2</f>
        <v>50.204081632653065</v>
      </c>
      <c r="L30" s="40">
        <f>28/ATHENS!O1*ATHENS!O2</f>
        <v>57.142857142857146</v>
      </c>
      <c r="M30" s="40">
        <f>36/ATHENS!O1*ATHENS!O2</f>
        <v>73.469387755102048</v>
      </c>
      <c r="N30" s="40"/>
    </row>
    <row r="31" spans="1:14" x14ac:dyDescent="0.2">
      <c r="A31" s="24"/>
      <c r="B31" s="59" t="s">
        <v>1900</v>
      </c>
      <c r="C31" s="15"/>
      <c r="D31" s="15"/>
      <c r="E31" s="16"/>
      <c r="F31" s="16" t="s">
        <v>257</v>
      </c>
      <c r="G31" s="16" t="s">
        <v>68</v>
      </c>
      <c r="H31" s="16" t="s">
        <v>702</v>
      </c>
      <c r="I31" s="16"/>
      <c r="J31" s="66">
        <f>17.7/ATHENS!O1*ATHENS!O2</f>
        <v>36.122448979591837</v>
      </c>
      <c r="K31" s="66">
        <f>21.5/ATHENS!O1*ATHENS!O2</f>
        <v>43.877551020408163</v>
      </c>
      <c r="L31" s="40">
        <f>26/ATHENS!O1*ATHENS!O2</f>
        <v>53.061224489795919</v>
      </c>
      <c r="M31" s="40">
        <f>35/ATHENS!O1*ATHENS!O2</f>
        <v>71.428571428571431</v>
      </c>
      <c r="N31" s="40"/>
    </row>
    <row r="32" spans="1:14" ht="13.5" thickBot="1" x14ac:dyDescent="0.25">
      <c r="A32" s="28"/>
      <c r="B32" s="418"/>
      <c r="C32" s="418"/>
      <c r="D32" s="418"/>
      <c r="E32" s="30"/>
      <c r="F32" s="80"/>
      <c r="G32" s="80"/>
      <c r="H32" s="30"/>
      <c r="I32" s="30"/>
      <c r="J32" s="67"/>
      <c r="K32" s="67"/>
      <c r="L32" s="42"/>
      <c r="M32" s="42"/>
      <c r="N32" s="42"/>
    </row>
    <row r="33" spans="1:14" x14ac:dyDescent="0.2">
      <c r="A33" s="97"/>
      <c r="B33" s="98"/>
      <c r="C33" s="98"/>
      <c r="D33" s="98"/>
      <c r="E33" s="99"/>
      <c r="F33" s="99"/>
      <c r="G33" s="99"/>
      <c r="H33" s="99"/>
      <c r="I33" s="99"/>
      <c r="J33" s="99"/>
      <c r="K33" s="99"/>
      <c r="L33" s="99"/>
      <c r="M33" s="99"/>
      <c r="N33" s="99"/>
    </row>
    <row r="34" spans="1:14" ht="13.5" thickBot="1" x14ac:dyDescent="0.25">
      <c r="A34" s="97"/>
      <c r="B34" s="98"/>
      <c r="C34" s="98"/>
      <c r="D34" s="98"/>
      <c r="E34" s="99"/>
      <c r="F34" s="99"/>
      <c r="G34" s="99"/>
      <c r="H34" s="99"/>
      <c r="I34" s="99"/>
      <c r="J34" s="99"/>
      <c r="K34" s="99"/>
      <c r="L34" s="99"/>
      <c r="M34" s="99"/>
      <c r="N34" s="99"/>
    </row>
    <row r="35" spans="1:14" ht="13.5" thickBot="1" x14ac:dyDescent="0.25">
      <c r="A35" s="101"/>
      <c r="B35" s="102"/>
      <c r="C35" s="102"/>
      <c r="D35" s="102"/>
      <c r="E35" s="103"/>
      <c r="F35" s="103"/>
      <c r="G35" s="103"/>
      <c r="H35" s="103"/>
      <c r="I35" s="103"/>
      <c r="J35" s="103"/>
      <c r="K35" s="103"/>
      <c r="L35" s="103"/>
      <c r="M35" s="103"/>
      <c r="N35" s="104"/>
    </row>
    <row r="36" spans="1:14" ht="15.75" thickBot="1" x14ac:dyDescent="0.25">
      <c r="A36" s="105"/>
      <c r="B36" s="459" t="s">
        <v>134</v>
      </c>
      <c r="C36" s="460"/>
      <c r="D36" s="460"/>
      <c r="E36" s="460"/>
      <c r="F36" s="460"/>
      <c r="G36" s="460"/>
      <c r="H36" s="460"/>
      <c r="I36" s="460"/>
      <c r="J36" s="460"/>
      <c r="K36" s="460"/>
      <c r="L36" s="460"/>
      <c r="M36" s="461"/>
      <c r="N36" s="106" t="s">
        <v>1103</v>
      </c>
    </row>
    <row r="37" spans="1:14" x14ac:dyDescent="0.2">
      <c r="A37" s="105"/>
      <c r="B37" s="107" t="s">
        <v>428</v>
      </c>
      <c r="C37" s="98" t="s">
        <v>138</v>
      </c>
      <c r="D37" s="98"/>
      <c r="E37" s="99"/>
      <c r="F37" s="99"/>
      <c r="G37" s="99"/>
      <c r="H37" s="99"/>
      <c r="I37" s="99"/>
      <c r="J37" s="99"/>
      <c r="K37" s="99"/>
      <c r="L37" s="99"/>
      <c r="M37" s="99"/>
      <c r="N37" s="90"/>
    </row>
    <row r="38" spans="1:14" x14ac:dyDescent="0.2">
      <c r="A38" s="105"/>
      <c r="B38" s="107" t="s">
        <v>429</v>
      </c>
      <c r="C38" s="98" t="s">
        <v>1244</v>
      </c>
      <c r="D38" s="98"/>
      <c r="E38" s="99"/>
      <c r="F38" s="99"/>
      <c r="G38" s="99"/>
      <c r="H38" s="99"/>
      <c r="I38" s="99"/>
      <c r="J38" s="99"/>
      <c r="K38" s="99"/>
      <c r="L38" s="99"/>
      <c r="M38" s="99"/>
      <c r="N38" s="90"/>
    </row>
    <row r="39" spans="1:14" x14ac:dyDescent="0.2">
      <c r="A39" s="105"/>
      <c r="B39" s="107" t="s">
        <v>427</v>
      </c>
      <c r="C39" s="444" t="s">
        <v>1125</v>
      </c>
      <c r="D39" s="444"/>
      <c r="E39" s="444"/>
      <c r="F39" s="444"/>
      <c r="G39" s="444"/>
      <c r="H39" s="444"/>
      <c r="I39" s="444"/>
      <c r="J39" s="444"/>
      <c r="K39" s="444"/>
      <c r="L39" s="444"/>
      <c r="M39" s="444"/>
      <c r="N39" s="445"/>
    </row>
    <row r="40" spans="1:14" x14ac:dyDescent="0.2">
      <c r="A40" s="105"/>
      <c r="B40" s="107"/>
      <c r="C40" s="444"/>
      <c r="D40" s="444"/>
      <c r="E40" s="444"/>
      <c r="F40" s="444"/>
      <c r="G40" s="444"/>
      <c r="H40" s="444"/>
      <c r="I40" s="444"/>
      <c r="J40" s="444"/>
      <c r="K40" s="444"/>
      <c r="L40" s="444"/>
      <c r="M40" s="444"/>
      <c r="N40" s="445"/>
    </row>
    <row r="41" spans="1:14" x14ac:dyDescent="0.2">
      <c r="A41" s="105"/>
      <c r="B41" s="107"/>
      <c r="C41" s="444"/>
      <c r="D41" s="444"/>
      <c r="E41" s="444"/>
      <c r="F41" s="444"/>
      <c r="G41" s="444"/>
      <c r="H41" s="444"/>
      <c r="I41" s="444"/>
      <c r="J41" s="444"/>
      <c r="K41" s="444"/>
      <c r="L41" s="444"/>
      <c r="M41" s="444"/>
      <c r="N41" s="445"/>
    </row>
    <row r="42" spans="1:14" ht="13.5" thickBot="1" x14ac:dyDescent="0.25">
      <c r="A42" s="105"/>
      <c r="B42" s="98"/>
      <c r="C42" s="444"/>
      <c r="D42" s="444"/>
      <c r="E42" s="444"/>
      <c r="F42" s="444"/>
      <c r="G42" s="444"/>
      <c r="H42" s="444"/>
      <c r="I42" s="444"/>
      <c r="J42" s="444"/>
      <c r="K42" s="444"/>
      <c r="L42" s="444"/>
      <c r="M42" s="444"/>
      <c r="N42" s="445"/>
    </row>
    <row r="43" spans="1:14" x14ac:dyDescent="0.2">
      <c r="A43" s="101"/>
      <c r="B43" s="102" t="s">
        <v>263</v>
      </c>
      <c r="C43" s="102"/>
      <c r="D43" s="102"/>
      <c r="E43" s="103"/>
      <c r="F43" s="103"/>
      <c r="G43" s="103"/>
      <c r="H43" s="103"/>
      <c r="I43" s="103"/>
      <c r="J43" s="114" t="s">
        <v>1403</v>
      </c>
      <c r="K43" s="113" t="s">
        <v>576</v>
      </c>
      <c r="L43" s="113" t="s">
        <v>2077</v>
      </c>
      <c r="M43" s="113"/>
      <c r="N43" s="113"/>
    </row>
    <row r="44" spans="1:14" ht="13.5" thickBot="1" x14ac:dyDescent="0.25">
      <c r="A44" s="108"/>
      <c r="B44" s="98"/>
      <c r="C44" s="109"/>
      <c r="D44" s="109"/>
      <c r="E44" s="110"/>
      <c r="F44" s="110"/>
      <c r="G44" s="110"/>
      <c r="H44" s="110"/>
      <c r="I44" s="110"/>
      <c r="J44" s="112" t="s">
        <v>2076</v>
      </c>
      <c r="K44" s="94" t="s">
        <v>249</v>
      </c>
      <c r="L44" s="94" t="s">
        <v>2078</v>
      </c>
      <c r="M44" s="94" t="s">
        <v>1404</v>
      </c>
      <c r="N44" s="94"/>
    </row>
    <row r="45" spans="1:14" x14ac:dyDescent="0.2">
      <c r="A45" s="101"/>
      <c r="B45" s="448" t="s">
        <v>67</v>
      </c>
      <c r="C45" s="448"/>
      <c r="D45" s="448"/>
      <c r="E45" s="103"/>
      <c r="F45" s="103" t="s">
        <v>1180</v>
      </c>
      <c r="G45" s="103" t="s">
        <v>68</v>
      </c>
      <c r="H45" s="103" t="s">
        <v>702</v>
      </c>
      <c r="I45" s="103"/>
      <c r="J45" s="113">
        <f>84.5/ATHENS!O1*ATHENS!O2</f>
        <v>172.44897959183675</v>
      </c>
      <c r="K45" s="113">
        <f>125.8/ATHENS!O1*ATHENS!O2</f>
        <v>256.73469387755102</v>
      </c>
      <c r="L45" s="113">
        <f>161.5/ATHENS!O1*ATHENS!O2</f>
        <v>329.59183673469386</v>
      </c>
      <c r="M45" s="113">
        <f>183.5/ATHENS!O1*ATHENS!O2</f>
        <v>374.48979591836735</v>
      </c>
      <c r="N45" s="113"/>
    </row>
    <row r="46" spans="1:14" ht="13.5" thickBot="1" x14ac:dyDescent="0.25">
      <c r="A46" s="108"/>
      <c r="B46" s="436" t="s">
        <v>67</v>
      </c>
      <c r="C46" s="436"/>
      <c r="D46" s="436"/>
      <c r="E46" s="110"/>
      <c r="F46" s="110" t="s">
        <v>1181</v>
      </c>
      <c r="G46" s="110" t="s">
        <v>68</v>
      </c>
      <c r="H46" s="110" t="s">
        <v>702</v>
      </c>
      <c r="I46" s="110"/>
      <c r="J46" s="94">
        <f>42.5/ATHENS!O1*ATHENS!O2</f>
        <v>86.734693877551024</v>
      </c>
      <c r="K46" s="94">
        <f>62.9/ATHENS!O1*ATHENS!O2</f>
        <v>128.36734693877551</v>
      </c>
      <c r="L46" s="94">
        <f>80.6/ATHENS!O1*ATHENS!O2</f>
        <v>164.48979591836735</v>
      </c>
      <c r="M46" s="94">
        <f>91.5/ATHENS!O1*ATHENS!O2</f>
        <v>186.73469387755102</v>
      </c>
      <c r="N46" s="94"/>
    </row>
    <row r="47" spans="1:14" x14ac:dyDescent="0.2">
      <c r="A47" s="97"/>
      <c r="B47" s="98"/>
      <c r="C47" s="98"/>
      <c r="D47" s="98"/>
      <c r="E47" s="99"/>
      <c r="F47" s="99"/>
      <c r="G47" s="99"/>
      <c r="H47" s="99"/>
      <c r="I47" s="99"/>
      <c r="J47" s="99"/>
      <c r="K47" s="99"/>
      <c r="L47" s="99"/>
      <c r="M47" s="99"/>
      <c r="N47" s="99"/>
    </row>
    <row r="48" spans="1:14" x14ac:dyDescent="0.2">
      <c r="A48" s="97"/>
      <c r="B48" s="98"/>
      <c r="C48" s="98"/>
      <c r="D48" s="98"/>
      <c r="E48" s="99"/>
      <c r="F48" s="99"/>
      <c r="G48" s="99"/>
      <c r="H48" s="99"/>
      <c r="I48" s="99"/>
      <c r="J48" s="99"/>
      <c r="K48" s="99"/>
      <c r="L48" s="99"/>
      <c r="M48" s="99"/>
      <c r="N48" s="99"/>
    </row>
    <row r="49" spans="1:14" x14ac:dyDescent="0.2">
      <c r="A49" s="97"/>
      <c r="B49" s="98"/>
      <c r="C49" s="98"/>
      <c r="D49" s="98"/>
      <c r="E49" s="99"/>
      <c r="F49" s="99"/>
      <c r="G49" s="99"/>
      <c r="H49" s="99"/>
      <c r="I49" s="99"/>
      <c r="J49" s="99"/>
      <c r="K49" s="99"/>
      <c r="L49" s="99"/>
      <c r="M49" s="99"/>
      <c r="N49" s="99"/>
    </row>
    <row r="50" spans="1:14" x14ac:dyDescent="0.2">
      <c r="A50" s="97"/>
      <c r="B50" s="98"/>
      <c r="C50" s="98"/>
      <c r="D50" s="98"/>
      <c r="E50" s="99"/>
      <c r="F50" s="99"/>
      <c r="G50" s="99"/>
      <c r="H50" s="99"/>
      <c r="I50" s="99"/>
      <c r="J50" s="99"/>
      <c r="K50" s="99"/>
      <c r="L50" s="99"/>
      <c r="M50" s="99"/>
      <c r="N50" s="99"/>
    </row>
    <row r="51" spans="1:14" x14ac:dyDescent="0.2">
      <c r="A51" s="97"/>
      <c r="B51" s="98"/>
      <c r="C51" s="98"/>
      <c r="D51" s="98"/>
      <c r="E51" s="99"/>
      <c r="F51" s="99"/>
      <c r="G51" s="99"/>
      <c r="H51" s="99"/>
      <c r="I51" s="99"/>
      <c r="J51" s="99"/>
      <c r="K51" s="99"/>
      <c r="L51" s="99"/>
      <c r="M51" s="99"/>
      <c r="N51" s="99"/>
    </row>
    <row r="52" spans="1:14" x14ac:dyDescent="0.2">
      <c r="A52" s="97"/>
      <c r="B52" s="98"/>
      <c r="C52" s="98"/>
      <c r="D52" s="98"/>
      <c r="E52" s="99"/>
      <c r="F52" s="99"/>
      <c r="G52" s="99"/>
      <c r="H52" s="99"/>
      <c r="I52" s="99"/>
      <c r="J52" s="99"/>
      <c r="K52" s="99"/>
      <c r="L52" s="99"/>
      <c r="M52" s="99"/>
      <c r="N52" s="99"/>
    </row>
    <row r="53" spans="1:14" x14ac:dyDescent="0.2">
      <c r="A53" s="97"/>
      <c r="B53" s="98"/>
      <c r="C53" s="98"/>
      <c r="D53" s="98"/>
      <c r="E53" s="99"/>
      <c r="F53" s="99"/>
      <c r="G53" s="99"/>
      <c r="H53" s="99"/>
      <c r="I53" s="99"/>
      <c r="J53" s="99"/>
      <c r="K53" s="99"/>
      <c r="L53" s="99"/>
      <c r="M53" s="99"/>
      <c r="N53" s="99"/>
    </row>
    <row r="54" spans="1:14" x14ac:dyDescent="0.2">
      <c r="A54" s="97"/>
      <c r="B54" s="98"/>
      <c r="C54" s="98"/>
      <c r="D54" s="98"/>
      <c r="E54" s="99"/>
      <c r="F54" s="99"/>
      <c r="G54" s="99"/>
      <c r="H54" s="99"/>
      <c r="I54" s="99"/>
      <c r="J54" s="99"/>
      <c r="K54" s="99"/>
      <c r="L54" s="99"/>
      <c r="M54" s="99"/>
      <c r="N54" s="99"/>
    </row>
    <row r="55" spans="1:14" x14ac:dyDescent="0.2">
      <c r="A55" s="97"/>
      <c r="B55" s="98"/>
      <c r="C55" s="98"/>
      <c r="D55" s="98"/>
      <c r="E55" s="99"/>
      <c r="F55" s="99"/>
      <c r="G55" s="99"/>
      <c r="H55" s="99"/>
      <c r="I55" s="99"/>
      <c r="J55" s="99"/>
      <c r="K55" s="99"/>
      <c r="L55" s="99"/>
      <c r="M55" s="99"/>
      <c r="N55" s="99"/>
    </row>
    <row r="56" spans="1:14" x14ac:dyDescent="0.2">
      <c r="A56" s="97"/>
      <c r="B56" s="98"/>
      <c r="C56" s="98"/>
      <c r="D56" s="98"/>
      <c r="E56" s="99"/>
      <c r="F56" s="99"/>
      <c r="G56" s="99"/>
      <c r="H56" s="99"/>
      <c r="I56" s="99"/>
      <c r="J56" s="99"/>
      <c r="K56" s="99"/>
      <c r="L56" s="99"/>
      <c r="M56" s="99"/>
      <c r="N56" s="99"/>
    </row>
    <row r="57" spans="1:14" ht="13.5" thickBot="1" x14ac:dyDescent="0.25">
      <c r="A57" s="97"/>
      <c r="B57" s="98"/>
      <c r="C57" s="98"/>
      <c r="D57" s="98"/>
      <c r="E57" s="99"/>
      <c r="F57" s="99"/>
      <c r="G57" s="99"/>
      <c r="H57" s="99"/>
      <c r="I57" s="99"/>
      <c r="J57" s="99"/>
      <c r="K57" s="99"/>
      <c r="L57" s="99"/>
      <c r="M57" s="99"/>
      <c r="N57" s="99"/>
    </row>
    <row r="58" spans="1:14" x14ac:dyDescent="0.2">
      <c r="A58" s="20"/>
      <c r="B58" s="21"/>
      <c r="C58" s="21"/>
      <c r="D58" s="21"/>
      <c r="E58" s="22"/>
      <c r="F58" s="22"/>
      <c r="G58" s="22"/>
      <c r="H58" s="22"/>
      <c r="I58" s="22"/>
      <c r="J58" s="22"/>
      <c r="K58" s="22"/>
      <c r="L58" s="22"/>
      <c r="M58" s="22"/>
      <c r="N58" s="23"/>
    </row>
    <row r="59" spans="1:14" ht="15" x14ac:dyDescent="0.2">
      <c r="A59" s="24"/>
      <c r="B59" s="413" t="s">
        <v>1656</v>
      </c>
      <c r="C59" s="414"/>
      <c r="D59" s="414"/>
      <c r="E59" s="414"/>
      <c r="F59" s="414"/>
      <c r="G59" s="414"/>
      <c r="H59" s="414"/>
      <c r="I59" s="414"/>
      <c r="J59" s="414"/>
      <c r="K59" s="414"/>
      <c r="L59" s="414"/>
      <c r="M59" s="415"/>
      <c r="N59" s="25" t="s">
        <v>664</v>
      </c>
    </row>
    <row r="60" spans="1:14" x14ac:dyDescent="0.2">
      <c r="A60" s="24"/>
      <c r="B60" s="26" t="s">
        <v>428</v>
      </c>
      <c r="C60" s="15" t="s">
        <v>1660</v>
      </c>
      <c r="D60" s="15"/>
      <c r="E60" s="16"/>
      <c r="F60" s="16"/>
      <c r="G60" s="16"/>
      <c r="H60" s="16"/>
      <c r="I60" s="16"/>
      <c r="J60" s="16"/>
      <c r="K60" s="16"/>
      <c r="L60" s="16"/>
      <c r="M60" s="16"/>
      <c r="N60" s="27"/>
    </row>
    <row r="61" spans="1:14" x14ac:dyDescent="0.2">
      <c r="A61" s="24"/>
      <c r="B61" s="26" t="s">
        <v>429</v>
      </c>
      <c r="C61" s="15" t="s">
        <v>1658</v>
      </c>
      <c r="D61" s="15"/>
      <c r="E61" s="16"/>
      <c r="F61" s="16"/>
      <c r="G61" s="16"/>
      <c r="H61" s="16"/>
      <c r="I61" s="16"/>
      <c r="J61" s="16"/>
      <c r="K61" s="16"/>
      <c r="L61" s="16"/>
      <c r="M61" s="16"/>
      <c r="N61" s="27"/>
    </row>
    <row r="62" spans="1:14" x14ac:dyDescent="0.2">
      <c r="A62" s="24"/>
      <c r="B62" s="26" t="s">
        <v>427</v>
      </c>
      <c r="C62" s="416" t="s">
        <v>1657</v>
      </c>
      <c r="D62" s="416"/>
      <c r="E62" s="416"/>
      <c r="F62" s="416"/>
      <c r="G62" s="416"/>
      <c r="H62" s="416"/>
      <c r="I62" s="416"/>
      <c r="J62" s="416"/>
      <c r="K62" s="416"/>
      <c r="L62" s="416"/>
      <c r="M62" s="416"/>
      <c r="N62" s="417"/>
    </row>
    <row r="63" spans="1:14" x14ac:dyDescent="0.2">
      <c r="A63" s="24"/>
      <c r="B63" s="15"/>
      <c r="C63" s="416"/>
      <c r="D63" s="416"/>
      <c r="E63" s="416"/>
      <c r="F63" s="416"/>
      <c r="G63" s="416"/>
      <c r="H63" s="416"/>
      <c r="I63" s="416"/>
      <c r="J63" s="416"/>
      <c r="K63" s="416"/>
      <c r="L63" s="416"/>
      <c r="M63" s="416"/>
      <c r="N63" s="417"/>
    </row>
    <row r="64" spans="1:14" x14ac:dyDescent="0.2">
      <c r="A64" s="24"/>
      <c r="B64" s="26" t="s">
        <v>426</v>
      </c>
      <c r="C64" s="291" t="s">
        <v>1659</v>
      </c>
      <c r="D64" s="15"/>
      <c r="E64" s="16"/>
      <c r="F64" s="16"/>
      <c r="G64" s="16"/>
      <c r="H64" s="16"/>
      <c r="I64" s="16"/>
      <c r="J64" s="16"/>
      <c r="K64" s="16"/>
      <c r="L64" s="16"/>
      <c r="M64" s="16"/>
      <c r="N64" s="27"/>
    </row>
    <row r="65" spans="1:14" ht="13.5" thickBot="1" x14ac:dyDescent="0.25">
      <c r="A65" s="28"/>
      <c r="B65" s="26" t="s">
        <v>430</v>
      </c>
      <c r="C65" s="29"/>
      <c r="D65" s="29"/>
      <c r="E65" s="30"/>
      <c r="F65" s="30"/>
      <c r="G65" s="30"/>
      <c r="H65" s="30"/>
      <c r="I65" s="30"/>
      <c r="J65" s="30"/>
      <c r="K65" s="30"/>
      <c r="L65" s="30"/>
      <c r="M65" s="30"/>
      <c r="N65" s="31"/>
    </row>
    <row r="66" spans="1:14" x14ac:dyDescent="0.2">
      <c r="A66" s="24"/>
      <c r="B66" s="21" t="s">
        <v>263</v>
      </c>
      <c r="C66" s="15"/>
      <c r="D66" s="15"/>
      <c r="E66" s="16"/>
      <c r="F66" s="16"/>
      <c r="G66" s="16"/>
      <c r="H66" s="16"/>
      <c r="I66" s="16"/>
      <c r="J66" s="58" t="s">
        <v>1416</v>
      </c>
      <c r="K66" s="55" t="s">
        <v>2080</v>
      </c>
      <c r="L66" s="55"/>
      <c r="M66" s="55"/>
      <c r="N66" s="55"/>
    </row>
    <row r="67" spans="1:14" ht="13.5" thickBot="1" x14ac:dyDescent="0.25">
      <c r="A67" s="28"/>
      <c r="B67" s="29"/>
      <c r="C67" s="29"/>
      <c r="D67" s="29"/>
      <c r="E67" s="30"/>
      <c r="F67" s="30"/>
      <c r="G67" s="30"/>
      <c r="H67" s="30"/>
      <c r="I67" s="30"/>
      <c r="J67" s="44" t="s">
        <v>2079</v>
      </c>
      <c r="K67" s="36" t="s">
        <v>1386</v>
      </c>
      <c r="L67" s="36" t="s">
        <v>399</v>
      </c>
      <c r="M67" s="36"/>
      <c r="N67" s="36"/>
    </row>
    <row r="68" spans="1:14" x14ac:dyDescent="0.2">
      <c r="A68" s="20"/>
      <c r="B68" s="412" t="s">
        <v>67</v>
      </c>
      <c r="C68" s="412"/>
      <c r="D68" s="412"/>
      <c r="E68" s="22"/>
      <c r="F68" s="22" t="s">
        <v>1180</v>
      </c>
      <c r="G68" s="22" t="s">
        <v>68</v>
      </c>
      <c r="H68" s="22" t="s">
        <v>702</v>
      </c>
      <c r="I68" s="16"/>
      <c r="J68" s="66">
        <f>26.5/ATHENS!O1*ATHENS!O2</f>
        <v>54.081632653061227</v>
      </c>
      <c r="K68" s="66">
        <f>40.5/ATHENS!O1*ATHENS!O2</f>
        <v>82.653061224489804</v>
      </c>
      <c r="L68" s="40">
        <f>67/ATHENS!O1*ATHENS!O2</f>
        <v>136.73469387755102</v>
      </c>
      <c r="M68" s="38"/>
      <c r="N68" s="38"/>
    </row>
    <row r="69" spans="1:14" x14ac:dyDescent="0.2">
      <c r="A69" s="24"/>
      <c r="B69" s="411" t="s">
        <v>67</v>
      </c>
      <c r="C69" s="411"/>
      <c r="D69" s="411"/>
      <c r="E69" s="16"/>
      <c r="F69" s="16" t="s">
        <v>1181</v>
      </c>
      <c r="G69" s="16" t="s">
        <v>68</v>
      </c>
      <c r="H69" s="16" t="s">
        <v>702</v>
      </c>
      <c r="I69" s="16"/>
      <c r="J69" s="66">
        <f>18.5/ATHENS!O1*ATHENS!O2</f>
        <v>37.755102040816325</v>
      </c>
      <c r="K69" s="66">
        <f>31.6/ATHENS!O1*ATHENS!O2</f>
        <v>64.489795918367349</v>
      </c>
      <c r="L69" s="40">
        <f>42/ATHENS!O1*ATHENS!O2</f>
        <v>85.714285714285722</v>
      </c>
      <c r="M69" s="40"/>
      <c r="N69" s="40"/>
    </row>
    <row r="70" spans="1:14" x14ac:dyDescent="0.2">
      <c r="A70" s="24"/>
      <c r="B70" s="59" t="s">
        <v>67</v>
      </c>
      <c r="C70" s="15"/>
      <c r="D70" s="15"/>
      <c r="E70" s="16"/>
      <c r="F70" s="16" t="s">
        <v>257</v>
      </c>
      <c r="G70" s="16" t="s">
        <v>68</v>
      </c>
      <c r="H70" s="16" t="s">
        <v>702</v>
      </c>
      <c r="I70" s="16"/>
      <c r="J70" s="66">
        <f>14.5/ATHENS!O1*ATHENS!O2</f>
        <v>29.591836734693878</v>
      </c>
      <c r="K70" s="66">
        <f>24.5/ATHENS!O1*ATHENS!O2</f>
        <v>50</v>
      </c>
      <c r="L70" s="40">
        <f>30/ATHENS!O1*ATHENS!O2</f>
        <v>61.224489795918366</v>
      </c>
      <c r="M70" s="40"/>
      <c r="N70" s="40"/>
    </row>
    <row r="71" spans="1:14" ht="13.5" thickBot="1" x14ac:dyDescent="0.25">
      <c r="A71" s="28"/>
      <c r="B71" s="418"/>
      <c r="C71" s="418"/>
      <c r="D71" s="418"/>
      <c r="E71" s="30"/>
      <c r="F71" s="80"/>
      <c r="G71" s="80"/>
      <c r="H71" s="30"/>
      <c r="I71" s="30"/>
      <c r="J71" s="67"/>
      <c r="K71" s="67"/>
      <c r="L71" s="42"/>
      <c r="M71" s="42"/>
      <c r="N71" s="42"/>
    </row>
    <row r="72" spans="1:14" x14ac:dyDescent="0.2">
      <c r="A72" s="97"/>
      <c r="B72" s="98"/>
      <c r="C72" s="98"/>
      <c r="D72" s="98"/>
      <c r="E72" s="99"/>
      <c r="F72" s="99"/>
      <c r="G72" s="99"/>
      <c r="H72" s="99"/>
      <c r="I72" s="99"/>
      <c r="J72" s="99"/>
      <c r="K72" s="99"/>
      <c r="L72" s="99"/>
      <c r="M72" s="99"/>
      <c r="N72" s="99"/>
    </row>
    <row r="73" spans="1:14" ht="9.75" customHeight="1" thickBot="1" x14ac:dyDescent="0.25">
      <c r="A73" s="97"/>
      <c r="B73" s="98"/>
      <c r="C73" s="98"/>
      <c r="D73" s="98"/>
      <c r="E73" s="99"/>
      <c r="F73" s="99"/>
      <c r="G73" s="99"/>
      <c r="H73" s="99"/>
      <c r="I73" s="99"/>
      <c r="J73" s="99"/>
      <c r="K73" s="99"/>
      <c r="L73" s="99"/>
      <c r="M73" s="99"/>
      <c r="N73" s="99"/>
    </row>
    <row r="74" spans="1:14" ht="13.5" thickBot="1" x14ac:dyDescent="0.25">
      <c r="A74" s="101"/>
      <c r="B74" s="102"/>
      <c r="C74" s="102"/>
      <c r="D74" s="102"/>
      <c r="E74" s="103"/>
      <c r="F74" s="103"/>
      <c r="G74" s="103"/>
      <c r="H74" s="103"/>
      <c r="I74" s="103"/>
      <c r="J74" s="103"/>
      <c r="K74" s="103"/>
      <c r="L74" s="103"/>
      <c r="M74" s="103"/>
      <c r="N74" s="104"/>
    </row>
    <row r="75" spans="1:14" ht="15.75" thickBot="1" x14ac:dyDescent="0.25">
      <c r="A75" s="105"/>
      <c r="B75" s="459" t="s">
        <v>135</v>
      </c>
      <c r="C75" s="460"/>
      <c r="D75" s="460"/>
      <c r="E75" s="460"/>
      <c r="F75" s="460"/>
      <c r="G75" s="460"/>
      <c r="H75" s="460"/>
      <c r="I75" s="460"/>
      <c r="J75" s="460"/>
      <c r="K75" s="460"/>
      <c r="L75" s="460"/>
      <c r="M75" s="461"/>
      <c r="N75" s="106" t="s">
        <v>1102</v>
      </c>
    </row>
    <row r="76" spans="1:14" x14ac:dyDescent="0.2">
      <c r="A76" s="105"/>
      <c r="B76" s="107" t="s">
        <v>428</v>
      </c>
      <c r="C76" s="98" t="s">
        <v>138</v>
      </c>
      <c r="D76" s="98"/>
      <c r="E76" s="99"/>
      <c r="F76" s="99"/>
      <c r="G76" s="99"/>
      <c r="H76" s="99"/>
      <c r="I76" s="99"/>
      <c r="J76" s="99"/>
      <c r="K76" s="99"/>
      <c r="L76" s="99"/>
      <c r="M76" s="99"/>
      <c r="N76" s="90"/>
    </row>
    <row r="77" spans="1:14" x14ac:dyDescent="0.2">
      <c r="A77" s="105"/>
      <c r="B77" s="107" t="s">
        <v>429</v>
      </c>
      <c r="C77" s="98" t="s">
        <v>314</v>
      </c>
      <c r="D77" s="98"/>
      <c r="E77" s="99"/>
      <c r="F77" s="99"/>
      <c r="G77" s="99"/>
      <c r="H77" s="99"/>
      <c r="I77" s="99"/>
      <c r="J77" s="99"/>
      <c r="K77" s="99"/>
      <c r="L77" s="99"/>
      <c r="M77" s="99"/>
      <c r="N77" s="90"/>
    </row>
    <row r="78" spans="1:14" x14ac:dyDescent="0.2">
      <c r="A78" s="105"/>
      <c r="B78" s="107" t="s">
        <v>427</v>
      </c>
      <c r="C78" s="444" t="s">
        <v>1126</v>
      </c>
      <c r="D78" s="444"/>
      <c r="E78" s="444"/>
      <c r="F78" s="444"/>
      <c r="G78" s="444"/>
      <c r="H78" s="444"/>
      <c r="I78" s="444"/>
      <c r="J78" s="444"/>
      <c r="K78" s="444"/>
      <c r="L78" s="444"/>
      <c r="M78" s="444"/>
      <c r="N78" s="445"/>
    </row>
    <row r="79" spans="1:14" x14ac:dyDescent="0.2">
      <c r="A79" s="105"/>
      <c r="B79" s="107"/>
      <c r="C79" s="444"/>
      <c r="D79" s="444"/>
      <c r="E79" s="444"/>
      <c r="F79" s="444"/>
      <c r="G79" s="444"/>
      <c r="H79" s="444"/>
      <c r="I79" s="444"/>
      <c r="J79" s="444"/>
      <c r="K79" s="444"/>
      <c r="L79" s="444"/>
      <c r="M79" s="444"/>
      <c r="N79" s="445"/>
    </row>
    <row r="80" spans="1:14" x14ac:dyDescent="0.2">
      <c r="A80" s="105"/>
      <c r="B80" s="107"/>
      <c r="C80" s="444"/>
      <c r="D80" s="444"/>
      <c r="E80" s="444"/>
      <c r="F80" s="444"/>
      <c r="G80" s="444"/>
      <c r="H80" s="444"/>
      <c r="I80" s="444"/>
      <c r="J80" s="444"/>
      <c r="K80" s="444"/>
      <c r="L80" s="444"/>
      <c r="M80" s="444"/>
      <c r="N80" s="445"/>
    </row>
    <row r="81" spans="1:14" ht="13.5" thickBot="1" x14ac:dyDescent="0.25">
      <c r="A81" s="105"/>
      <c r="B81" s="98"/>
      <c r="C81" s="444"/>
      <c r="D81" s="444"/>
      <c r="E81" s="444"/>
      <c r="F81" s="444"/>
      <c r="G81" s="444"/>
      <c r="H81" s="444"/>
      <c r="I81" s="444"/>
      <c r="J81" s="444"/>
      <c r="K81" s="444"/>
      <c r="L81" s="444"/>
      <c r="M81" s="444"/>
      <c r="N81" s="445"/>
    </row>
    <row r="82" spans="1:14" x14ac:dyDescent="0.2">
      <c r="A82" s="101"/>
      <c r="B82" s="102" t="s">
        <v>263</v>
      </c>
      <c r="C82" s="102"/>
      <c r="D82" s="102"/>
      <c r="E82" s="103"/>
      <c r="F82" s="103"/>
      <c r="G82" s="103"/>
      <c r="H82" s="103"/>
      <c r="I82" s="103"/>
      <c r="J82" s="114" t="s">
        <v>2081</v>
      </c>
      <c r="K82" s="113" t="s">
        <v>576</v>
      </c>
      <c r="L82" s="113" t="s">
        <v>577</v>
      </c>
      <c r="M82" s="113"/>
      <c r="N82" s="113"/>
    </row>
    <row r="83" spans="1:14" ht="13.5" thickBot="1" x14ac:dyDescent="0.25">
      <c r="A83" s="108"/>
      <c r="B83" s="98"/>
      <c r="C83" s="109"/>
      <c r="D83" s="109"/>
      <c r="E83" s="110"/>
      <c r="F83" s="110"/>
      <c r="G83" s="110"/>
      <c r="H83" s="110"/>
      <c r="I83" s="110"/>
      <c r="J83" s="112" t="s">
        <v>2082</v>
      </c>
      <c r="K83" s="94" t="s">
        <v>2083</v>
      </c>
      <c r="L83" s="94" t="s">
        <v>235</v>
      </c>
      <c r="M83" s="94" t="s">
        <v>579</v>
      </c>
      <c r="N83" s="94"/>
    </row>
    <row r="84" spans="1:14" x14ac:dyDescent="0.2">
      <c r="A84" s="101"/>
      <c r="B84" s="448" t="s">
        <v>67</v>
      </c>
      <c r="C84" s="448"/>
      <c r="D84" s="448"/>
      <c r="E84" s="103"/>
      <c r="F84" s="103" t="s">
        <v>1180</v>
      </c>
      <c r="G84" s="103" t="s">
        <v>68</v>
      </c>
      <c r="H84" s="103" t="s">
        <v>702</v>
      </c>
      <c r="I84" s="103"/>
      <c r="J84" s="113">
        <f>41.8/ATHENS!O1*ATHENS!O2</f>
        <v>85.306122448979593</v>
      </c>
      <c r="K84" s="113">
        <f>49.7/ATHENS!O1*ATHENS!O2</f>
        <v>101.42857142857143</v>
      </c>
      <c r="L84" s="113">
        <f>55.7/ATHENS!O1*ATHENS!O2</f>
        <v>113.67346938775511</v>
      </c>
      <c r="M84" s="113">
        <f>83.5/ATHENS!O1*ATHENS!O2</f>
        <v>170.40816326530611</v>
      </c>
      <c r="N84" s="113"/>
    </row>
    <row r="85" spans="1:14" x14ac:dyDescent="0.2">
      <c r="A85" s="105"/>
      <c r="B85" s="443" t="s">
        <v>67</v>
      </c>
      <c r="C85" s="443"/>
      <c r="D85" s="443"/>
      <c r="E85" s="99"/>
      <c r="F85" s="99" t="s">
        <v>1181</v>
      </c>
      <c r="G85" s="99" t="s">
        <v>68</v>
      </c>
      <c r="H85" s="99" t="s">
        <v>702</v>
      </c>
      <c r="I85" s="99"/>
      <c r="J85" s="89">
        <f>23.5/ATHENS!O1*ATHENS!O2</f>
        <v>47.95918367346939</v>
      </c>
      <c r="K85" s="89">
        <f>27.5/ATHENS!O1*ATHENS!O2</f>
        <v>56.122448979591837</v>
      </c>
      <c r="L85" s="89">
        <f>29.5/ATHENS!O1*ATHENS!O2</f>
        <v>60.204081632653065</v>
      </c>
      <c r="M85" s="89">
        <f>43.5/ATHENS!O1*ATHENS!O2</f>
        <v>88.775510204081641</v>
      </c>
      <c r="N85" s="89"/>
    </row>
    <row r="86" spans="1:14" ht="13.5" thickBot="1" x14ac:dyDescent="0.25">
      <c r="A86" s="108"/>
      <c r="B86" s="436" t="s">
        <v>67</v>
      </c>
      <c r="C86" s="436"/>
      <c r="D86" s="436"/>
      <c r="E86" s="110"/>
      <c r="F86" s="110" t="s">
        <v>1182</v>
      </c>
      <c r="G86" s="110" t="s">
        <v>68</v>
      </c>
      <c r="H86" s="110" t="s">
        <v>702</v>
      </c>
      <c r="I86" s="110"/>
      <c r="J86" s="94">
        <f>15.6/ATHENS!O1*ATHENS!O2</f>
        <v>31.836734693877553</v>
      </c>
      <c r="K86" s="94">
        <f>18.5/ATHENS!O1*ATHENS!O2</f>
        <v>37.755102040816325</v>
      </c>
      <c r="L86" s="94">
        <f>19.6/ATHENS!O1*ATHENS!O2</f>
        <v>40.000000000000007</v>
      </c>
      <c r="M86" s="94">
        <f>28.9/ATHENS!O1*ATHENS!O2</f>
        <v>58.979591836734691</v>
      </c>
      <c r="N86" s="94"/>
    </row>
    <row r="87" spans="1:14" ht="10.5" customHeight="1" thickBot="1" x14ac:dyDescent="0.25">
      <c r="A87" s="97"/>
      <c r="B87" s="98"/>
      <c r="C87" s="98"/>
      <c r="D87" s="98"/>
      <c r="E87" s="99"/>
      <c r="F87" s="99"/>
      <c r="G87" s="99"/>
      <c r="H87" s="99"/>
      <c r="I87" s="99"/>
      <c r="J87" s="99"/>
      <c r="K87" s="99"/>
      <c r="L87" s="99"/>
      <c r="M87" s="99"/>
      <c r="N87" s="99"/>
    </row>
    <row r="88" spans="1:14" ht="13.5" thickBot="1" x14ac:dyDescent="0.25">
      <c r="A88" s="101"/>
      <c r="B88" s="102"/>
      <c r="C88" s="102"/>
      <c r="D88" s="102"/>
      <c r="E88" s="103"/>
      <c r="F88" s="103"/>
      <c r="G88" s="103"/>
      <c r="H88" s="103"/>
      <c r="I88" s="103"/>
      <c r="J88" s="103"/>
      <c r="K88" s="103"/>
      <c r="L88" s="103"/>
      <c r="M88" s="103"/>
      <c r="N88" s="104"/>
    </row>
    <row r="89" spans="1:14" ht="15.75" thickBot="1" x14ac:dyDescent="0.25">
      <c r="A89" s="105"/>
      <c r="B89" s="459" t="s">
        <v>136</v>
      </c>
      <c r="C89" s="460"/>
      <c r="D89" s="460"/>
      <c r="E89" s="460"/>
      <c r="F89" s="460"/>
      <c r="G89" s="460"/>
      <c r="H89" s="460"/>
      <c r="I89" s="460"/>
      <c r="J89" s="460"/>
      <c r="K89" s="460"/>
      <c r="L89" s="460"/>
      <c r="M89" s="461"/>
      <c r="N89" s="106" t="s">
        <v>1102</v>
      </c>
    </row>
    <row r="90" spans="1:14" x14ac:dyDescent="0.2">
      <c r="A90" s="105"/>
      <c r="B90" s="107" t="s">
        <v>428</v>
      </c>
      <c r="C90" s="98" t="s">
        <v>138</v>
      </c>
      <c r="D90" s="98"/>
      <c r="E90" s="99"/>
      <c r="F90" s="99"/>
      <c r="G90" s="99"/>
      <c r="H90" s="99"/>
      <c r="I90" s="99"/>
      <c r="J90" s="99"/>
      <c r="K90" s="99"/>
      <c r="L90" s="99"/>
      <c r="M90" s="99"/>
      <c r="N90" s="90"/>
    </row>
    <row r="91" spans="1:14" x14ac:dyDescent="0.2">
      <c r="A91" s="105"/>
      <c r="B91" s="107" t="s">
        <v>429</v>
      </c>
      <c r="C91" s="98" t="s">
        <v>315</v>
      </c>
      <c r="D91" s="98"/>
      <c r="E91" s="99"/>
      <c r="F91" s="99"/>
      <c r="G91" s="99"/>
      <c r="H91" s="99"/>
      <c r="I91" s="99"/>
      <c r="J91" s="99"/>
      <c r="K91" s="99"/>
      <c r="L91" s="99"/>
      <c r="M91" s="99"/>
      <c r="N91" s="90"/>
    </row>
    <row r="92" spans="1:14" x14ac:dyDescent="0.2">
      <c r="A92" s="105"/>
      <c r="B92" s="107" t="s">
        <v>427</v>
      </c>
      <c r="C92" s="444" t="s">
        <v>1127</v>
      </c>
      <c r="D92" s="444"/>
      <c r="E92" s="444"/>
      <c r="F92" s="444"/>
      <c r="G92" s="444"/>
      <c r="H92" s="444"/>
      <c r="I92" s="444"/>
      <c r="J92" s="444"/>
      <c r="K92" s="444"/>
      <c r="L92" s="444"/>
      <c r="M92" s="444"/>
      <c r="N92" s="445"/>
    </row>
    <row r="93" spans="1:14" x14ac:dyDescent="0.2">
      <c r="A93" s="105"/>
      <c r="B93" s="98"/>
      <c r="C93" s="444"/>
      <c r="D93" s="444"/>
      <c r="E93" s="444"/>
      <c r="F93" s="444"/>
      <c r="G93" s="444"/>
      <c r="H93" s="444"/>
      <c r="I93" s="444"/>
      <c r="J93" s="444"/>
      <c r="K93" s="444"/>
      <c r="L93" s="444"/>
      <c r="M93" s="444"/>
      <c r="N93" s="445"/>
    </row>
    <row r="94" spans="1:14" ht="13.5" thickBot="1" x14ac:dyDescent="0.25">
      <c r="A94" s="105"/>
      <c r="B94" s="98"/>
      <c r="C94" s="444"/>
      <c r="D94" s="444"/>
      <c r="E94" s="444"/>
      <c r="F94" s="444"/>
      <c r="G94" s="444"/>
      <c r="H94" s="444"/>
      <c r="I94" s="444"/>
      <c r="J94" s="444"/>
      <c r="K94" s="444"/>
      <c r="L94" s="444"/>
      <c r="M94" s="444"/>
      <c r="N94" s="445"/>
    </row>
    <row r="95" spans="1:14" x14ac:dyDescent="0.2">
      <c r="A95" s="101"/>
      <c r="B95" s="102" t="s">
        <v>263</v>
      </c>
      <c r="C95" s="102"/>
      <c r="D95" s="102"/>
      <c r="E95" s="103"/>
      <c r="F95" s="103"/>
      <c r="G95" s="103"/>
      <c r="H95" s="103"/>
      <c r="I95" s="103"/>
      <c r="J95" s="114"/>
      <c r="K95" s="113" t="s">
        <v>1841</v>
      </c>
      <c r="L95" s="113" t="s">
        <v>1837</v>
      </c>
      <c r="M95" s="113"/>
      <c r="N95" s="113"/>
    </row>
    <row r="96" spans="1:14" ht="13.5" thickBot="1" x14ac:dyDescent="0.25">
      <c r="A96" s="108"/>
      <c r="B96" s="98"/>
      <c r="C96" s="109"/>
      <c r="D96" s="109"/>
      <c r="E96" s="110"/>
      <c r="F96" s="110"/>
      <c r="G96" s="110"/>
      <c r="H96" s="110"/>
      <c r="I96" s="110"/>
      <c r="J96" s="112" t="s">
        <v>909</v>
      </c>
      <c r="K96" s="94" t="s">
        <v>1842</v>
      </c>
      <c r="L96" s="94" t="s">
        <v>1838</v>
      </c>
      <c r="M96" s="94" t="s">
        <v>1839</v>
      </c>
      <c r="N96" s="94" t="s">
        <v>1840</v>
      </c>
    </row>
    <row r="97" spans="1:14" x14ac:dyDescent="0.2">
      <c r="A97" s="101"/>
      <c r="B97" s="448" t="s">
        <v>67</v>
      </c>
      <c r="C97" s="448"/>
      <c r="D97" s="448"/>
      <c r="E97" s="103"/>
      <c r="F97" s="103" t="s">
        <v>1180</v>
      </c>
      <c r="G97" s="103" t="s">
        <v>68</v>
      </c>
      <c r="H97" s="103" t="s">
        <v>702</v>
      </c>
      <c r="I97" s="103"/>
      <c r="J97" s="113" t="s">
        <v>864</v>
      </c>
      <c r="K97" s="113">
        <f>45/ATHENS!O1*ATHENS!O2</f>
        <v>91.83673469387756</v>
      </c>
      <c r="L97" s="113">
        <f>54/ATHENS!O1*ATHENS!O2</f>
        <v>110.20408163265306</v>
      </c>
      <c r="M97" s="113">
        <f>63/ATHENS!O1*ATHENS!O2</f>
        <v>128.57142857142858</v>
      </c>
      <c r="N97" s="113">
        <f>77/ATHENS!O1*ATHENS!O2</f>
        <v>157.14285714285714</v>
      </c>
    </row>
    <row r="98" spans="1:14" x14ac:dyDescent="0.2">
      <c r="A98" s="105"/>
      <c r="B98" s="443" t="s">
        <v>67</v>
      </c>
      <c r="C98" s="443"/>
      <c r="D98" s="443"/>
      <c r="E98" s="99"/>
      <c r="F98" s="99" t="s">
        <v>1181</v>
      </c>
      <c r="G98" s="99" t="s">
        <v>68</v>
      </c>
      <c r="H98" s="99" t="s">
        <v>702</v>
      </c>
      <c r="I98" s="99"/>
      <c r="J98" s="89">
        <f>22.5/ATHENS!O1*ATHENS!O2</f>
        <v>45.91836734693878</v>
      </c>
      <c r="K98" s="89">
        <f>25/ATHENS!O1*ATHENS!O2</f>
        <v>51.020408163265309</v>
      </c>
      <c r="L98" s="89">
        <f>33/ATHENS!O1*ATHENS!O2</f>
        <v>67.34693877551021</v>
      </c>
      <c r="M98" s="89">
        <f>40/ATHENS!O1*ATHENS!O2</f>
        <v>81.632653061224488</v>
      </c>
      <c r="N98" s="89">
        <f>47.5/ATHENS!O1*ATHENS!O2</f>
        <v>96.938775510204081</v>
      </c>
    </row>
    <row r="99" spans="1:14" ht="13.5" thickBot="1" x14ac:dyDescent="0.25">
      <c r="A99" s="108"/>
      <c r="B99" s="436" t="s">
        <v>67</v>
      </c>
      <c r="C99" s="436"/>
      <c r="D99" s="436"/>
      <c r="E99" s="110"/>
      <c r="F99" s="110" t="s">
        <v>1182</v>
      </c>
      <c r="G99" s="110" t="s">
        <v>68</v>
      </c>
      <c r="H99" s="110" t="s">
        <v>702</v>
      </c>
      <c r="I99" s="110"/>
      <c r="J99" s="94">
        <f>18.5/ATHENS!O1*ATHENS!O2</f>
        <v>37.755102040816325</v>
      </c>
      <c r="K99" s="94">
        <f>20.5/ATHENS!O1*ATHENS!O2</f>
        <v>41.836734693877553</v>
      </c>
      <c r="L99" s="94">
        <f>24/ATHENS!O1*ATHENS!O2</f>
        <v>48.979591836734691</v>
      </c>
      <c r="M99" s="94">
        <f>29.6/ATHENS!O1*ATHENS!O2</f>
        <v>60.408163265306129</v>
      </c>
      <c r="N99" s="94">
        <f>36.5/ATHENS!O1*ATHENS!O2</f>
        <v>74.489795918367349</v>
      </c>
    </row>
  </sheetData>
  <customSheetViews>
    <customSheetView guid="{3C76061C-A85D-4390-B9DB-73E13038638C}" showPageBreaks="1" showGridLines="0" view="pageLayout" topLeftCell="A100">
      <selection activeCell="M51" sqref="M51"/>
      <pageMargins left="0.28125" right="0.25" top="0.6692913385826772" bottom="0.70866141732283472" header="0.23622047244094491" footer="0.47244094488188981"/>
      <printOptions horizontalCentered="1"/>
      <pageSetup paperSize="9" firstPageNumber="109"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29">
    <mergeCell ref="B84:D84"/>
    <mergeCell ref="B85:D85"/>
    <mergeCell ref="B86:D86"/>
    <mergeCell ref="B98:D98"/>
    <mergeCell ref="B99:D99"/>
    <mergeCell ref="B89:M89"/>
    <mergeCell ref="C92:N94"/>
    <mergeCell ref="B97:D97"/>
    <mergeCell ref="B5:M5"/>
    <mergeCell ref="C8:N12"/>
    <mergeCell ref="B15:D15"/>
    <mergeCell ref="B16:D16"/>
    <mergeCell ref="C78:N81"/>
    <mergeCell ref="B45:D45"/>
    <mergeCell ref="B46:D46"/>
    <mergeCell ref="C39:N42"/>
    <mergeCell ref="B17:D17"/>
    <mergeCell ref="B36:M36"/>
    <mergeCell ref="B75:M75"/>
    <mergeCell ref="B20:M20"/>
    <mergeCell ref="C23:N24"/>
    <mergeCell ref="B29:D29"/>
    <mergeCell ref="B30:D30"/>
    <mergeCell ref="B32:D32"/>
    <mergeCell ref="B59:M59"/>
    <mergeCell ref="C62:N63"/>
    <mergeCell ref="B68:D68"/>
    <mergeCell ref="B69:D69"/>
    <mergeCell ref="B71:D71"/>
  </mergeCells>
  <phoneticPr fontId="17" type="noConversion"/>
  <hyperlinks>
    <hyperlink ref="B5:M5" r:id="rId2" display="Skopelos Holidays" xr:uid="{00000000-0004-0000-2500-000000000000}"/>
    <hyperlink ref="B89:M89" r:id="rId3" display="Rigas" xr:uid="{00000000-0004-0000-2500-000001000000}"/>
    <hyperlink ref="B36:M36" r:id="rId4" display="Skopelos Village" xr:uid="{00000000-0004-0000-2500-000002000000}"/>
    <hyperlink ref="B75:M75" r:id="rId5" display="Dionyssos" xr:uid="{00000000-0004-0000-2500-000003000000}"/>
    <hyperlink ref="C64" r:id="rId6" display="http://www.afroditehotel.gr/about-skopelos.htm" xr:uid="{00000000-0004-0000-2500-000005000000}"/>
    <hyperlink ref="B20:M20" r:id="rId7" display="Prince Stafilos" xr:uid="{00000000-0004-0000-2500-000006000000}"/>
    <hyperlink ref="B59:M59" r:id="rId8" display="Afrodite" xr:uid="{00000000-0004-0000-2500-000004000000}"/>
  </hyperlinks>
  <printOptions horizontalCentered="1"/>
  <pageMargins left="0.28125" right="0.25" top="0.6692913385826772" bottom="0.70866141732283472" header="0.23622047244094491" footer="0.47244094488188981"/>
  <pageSetup paperSize="9" firstPageNumber="109" orientation="portrait" useFirstPageNumber="1" horizontalDpi="300" verticalDpi="300" r:id="rId9"/>
  <headerFooter scaleWithDoc="0" alignWithMargins="0">
    <oddHeader xml:space="preserve">&amp;C TARIFF 2026
 (EURO)
</oddHeader>
    <oddFooter>&amp;LAll rates are in EURO&amp;C
TARIFF 2026
&amp;RPage &amp;P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4:N47"/>
  <sheetViews>
    <sheetView view="pageLayout" topLeftCell="A37" zoomScaleNormal="100" workbookViewId="0">
      <selection activeCell="L114" sqref="L114"/>
    </sheetView>
  </sheetViews>
  <sheetFormatPr defaultRowHeight="12.75" x14ac:dyDescent="0.2"/>
  <cols>
    <col min="1" max="1" width="4" customWidth="1"/>
    <col min="2" max="2" width="8.140625" customWidth="1"/>
    <col min="5" max="5" width="3.85546875" customWidth="1"/>
    <col min="6" max="6" width="2.28515625" customWidth="1"/>
    <col min="7" max="8" width="3.7109375" customWidth="1"/>
    <col min="9" max="9" width="2.5703125" customWidth="1"/>
    <col min="10" max="10" width="11.140625" customWidth="1"/>
    <col min="11" max="11" width="10.28515625" customWidth="1"/>
    <col min="12" max="12" width="11.28515625" customWidth="1"/>
    <col min="13" max="13" width="7.5703125" customWidth="1"/>
  </cols>
  <sheetData>
    <row r="4" spans="1:14" ht="13.5" thickBot="1" x14ac:dyDescent="0.25"/>
    <row r="5" spans="1:14" x14ac:dyDescent="0.2">
      <c r="A5" s="20"/>
      <c r="B5" s="21"/>
      <c r="C5" s="21"/>
      <c r="D5" s="21"/>
      <c r="E5" s="22"/>
      <c r="F5" s="22"/>
      <c r="G5" s="22"/>
      <c r="H5" s="22"/>
      <c r="I5" s="22"/>
      <c r="J5" s="22"/>
      <c r="K5" s="22"/>
      <c r="L5" s="22"/>
      <c r="M5" s="22"/>
      <c r="N5" s="23"/>
    </row>
    <row r="6" spans="1:14" ht="15" x14ac:dyDescent="0.2">
      <c r="A6" s="24"/>
      <c r="B6" s="413" t="s">
        <v>1664</v>
      </c>
      <c r="C6" s="414"/>
      <c r="D6" s="414"/>
      <c r="E6" s="414"/>
      <c r="F6" s="414"/>
      <c r="G6" s="414"/>
      <c r="H6" s="414"/>
      <c r="I6" s="414"/>
      <c r="J6" s="414"/>
      <c r="K6" s="414"/>
      <c r="L6" s="414"/>
      <c r="M6" s="415"/>
      <c r="N6" s="25" t="s">
        <v>91</v>
      </c>
    </row>
    <row r="7" spans="1:14" x14ac:dyDescent="0.2">
      <c r="A7" s="24"/>
      <c r="B7" s="26" t="s">
        <v>428</v>
      </c>
      <c r="C7" s="293" t="s">
        <v>1669</v>
      </c>
      <c r="D7" s="15"/>
      <c r="E7" s="16"/>
      <c r="F7" s="16"/>
      <c r="G7" s="16"/>
      <c r="H7" s="16"/>
      <c r="I7" s="16"/>
      <c r="J7" s="16"/>
      <c r="K7" s="16"/>
      <c r="L7" s="16"/>
      <c r="M7" s="16"/>
      <c r="N7" s="27"/>
    </row>
    <row r="8" spans="1:14" x14ac:dyDescent="0.2">
      <c r="A8" s="24"/>
      <c r="B8" s="26" t="s">
        <v>429</v>
      </c>
      <c r="C8" s="15" t="s">
        <v>1243</v>
      </c>
      <c r="D8" s="15"/>
      <c r="E8" s="16"/>
      <c r="F8" s="16"/>
      <c r="G8" s="16"/>
      <c r="H8" s="16"/>
      <c r="I8" s="16"/>
      <c r="J8" s="16"/>
      <c r="K8" s="16"/>
      <c r="L8" s="16"/>
      <c r="M8" s="16"/>
      <c r="N8" s="27"/>
    </row>
    <row r="9" spans="1:14" x14ac:dyDescent="0.2">
      <c r="A9" s="24"/>
      <c r="B9" s="26" t="s">
        <v>427</v>
      </c>
      <c r="C9" s="416" t="s">
        <v>1737</v>
      </c>
      <c r="D9" s="416"/>
      <c r="E9" s="416"/>
      <c r="F9" s="416"/>
      <c r="G9" s="416"/>
      <c r="H9" s="416"/>
      <c r="I9" s="416"/>
      <c r="J9" s="416"/>
      <c r="K9" s="416"/>
      <c r="L9" s="416"/>
      <c r="M9" s="416"/>
      <c r="N9" s="417"/>
    </row>
    <row r="10" spans="1:14" x14ac:dyDescent="0.2">
      <c r="A10" s="24"/>
      <c r="B10" s="15"/>
      <c r="C10" s="416"/>
      <c r="D10" s="416"/>
      <c r="E10" s="416"/>
      <c r="F10" s="416"/>
      <c r="G10" s="416"/>
      <c r="H10" s="416"/>
      <c r="I10" s="416"/>
      <c r="J10" s="416"/>
      <c r="K10" s="416"/>
      <c r="L10" s="416"/>
      <c r="M10" s="416"/>
      <c r="N10" s="417"/>
    </row>
    <row r="11" spans="1:14" x14ac:dyDescent="0.2">
      <c r="A11" s="24"/>
      <c r="B11" s="26" t="s">
        <v>426</v>
      </c>
      <c r="C11" s="15" t="s">
        <v>1738</v>
      </c>
      <c r="D11" s="15"/>
      <c r="E11" s="16"/>
      <c r="F11" s="16"/>
      <c r="G11" s="16"/>
      <c r="H11" s="16"/>
      <c r="I11" s="16"/>
      <c r="J11" s="16"/>
      <c r="K11" s="16"/>
      <c r="L11" s="16"/>
      <c r="M11" s="16"/>
      <c r="N11" s="27"/>
    </row>
    <row r="12" spans="1:14" ht="13.5" thickBot="1" x14ac:dyDescent="0.25">
      <c r="A12" s="28"/>
      <c r="B12" s="26" t="s">
        <v>430</v>
      </c>
      <c r="C12" s="29"/>
      <c r="D12" s="29"/>
      <c r="E12" s="30"/>
      <c r="F12" s="30"/>
      <c r="G12" s="30"/>
      <c r="H12" s="30"/>
      <c r="I12" s="30"/>
      <c r="J12" s="30"/>
      <c r="K12" s="30"/>
      <c r="L12" s="30"/>
      <c r="M12" s="30"/>
      <c r="N12" s="31"/>
    </row>
    <row r="13" spans="1:14" ht="13.5" thickBot="1" x14ac:dyDescent="0.25">
      <c r="A13" s="24"/>
      <c r="B13" s="21" t="s">
        <v>263</v>
      </c>
      <c r="C13" s="15"/>
      <c r="D13" s="15"/>
      <c r="E13" s="16"/>
      <c r="F13" s="16"/>
      <c r="G13" s="16"/>
      <c r="H13" s="16"/>
      <c r="I13" s="16"/>
      <c r="J13" s="58" t="s">
        <v>385</v>
      </c>
      <c r="K13" s="55" t="s">
        <v>610</v>
      </c>
      <c r="L13" s="55"/>
      <c r="M13" s="55"/>
      <c r="N13" s="55"/>
    </row>
    <row r="14" spans="1:14" x14ac:dyDescent="0.2">
      <c r="A14" s="20"/>
      <c r="B14" s="412" t="s">
        <v>67</v>
      </c>
      <c r="C14" s="412"/>
      <c r="D14" s="412"/>
      <c r="E14" s="22"/>
      <c r="F14" s="22" t="s">
        <v>1180</v>
      </c>
      <c r="G14" s="22" t="s">
        <v>68</v>
      </c>
      <c r="H14" s="22" t="s">
        <v>702</v>
      </c>
      <c r="I14" s="16"/>
      <c r="J14" s="66">
        <f>63/ATHENS!O1*ATHENS!O2</f>
        <v>128.57142857142858</v>
      </c>
      <c r="K14" s="66">
        <f>81/ATHENS!O1*ATHENS!O2</f>
        <v>165.30612244897961</v>
      </c>
      <c r="L14" s="40"/>
      <c r="M14" s="38"/>
      <c r="N14" s="38"/>
    </row>
    <row r="15" spans="1:14" x14ac:dyDescent="0.2">
      <c r="A15" s="24"/>
      <c r="B15" s="411" t="s">
        <v>67</v>
      </c>
      <c r="C15" s="411"/>
      <c r="D15" s="411"/>
      <c r="E15" s="16"/>
      <c r="F15" s="16" t="s">
        <v>1181</v>
      </c>
      <c r="G15" s="16" t="s">
        <v>68</v>
      </c>
      <c r="H15" s="16" t="s">
        <v>702</v>
      </c>
      <c r="I15" s="16"/>
      <c r="J15" s="66">
        <f>36/ATHENS!O1*ATHENS!O2</f>
        <v>73.469387755102048</v>
      </c>
      <c r="K15" s="66">
        <f>58.5/ATHENS!O1*ATHENS!O2</f>
        <v>119.38775510204081</v>
      </c>
      <c r="L15" s="40"/>
      <c r="M15" s="40"/>
      <c r="N15" s="40"/>
    </row>
    <row r="16" spans="1:14" ht="13.5" thickBot="1" x14ac:dyDescent="0.25">
      <c r="A16" s="28"/>
      <c r="B16" s="418"/>
      <c r="C16" s="418"/>
      <c r="D16" s="418"/>
      <c r="E16" s="30"/>
      <c r="F16" s="80"/>
      <c r="G16" s="80"/>
      <c r="H16" s="30"/>
      <c r="I16" s="30"/>
      <c r="J16" s="67"/>
      <c r="K16" s="67"/>
      <c r="L16" s="42"/>
      <c r="M16" s="42"/>
      <c r="N16" s="42"/>
    </row>
    <row r="17" spans="1:14" ht="13.5" thickBot="1" x14ac:dyDescent="0.25"/>
    <row r="18" spans="1:14" x14ac:dyDescent="0.2">
      <c r="A18" s="20"/>
      <c r="B18" s="21"/>
      <c r="C18" s="21"/>
      <c r="D18" s="21"/>
      <c r="E18" s="22"/>
      <c r="F18" s="22"/>
      <c r="G18" s="22"/>
      <c r="H18" s="22"/>
      <c r="I18" s="22"/>
      <c r="J18" s="22"/>
      <c r="K18" s="22"/>
      <c r="L18" s="22"/>
      <c r="M18" s="22"/>
      <c r="N18" s="23"/>
    </row>
    <row r="19" spans="1:14" ht="15" x14ac:dyDescent="0.2">
      <c r="A19" s="24"/>
      <c r="B19" s="413" t="s">
        <v>1665</v>
      </c>
      <c r="C19" s="414"/>
      <c r="D19" s="414"/>
      <c r="E19" s="414"/>
      <c r="F19" s="414"/>
      <c r="G19" s="414"/>
      <c r="H19" s="414"/>
      <c r="I19" s="414"/>
      <c r="J19" s="414"/>
      <c r="K19" s="414"/>
      <c r="L19" s="414"/>
      <c r="M19" s="415"/>
      <c r="N19" s="25" t="s">
        <v>96</v>
      </c>
    </row>
    <row r="20" spans="1:14" x14ac:dyDescent="0.2">
      <c r="A20" s="24"/>
      <c r="B20" s="26" t="s">
        <v>428</v>
      </c>
      <c r="C20" s="15" t="s">
        <v>1670</v>
      </c>
      <c r="D20" s="15"/>
      <c r="E20" s="16"/>
      <c r="F20" s="16"/>
      <c r="G20" s="16"/>
      <c r="H20" s="16"/>
      <c r="I20" s="16"/>
      <c r="J20" s="16"/>
      <c r="K20" s="16"/>
      <c r="L20" s="16"/>
      <c r="M20" s="16"/>
      <c r="N20" s="27"/>
    </row>
    <row r="21" spans="1:14" x14ac:dyDescent="0.2">
      <c r="A21" s="24"/>
      <c r="B21" s="26" t="s">
        <v>429</v>
      </c>
      <c r="C21" s="15" t="s">
        <v>1655</v>
      </c>
      <c r="D21" s="15"/>
      <c r="E21" s="16"/>
      <c r="F21" s="16"/>
      <c r="G21" s="16"/>
      <c r="H21" s="16"/>
      <c r="I21" s="16"/>
      <c r="J21" s="16"/>
      <c r="K21" s="16"/>
      <c r="L21" s="16"/>
      <c r="M21" s="16"/>
      <c r="N21" s="27"/>
    </row>
    <row r="22" spans="1:14" x14ac:dyDescent="0.2">
      <c r="A22" s="24"/>
      <c r="B22" s="26" t="s">
        <v>427</v>
      </c>
      <c r="C22" s="416" t="s">
        <v>1671</v>
      </c>
      <c r="D22" s="416"/>
      <c r="E22" s="416"/>
      <c r="F22" s="416"/>
      <c r="G22" s="416"/>
      <c r="H22" s="416"/>
      <c r="I22" s="416"/>
      <c r="J22" s="416"/>
      <c r="K22" s="416"/>
      <c r="L22" s="416"/>
      <c r="M22" s="416"/>
      <c r="N22" s="417"/>
    </row>
    <row r="23" spans="1:14" x14ac:dyDescent="0.2">
      <c r="A23" s="24"/>
      <c r="B23" s="15"/>
      <c r="C23" s="416"/>
      <c r="D23" s="416"/>
      <c r="E23" s="416"/>
      <c r="F23" s="416"/>
      <c r="G23" s="416"/>
      <c r="H23" s="416"/>
      <c r="I23" s="416"/>
      <c r="J23" s="416"/>
      <c r="K23" s="416"/>
      <c r="L23" s="416"/>
      <c r="M23" s="416"/>
      <c r="N23" s="417"/>
    </row>
    <row r="24" spans="1:14" x14ac:dyDescent="0.2">
      <c r="A24" s="24"/>
      <c r="B24" s="26" t="s">
        <v>426</v>
      </c>
      <c r="C24" s="15"/>
      <c r="D24" s="15"/>
      <c r="E24" s="16"/>
      <c r="F24" s="16"/>
      <c r="G24" s="16"/>
      <c r="H24" s="16"/>
      <c r="I24" s="16"/>
      <c r="J24" s="16"/>
      <c r="K24" s="16"/>
      <c r="L24" s="16"/>
      <c r="M24" s="16"/>
      <c r="N24" s="27"/>
    </row>
    <row r="25" spans="1:14" ht="13.5" thickBot="1" x14ac:dyDescent="0.25">
      <c r="A25" s="28"/>
      <c r="B25" s="26" t="s">
        <v>430</v>
      </c>
      <c r="C25" s="29"/>
      <c r="D25" s="29"/>
      <c r="E25" s="30"/>
      <c r="F25" s="30"/>
      <c r="G25" s="30"/>
      <c r="H25" s="30"/>
      <c r="I25" s="30"/>
      <c r="J25" s="30"/>
      <c r="K25" s="30"/>
      <c r="L25" s="30"/>
      <c r="M25" s="30"/>
      <c r="N25" s="31"/>
    </row>
    <row r="26" spans="1:14" x14ac:dyDescent="0.2">
      <c r="A26" s="24"/>
      <c r="B26" s="21" t="s">
        <v>263</v>
      </c>
      <c r="C26" s="15"/>
      <c r="D26" s="15"/>
      <c r="E26" s="16"/>
      <c r="F26" s="16"/>
      <c r="G26" s="16"/>
      <c r="H26" s="16"/>
      <c r="I26" s="16"/>
      <c r="J26" s="58" t="s">
        <v>1953</v>
      </c>
      <c r="K26" s="55"/>
      <c r="L26" s="55"/>
      <c r="M26" s="55"/>
      <c r="N26" s="55"/>
    </row>
    <row r="27" spans="1:14" x14ac:dyDescent="0.2">
      <c r="A27" s="24"/>
      <c r="B27" s="15"/>
      <c r="C27" s="15"/>
      <c r="D27" s="15"/>
      <c r="E27" s="16"/>
      <c r="F27" s="16"/>
      <c r="G27" s="16"/>
      <c r="H27" s="16"/>
      <c r="I27" s="16"/>
      <c r="J27" s="58" t="s">
        <v>1954</v>
      </c>
      <c r="K27" t="s">
        <v>1826</v>
      </c>
      <c r="L27" s="55" t="s">
        <v>1955</v>
      </c>
      <c r="M27" s="55"/>
      <c r="N27" s="55"/>
    </row>
    <row r="28" spans="1:14" ht="13.5" thickBot="1" x14ac:dyDescent="0.25">
      <c r="A28" s="28"/>
      <c r="B28" s="29"/>
      <c r="C28" s="29"/>
      <c r="D28" s="29"/>
      <c r="E28" s="30"/>
      <c r="F28" s="30"/>
      <c r="G28" s="30"/>
      <c r="H28" s="30"/>
      <c r="I28" s="30"/>
      <c r="J28" s="44" t="s">
        <v>817</v>
      </c>
      <c r="K28" t="s">
        <v>1956</v>
      </c>
      <c r="L28" s="36" t="s">
        <v>832</v>
      </c>
      <c r="M28" s="36"/>
      <c r="N28" s="36"/>
    </row>
    <row r="29" spans="1:14" x14ac:dyDescent="0.2">
      <c r="A29" s="20"/>
      <c r="B29" s="412" t="s">
        <v>67</v>
      </c>
      <c r="C29" s="412"/>
      <c r="D29" s="412"/>
      <c r="E29" s="22"/>
      <c r="F29" s="22" t="s">
        <v>1180</v>
      </c>
      <c r="G29" s="22" t="s">
        <v>68</v>
      </c>
      <c r="H29" s="22" t="s">
        <v>702</v>
      </c>
      <c r="I29" s="16"/>
      <c r="J29" s="66">
        <f>58.5/ATHENS!O1*ATHENS!O2</f>
        <v>119.38775510204081</v>
      </c>
      <c r="K29" s="66">
        <f>67.5/ATHENS!O1*ATHENS!O2</f>
        <v>137.75510204081633</v>
      </c>
      <c r="L29" s="40">
        <f>72/ATHENS!O1*ATHENS!O2</f>
        <v>146.9387755102041</v>
      </c>
      <c r="M29" s="38"/>
      <c r="N29" s="38"/>
    </row>
    <row r="30" spans="1:14" x14ac:dyDescent="0.2">
      <c r="A30" s="24"/>
      <c r="B30" s="411" t="s">
        <v>67</v>
      </c>
      <c r="C30" s="411"/>
      <c r="D30" s="411"/>
      <c r="E30" s="16"/>
      <c r="F30" s="16" t="s">
        <v>1181</v>
      </c>
      <c r="G30" s="16" t="s">
        <v>68</v>
      </c>
      <c r="H30" s="16" t="s">
        <v>702</v>
      </c>
      <c r="I30" s="16"/>
      <c r="J30" s="66">
        <f>33.75/ATHENS!O1*ATHENS!O2</f>
        <v>68.877551020408163</v>
      </c>
      <c r="K30" s="66">
        <f>36.9/ATHENS!O1*ATHENS!O2</f>
        <v>75.306122448979593</v>
      </c>
      <c r="L30" s="40">
        <f>41/ATHENS!O1*ATHENS!O2</f>
        <v>83.673469387755105</v>
      </c>
      <c r="M30" s="40"/>
      <c r="N30" s="40"/>
    </row>
    <row r="31" spans="1:14" x14ac:dyDescent="0.2">
      <c r="A31" s="24"/>
      <c r="B31" s="59"/>
      <c r="C31" s="15"/>
      <c r="D31" s="15"/>
      <c r="E31" s="16"/>
      <c r="F31" s="16" t="s">
        <v>1182</v>
      </c>
      <c r="G31" s="16" t="s">
        <v>68</v>
      </c>
      <c r="H31" s="16" t="s">
        <v>702</v>
      </c>
      <c r="I31" s="16"/>
      <c r="J31" s="66">
        <f>27.5/ATHENS!O1*ATHENS!O2</f>
        <v>56.122448979591837</v>
      </c>
      <c r="K31" s="66">
        <f>29.6/ATHENS!O1*ATHENS!O2</f>
        <v>60.408163265306129</v>
      </c>
      <c r="L31" s="40">
        <f>32/ATHENS!O1*ATHENS!O2</f>
        <v>65.306122448979593</v>
      </c>
      <c r="M31" s="40"/>
      <c r="N31" s="40"/>
    </row>
    <row r="32" spans="1:14" ht="13.5" thickBot="1" x14ac:dyDescent="0.25">
      <c r="A32" s="28"/>
      <c r="B32" s="418"/>
      <c r="C32" s="418"/>
      <c r="D32" s="418"/>
      <c r="E32" s="30"/>
      <c r="F32" s="80"/>
      <c r="G32" s="80"/>
      <c r="H32" s="30"/>
      <c r="I32" s="30"/>
      <c r="J32" s="67"/>
      <c r="K32" s="67"/>
      <c r="L32" s="42"/>
      <c r="M32" s="42"/>
      <c r="N32" s="42"/>
    </row>
    <row r="33" spans="1:14" ht="13.5" thickBot="1" x14ac:dyDescent="0.25"/>
    <row r="34" spans="1:14" x14ac:dyDescent="0.2">
      <c r="A34" s="20"/>
      <c r="B34" s="21"/>
      <c r="C34" s="21"/>
      <c r="D34" s="21"/>
      <c r="E34" s="22"/>
      <c r="F34" s="22"/>
      <c r="G34" s="22"/>
      <c r="H34" s="22"/>
      <c r="I34" s="22"/>
      <c r="J34" s="22"/>
      <c r="K34" s="22"/>
      <c r="L34" s="22"/>
      <c r="M34" s="22"/>
      <c r="N34" s="23"/>
    </row>
    <row r="35" spans="1:14" ht="15" x14ac:dyDescent="0.2">
      <c r="A35" s="24"/>
      <c r="B35" s="413" t="s">
        <v>1666</v>
      </c>
      <c r="C35" s="414"/>
      <c r="D35" s="414"/>
      <c r="E35" s="414"/>
      <c r="F35" s="414"/>
      <c r="G35" s="414"/>
      <c r="H35" s="414"/>
      <c r="I35" s="414"/>
      <c r="J35" s="414"/>
      <c r="K35" s="414"/>
      <c r="L35" s="414"/>
      <c r="M35" s="415"/>
      <c r="N35" s="25" t="s">
        <v>664</v>
      </c>
    </row>
    <row r="36" spans="1:14" x14ac:dyDescent="0.2">
      <c r="A36" s="24"/>
      <c r="B36" s="26" t="s">
        <v>428</v>
      </c>
      <c r="C36" s="59" t="s">
        <v>1667</v>
      </c>
      <c r="D36" s="15"/>
      <c r="E36" s="16"/>
      <c r="F36" s="16"/>
      <c r="G36" s="16"/>
      <c r="H36" s="16"/>
      <c r="I36" s="16"/>
      <c r="J36" s="16"/>
      <c r="K36" s="16"/>
      <c r="L36" s="16"/>
      <c r="M36" s="16"/>
      <c r="N36" s="27"/>
    </row>
    <row r="37" spans="1:14" x14ac:dyDescent="0.2">
      <c r="A37" s="24"/>
      <c r="B37" s="26" t="s">
        <v>429</v>
      </c>
      <c r="C37" s="15" t="s">
        <v>1655</v>
      </c>
      <c r="D37" s="15"/>
      <c r="E37" s="16"/>
      <c r="F37" s="16"/>
      <c r="G37" s="16"/>
      <c r="H37" s="16"/>
      <c r="I37" s="16"/>
      <c r="J37" s="16"/>
      <c r="K37" s="16"/>
      <c r="L37" s="16"/>
      <c r="M37" s="16"/>
      <c r="N37" s="27"/>
    </row>
    <row r="38" spans="1:14" x14ac:dyDescent="0.2">
      <c r="A38" s="24"/>
      <c r="B38" s="26" t="s">
        <v>427</v>
      </c>
      <c r="C38" s="416" t="s">
        <v>1668</v>
      </c>
      <c r="D38" s="416"/>
      <c r="E38" s="416"/>
      <c r="F38" s="416"/>
      <c r="G38" s="416"/>
      <c r="H38" s="416"/>
      <c r="I38" s="416"/>
      <c r="J38" s="416"/>
      <c r="K38" s="416"/>
      <c r="L38" s="416"/>
      <c r="M38" s="416"/>
      <c r="N38" s="417"/>
    </row>
    <row r="39" spans="1:14" x14ac:dyDescent="0.2">
      <c r="A39" s="24"/>
      <c r="B39" s="15"/>
      <c r="C39" s="416"/>
      <c r="D39" s="416"/>
      <c r="E39" s="416"/>
      <c r="F39" s="416"/>
      <c r="G39" s="416"/>
      <c r="H39" s="416"/>
      <c r="I39" s="416"/>
      <c r="J39" s="416"/>
      <c r="K39" s="416"/>
      <c r="L39" s="416"/>
      <c r="M39" s="416"/>
      <c r="N39" s="417"/>
    </row>
    <row r="40" spans="1:14" x14ac:dyDescent="0.2">
      <c r="A40" s="24"/>
      <c r="B40" s="26" t="s">
        <v>426</v>
      </c>
      <c r="C40" s="15"/>
      <c r="D40" s="15"/>
      <c r="E40" s="16"/>
      <c r="F40" s="16"/>
      <c r="G40" s="16"/>
      <c r="H40" s="16"/>
      <c r="I40" s="16"/>
      <c r="J40" s="16"/>
      <c r="K40" s="16"/>
      <c r="L40" s="16"/>
      <c r="M40" s="16"/>
      <c r="N40" s="27"/>
    </row>
    <row r="41" spans="1:14" ht="13.5" thickBot="1" x14ac:dyDescent="0.25">
      <c r="A41" s="28"/>
      <c r="B41" s="26" t="s">
        <v>430</v>
      </c>
      <c r="C41" s="29"/>
      <c r="D41" s="29"/>
      <c r="E41" s="30"/>
      <c r="F41" s="30"/>
      <c r="G41" s="30"/>
      <c r="H41" s="30"/>
      <c r="I41" s="30"/>
      <c r="J41" s="30"/>
      <c r="K41" s="30"/>
      <c r="L41" s="30"/>
      <c r="M41" s="30"/>
      <c r="N41" s="31"/>
    </row>
    <row r="42" spans="1:14" x14ac:dyDescent="0.2">
      <c r="A42" s="24"/>
      <c r="B42" s="21" t="s">
        <v>263</v>
      </c>
      <c r="C42" s="15"/>
      <c r="D42" s="15"/>
      <c r="E42" s="16"/>
      <c r="F42" s="16"/>
      <c r="G42" s="16"/>
      <c r="H42" s="16"/>
      <c r="I42" s="16"/>
      <c r="J42" s="58" t="s">
        <v>2180</v>
      </c>
      <c r="K42" s="55"/>
      <c r="L42" s="55"/>
      <c r="M42" s="55"/>
      <c r="N42" s="55"/>
    </row>
    <row r="43" spans="1:14" x14ac:dyDescent="0.2">
      <c r="A43" s="24"/>
      <c r="B43" s="15"/>
      <c r="C43" s="15"/>
      <c r="D43" s="15"/>
      <c r="E43" s="16"/>
      <c r="F43" s="16"/>
      <c r="G43" s="16"/>
      <c r="H43" s="16"/>
      <c r="I43" s="16"/>
      <c r="J43" s="58" t="s">
        <v>2181</v>
      </c>
      <c r="K43" s="59" t="s">
        <v>2182</v>
      </c>
      <c r="L43" s="55" t="s">
        <v>279</v>
      </c>
      <c r="M43" s="55"/>
      <c r="N43" s="55"/>
    </row>
    <row r="44" spans="1:14" ht="13.5" thickBot="1" x14ac:dyDescent="0.25">
      <c r="A44" s="28"/>
      <c r="B44" s="29"/>
      <c r="C44" s="29"/>
      <c r="D44" s="29"/>
      <c r="E44" s="30"/>
      <c r="F44" s="30"/>
      <c r="G44" s="30"/>
      <c r="H44" s="30"/>
      <c r="I44" s="30"/>
      <c r="J44" s="44" t="s">
        <v>817</v>
      </c>
      <c r="K44" s="59" t="s">
        <v>514</v>
      </c>
      <c r="L44" s="36" t="s">
        <v>832</v>
      </c>
      <c r="M44" s="36"/>
      <c r="N44" s="36"/>
    </row>
    <row r="45" spans="1:14" x14ac:dyDescent="0.2">
      <c r="A45" s="20"/>
      <c r="B45" s="412" t="s">
        <v>67</v>
      </c>
      <c r="C45" s="412"/>
      <c r="D45" s="412"/>
      <c r="E45" s="22"/>
      <c r="F45" s="22" t="s">
        <v>1180</v>
      </c>
      <c r="G45" s="22" t="s">
        <v>68</v>
      </c>
      <c r="H45" s="22" t="s">
        <v>702</v>
      </c>
      <c r="I45" s="16"/>
      <c r="J45" s="66">
        <f>54/ATHENS!O1*ATHENS!O2</f>
        <v>110.20408163265306</v>
      </c>
      <c r="K45" s="66">
        <f>67.5/ATHENS!O1*ATHENS!O2</f>
        <v>137.75510204081633</v>
      </c>
      <c r="L45" s="40">
        <f>63/ATHENS!O1*ATHENS!O2</f>
        <v>128.57142857142858</v>
      </c>
      <c r="M45" s="38"/>
      <c r="N45" s="38"/>
    </row>
    <row r="46" spans="1:14" x14ac:dyDescent="0.2">
      <c r="A46" s="24"/>
      <c r="B46" s="411" t="s">
        <v>67</v>
      </c>
      <c r="C46" s="411"/>
      <c r="D46" s="411"/>
      <c r="E46" s="16"/>
      <c r="F46" s="16" t="s">
        <v>1181</v>
      </c>
      <c r="G46" s="16" t="s">
        <v>68</v>
      </c>
      <c r="H46" s="16" t="s">
        <v>702</v>
      </c>
      <c r="I46" s="16"/>
      <c r="J46" s="66">
        <f>34/ATHENS!O1*ATHENS!O2</f>
        <v>69.387755102040813</v>
      </c>
      <c r="K46" s="66">
        <f>38.5/ATHENS!O1*ATHENS!O2</f>
        <v>78.571428571428569</v>
      </c>
      <c r="L46" s="40">
        <f>39/ATHENS!O1*ATHENS!O2</f>
        <v>79.591836734693885</v>
      </c>
      <c r="M46" s="40"/>
      <c r="N46" s="40"/>
    </row>
    <row r="47" spans="1:14" ht="13.5" thickBot="1" x14ac:dyDescent="0.25">
      <c r="A47" s="28"/>
      <c r="B47" s="418" t="s">
        <v>67</v>
      </c>
      <c r="C47" s="418"/>
      <c r="D47" s="418"/>
      <c r="E47" s="30"/>
      <c r="F47" s="80" t="s">
        <v>1182</v>
      </c>
      <c r="G47" s="80" t="s">
        <v>68</v>
      </c>
      <c r="H47" s="30" t="s">
        <v>702</v>
      </c>
      <c r="I47" s="30"/>
      <c r="J47" s="67">
        <f>27.6/ATHENS!O1*ATHENS!O2</f>
        <v>56.326530612244902</v>
      </c>
      <c r="K47" s="67">
        <f>32.5/ATHENS!O1*ATHENS!O2</f>
        <v>66.326530612244895</v>
      </c>
      <c r="L47" s="42">
        <f>33/ATHENS!O1*ATHENS!O2</f>
        <v>67.34693877551021</v>
      </c>
      <c r="M47" s="42"/>
      <c r="N47" s="42"/>
    </row>
  </sheetData>
  <customSheetViews>
    <customSheetView guid="{3C76061C-A85D-4390-B9DB-73E13038638C}" showPageBreaks="1" view="pageLayout" topLeftCell="A37">
      <selection activeCell="M51" sqref="M51"/>
      <pageMargins left="0.28125" right="0.25" top="0.6692913385826772" bottom="0.70866141732283472" header="0.23622047244094491" footer="0.47244094488188981"/>
      <pageSetup paperSize="9" orientation="portrait" horizontalDpi="4294967293" verticalDpi="4294967293" r:id="rId1"/>
      <headerFooter scaleWithDoc="0" alignWithMargins="0">
        <oddHeader>&amp;C TARIFF 2019
 (EURO)
Accommodation in &amp;A</oddHeader>
        <oddFooter>&amp;LAll rates are in EURO&amp;C
TARIFF 2019
&amp;RPage &amp;P</oddFooter>
      </headerFooter>
    </customSheetView>
  </customSheetViews>
  <mergeCells count="15">
    <mergeCell ref="B19:M19"/>
    <mergeCell ref="B45:D45"/>
    <mergeCell ref="B46:D46"/>
    <mergeCell ref="B47:D47"/>
    <mergeCell ref="C22:N23"/>
    <mergeCell ref="B29:D29"/>
    <mergeCell ref="B30:D30"/>
    <mergeCell ref="B32:D32"/>
    <mergeCell ref="B35:M35"/>
    <mergeCell ref="C38:N39"/>
    <mergeCell ref="B6:M6"/>
    <mergeCell ref="C9:N10"/>
    <mergeCell ref="B14:D14"/>
    <mergeCell ref="B15:D15"/>
    <mergeCell ref="B16:D16"/>
  </mergeCells>
  <hyperlinks>
    <hyperlink ref="B35:M35" r:id="rId2" display="Hermes" xr:uid="{00000000-0004-0000-2600-000000000000}"/>
    <hyperlink ref="B6:M6" r:id="rId3" display="Apollonion Palace" xr:uid="{00000000-0004-0000-2600-000001000000}"/>
    <hyperlink ref="B19:M19" r:id="rId4" display="Syrou Melathron" xr:uid="{00000000-0004-0000-2600-000002000000}"/>
  </hyperlinks>
  <pageMargins left="0.28125" right="0.25" top="0.6692913385826772" bottom="0.70866141732283472" header="0.23622047244094491" footer="0.47244094488188981"/>
  <pageSetup paperSize="9" orientation="portrait" horizontalDpi="4294967293" verticalDpi="4294967293" r:id="rId5"/>
  <headerFooter scaleWithDoc="0" alignWithMargins="0">
    <oddHeader xml:space="preserve">&amp;C TARIFF 2026
 (EURO)
</oddHeader>
    <oddFooter>&amp;LAll rates are in EURO&amp;C
TARIFF 2026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Φύλλο3"/>
  <dimension ref="B4:J53"/>
  <sheetViews>
    <sheetView showGridLines="0" view="pageLayout" zoomScaleSheetLayoutView="100" workbookViewId="0">
      <selection activeCell="L114" sqref="L114"/>
    </sheetView>
  </sheetViews>
  <sheetFormatPr defaultRowHeight="12.75" x14ac:dyDescent="0.2"/>
  <cols>
    <col min="1" max="2" width="5.85546875" customWidth="1"/>
    <col min="3" max="3" width="1.85546875" customWidth="1"/>
  </cols>
  <sheetData>
    <row r="4" spans="2:9" x14ac:dyDescent="0.2">
      <c r="D4" s="354" t="s">
        <v>1085</v>
      </c>
      <c r="E4" s="354"/>
      <c r="F4" s="354"/>
      <c r="G4" s="354"/>
      <c r="H4" s="354"/>
    </row>
    <row r="5" spans="2:9" x14ac:dyDescent="0.2">
      <c r="D5" s="354"/>
      <c r="E5" s="354"/>
      <c r="F5" s="354"/>
      <c r="G5" s="354"/>
      <c r="H5" s="354"/>
    </row>
    <row r="6" spans="2:9" ht="12.75" customHeight="1" x14ac:dyDescent="0.2">
      <c r="D6" s="354"/>
      <c r="E6" s="354"/>
      <c r="F6" s="354"/>
      <c r="G6" s="354"/>
      <c r="H6" s="354"/>
    </row>
    <row r="7" spans="2:9" ht="12.75" customHeight="1" x14ac:dyDescent="0.2">
      <c r="D7" s="354"/>
      <c r="E7" s="354"/>
      <c r="F7" s="354"/>
      <c r="G7" s="354"/>
      <c r="H7" s="354"/>
    </row>
    <row r="9" spans="2:9" x14ac:dyDescent="0.2">
      <c r="B9" s="10" t="s">
        <v>111</v>
      </c>
      <c r="C9" s="10"/>
      <c r="D9" s="1" t="s">
        <v>362</v>
      </c>
    </row>
    <row r="10" spans="2:9" x14ac:dyDescent="0.2">
      <c r="D10" s="1" t="s">
        <v>304</v>
      </c>
    </row>
    <row r="11" spans="2:9" x14ac:dyDescent="0.2">
      <c r="D11" s="1" t="s">
        <v>305</v>
      </c>
    </row>
    <row r="12" spans="2:9" x14ac:dyDescent="0.2">
      <c r="D12" s="1"/>
    </row>
    <row r="13" spans="2:9" x14ac:dyDescent="0.2">
      <c r="B13" s="9" t="s">
        <v>111</v>
      </c>
      <c r="C13" s="9"/>
      <c r="D13" s="1" t="s">
        <v>687</v>
      </c>
    </row>
    <row r="14" spans="2:9" x14ac:dyDescent="0.2">
      <c r="D14" s="1" t="s">
        <v>361</v>
      </c>
    </row>
    <row r="16" spans="2:9" x14ac:dyDescent="0.2">
      <c r="B16" s="10" t="s">
        <v>111</v>
      </c>
      <c r="C16" s="10"/>
      <c r="D16" s="2" t="s">
        <v>1111</v>
      </c>
      <c r="E16" s="1"/>
      <c r="F16" s="1"/>
      <c r="G16" s="1"/>
      <c r="H16" s="1"/>
      <c r="I16" s="1"/>
    </row>
    <row r="17" spans="2:9" x14ac:dyDescent="0.2">
      <c r="B17" s="1"/>
      <c r="C17" s="1"/>
      <c r="D17" s="2" t="s">
        <v>1112</v>
      </c>
      <c r="E17" s="1"/>
      <c r="F17" s="1"/>
      <c r="G17" s="1"/>
      <c r="H17" s="1"/>
      <c r="I17" s="1"/>
    </row>
    <row r="18" spans="2:9" x14ac:dyDescent="0.2">
      <c r="B18" s="1"/>
      <c r="C18" s="1"/>
      <c r="D18" s="1"/>
      <c r="E18" s="1"/>
      <c r="F18" s="1"/>
      <c r="G18" s="1"/>
      <c r="H18" s="1"/>
      <c r="I18" s="1"/>
    </row>
    <row r="19" spans="2:9" x14ac:dyDescent="0.2">
      <c r="B19" s="361"/>
      <c r="C19" s="361"/>
      <c r="D19" s="361"/>
      <c r="E19" s="361"/>
      <c r="F19" s="361"/>
      <c r="G19" s="361"/>
      <c r="H19" s="361"/>
      <c r="I19" s="361"/>
    </row>
    <row r="20" spans="2:9" x14ac:dyDescent="0.2">
      <c r="B20" s="361"/>
      <c r="C20" s="361"/>
      <c r="D20" s="361"/>
      <c r="E20" s="361"/>
      <c r="F20" s="361"/>
      <c r="G20" s="361"/>
      <c r="H20" s="361"/>
      <c r="I20" s="361"/>
    </row>
    <row r="21" spans="2:9" x14ac:dyDescent="0.2">
      <c r="B21" s="361"/>
      <c r="C21" s="361"/>
      <c r="D21" s="361"/>
      <c r="E21" s="361"/>
      <c r="F21" s="361"/>
      <c r="G21" s="361"/>
      <c r="H21" s="361"/>
      <c r="I21" s="361"/>
    </row>
    <row r="22" spans="2:9" x14ac:dyDescent="0.2">
      <c r="B22" s="361"/>
      <c r="C22" s="361"/>
      <c r="D22" s="361"/>
      <c r="E22" s="361"/>
      <c r="F22" s="361"/>
      <c r="G22" s="361"/>
      <c r="H22" s="361"/>
      <c r="I22" s="361"/>
    </row>
    <row r="23" spans="2:9" x14ac:dyDescent="0.2">
      <c r="B23" s="361"/>
      <c r="C23" s="361"/>
      <c r="D23" s="361"/>
      <c r="E23" s="361"/>
      <c r="F23" s="361"/>
      <c r="G23" s="361"/>
      <c r="H23" s="361"/>
      <c r="I23" s="361"/>
    </row>
    <row r="24" spans="2:9" x14ac:dyDescent="0.2">
      <c r="B24" s="361"/>
      <c r="C24" s="361"/>
      <c r="D24" s="361"/>
      <c r="E24" s="361"/>
      <c r="F24" s="361"/>
      <c r="G24" s="361"/>
      <c r="H24" s="361"/>
      <c r="I24" s="361"/>
    </row>
    <row r="25" spans="2:9" x14ac:dyDescent="0.2">
      <c r="B25" s="4"/>
      <c r="C25" s="4"/>
      <c r="D25" s="4"/>
      <c r="E25" s="4"/>
      <c r="F25" s="4"/>
      <c r="G25" s="4"/>
      <c r="H25" s="4"/>
      <c r="I25" s="4"/>
    </row>
    <row r="26" spans="2:9" x14ac:dyDescent="0.2">
      <c r="B26" s="361"/>
      <c r="C26" s="361"/>
      <c r="D26" s="361"/>
      <c r="E26" s="361"/>
      <c r="F26" s="361"/>
      <c r="G26" s="361"/>
      <c r="H26" s="361"/>
      <c r="I26" s="361"/>
    </row>
    <row r="27" spans="2:9" x14ac:dyDescent="0.2">
      <c r="B27" s="361"/>
      <c r="C27" s="361"/>
      <c r="D27" s="361"/>
      <c r="E27" s="361"/>
      <c r="F27" s="361"/>
      <c r="G27" s="361"/>
      <c r="H27" s="361"/>
      <c r="I27" s="361"/>
    </row>
    <row r="28" spans="2:9" x14ac:dyDescent="0.2">
      <c r="B28" s="361"/>
      <c r="C28" s="361"/>
      <c r="D28" s="361"/>
      <c r="E28" s="361"/>
      <c r="F28" s="361"/>
      <c r="G28" s="361"/>
      <c r="H28" s="361"/>
      <c r="I28" s="361"/>
    </row>
    <row r="29" spans="2:9" x14ac:dyDescent="0.2">
      <c r="B29" s="361"/>
      <c r="C29" s="361"/>
      <c r="D29" s="361"/>
      <c r="E29" s="361"/>
      <c r="F29" s="361"/>
      <c r="G29" s="361"/>
      <c r="H29" s="361"/>
      <c r="I29" s="361"/>
    </row>
    <row r="30" spans="2:9" x14ac:dyDescent="0.2">
      <c r="B30" s="361"/>
      <c r="C30" s="361"/>
      <c r="D30" s="361"/>
      <c r="E30" s="361"/>
      <c r="F30" s="361"/>
      <c r="G30" s="361"/>
      <c r="H30" s="361"/>
      <c r="I30" s="361"/>
    </row>
    <row r="31" spans="2:9" x14ac:dyDescent="0.2">
      <c r="B31" s="361"/>
      <c r="C31" s="361"/>
      <c r="D31" s="361"/>
      <c r="E31" s="361"/>
      <c r="F31" s="361"/>
      <c r="G31" s="361"/>
      <c r="H31" s="361"/>
      <c r="I31" s="361"/>
    </row>
    <row r="32" spans="2:9" x14ac:dyDescent="0.2">
      <c r="B32" s="4"/>
      <c r="C32" s="4"/>
      <c r="D32" s="4"/>
      <c r="E32" s="4"/>
      <c r="F32" s="4"/>
      <c r="G32" s="4"/>
      <c r="H32" s="4"/>
      <c r="I32" s="4"/>
    </row>
    <row r="33" spans="2:9" x14ac:dyDescent="0.2">
      <c r="B33" s="361"/>
      <c r="C33" s="361"/>
      <c r="D33" s="361"/>
      <c r="E33" s="361"/>
      <c r="F33" s="361"/>
      <c r="G33" s="361"/>
      <c r="H33" s="361"/>
      <c r="I33" s="361"/>
    </row>
    <row r="34" spans="2:9" x14ac:dyDescent="0.2">
      <c r="B34" s="361"/>
      <c r="C34" s="361"/>
      <c r="D34" s="361"/>
      <c r="E34" s="361"/>
      <c r="F34" s="361"/>
      <c r="G34" s="361"/>
      <c r="H34" s="361"/>
      <c r="I34" s="361"/>
    </row>
    <row r="35" spans="2:9" x14ac:dyDescent="0.2">
      <c r="B35" s="361"/>
      <c r="C35" s="361"/>
      <c r="D35" s="361"/>
      <c r="E35" s="361"/>
      <c r="F35" s="361"/>
      <c r="G35" s="361"/>
      <c r="H35" s="361"/>
      <c r="I35" s="361"/>
    </row>
    <row r="36" spans="2:9" x14ac:dyDescent="0.2">
      <c r="B36" s="361"/>
      <c r="C36" s="361"/>
      <c r="D36" s="361"/>
      <c r="E36" s="361"/>
      <c r="F36" s="361"/>
      <c r="G36" s="361"/>
      <c r="H36" s="361"/>
      <c r="I36" s="361"/>
    </row>
    <row r="37" spans="2:9" x14ac:dyDescent="0.2">
      <c r="B37" s="361"/>
      <c r="C37" s="361"/>
      <c r="D37" s="361"/>
      <c r="E37" s="361"/>
      <c r="F37" s="361"/>
      <c r="G37" s="361"/>
      <c r="H37" s="361"/>
      <c r="I37" s="361"/>
    </row>
    <row r="38" spans="2:9" x14ac:dyDescent="0.2">
      <c r="B38" s="361"/>
      <c r="C38" s="361"/>
      <c r="D38" s="361"/>
      <c r="E38" s="361"/>
      <c r="F38" s="361"/>
      <c r="G38" s="361"/>
      <c r="H38" s="361"/>
      <c r="I38" s="361"/>
    </row>
    <row r="53" spans="10:10" x14ac:dyDescent="0.2">
      <c r="J53" t="s">
        <v>675</v>
      </c>
    </row>
  </sheetData>
  <customSheetViews>
    <customSheetView guid="{95D45CB7-1E39-11D6-AFD7-008048E20DDD}" showRuler="0">
      <pageMargins left="0.75" right="0.75" top="1" bottom="1" header="0.5" footer="0.5"/>
      <pageSetup paperSize="9" orientation="portrait" horizontalDpi="4294967293" verticalDpi="0" r:id="rId1"/>
      <headerFooter alignWithMargins="0"/>
    </customSheetView>
    <customSheetView guid="{777CFE61-6F99-11D9-974B-0050BFD074B6}" showRuler="0" topLeftCell="A19">
      <selection activeCell="L11" sqref="L11"/>
      <pageMargins left="0.75" right="0.75" top="1" bottom="1" header="0.5" footer="0.5"/>
      <pageSetup paperSize="9" orientation="portrait" horizontalDpi="4294967293" verticalDpi="300" r:id="rId2"/>
      <headerFooter alignWithMargins="0"/>
    </customSheetView>
    <customSheetView guid="{3C76061C-A85D-4390-B9DB-73E13038638C}" showPageBreaks="1" showGridLines="0" view="pageLayout">
      <selection activeCell="D4" sqref="D4:H7"/>
      <pageMargins left="0.28125" right="0.25" top="0.6692913385826772" bottom="0.70866141732283472" header="0.23622047244094491" footer="0.47244094488188981"/>
      <pageSetup paperSize="9" orientation="portrait" horizontalDpi="300" verticalDpi="300" r:id="rId3"/>
      <headerFooter scaleWithDoc="0" alignWithMargins="0">
        <oddHeader>&amp;C TARIFF 2019
 (EURO)
Accommodation in &amp;A</oddHeader>
        <oddFooter>&amp;LAll rates are in EURO&amp;C
TARIFF 2019
&amp;RPage &amp;P</oddFooter>
      </headerFooter>
    </customSheetView>
  </customSheetViews>
  <mergeCells count="19">
    <mergeCell ref="B38:I38"/>
    <mergeCell ref="B19:I19"/>
    <mergeCell ref="B20:I20"/>
    <mergeCell ref="B30:I30"/>
    <mergeCell ref="B21:I21"/>
    <mergeCell ref="B22:I22"/>
    <mergeCell ref="B23:I23"/>
    <mergeCell ref="B26:I26"/>
    <mergeCell ref="B36:I36"/>
    <mergeCell ref="B37:I37"/>
    <mergeCell ref="B35:I35"/>
    <mergeCell ref="D4:H7"/>
    <mergeCell ref="B31:I31"/>
    <mergeCell ref="B33:I33"/>
    <mergeCell ref="B34:I34"/>
    <mergeCell ref="B24:I24"/>
    <mergeCell ref="B27:I27"/>
    <mergeCell ref="B28:I28"/>
    <mergeCell ref="B29:I29"/>
  </mergeCells>
  <phoneticPr fontId="0" type="noConversion"/>
  <pageMargins left="0.28125" right="0.25" top="0.6692913385826772" bottom="0.70866141732283472" header="0.23622047244094491" footer="0.47244094488188981"/>
  <pageSetup paperSize="9" orientation="portrait" horizontalDpi="300" verticalDpi="300" r:id="rId4"/>
  <headerFooter scaleWithDoc="0" alignWithMargins="0">
    <oddHeader xml:space="preserve">&amp;C TARIFF 2026
 (EURO)
</oddHeader>
    <oddFooter>&amp;LAll rates are in EURO&amp;C
TARIFF 2026
&amp;RPage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N210"/>
  <sheetViews>
    <sheetView showGridLines="0" view="pageLayout" topLeftCell="A37" zoomScaleSheetLayoutView="100" workbookViewId="0">
      <selection activeCell="L114" sqref="L114"/>
    </sheetView>
  </sheetViews>
  <sheetFormatPr defaultRowHeight="12.75" x14ac:dyDescent="0.2"/>
  <cols>
    <col min="1" max="1" width="1.85546875" style="125" customWidth="1"/>
    <col min="2" max="3" width="10.7109375" style="125" customWidth="1"/>
    <col min="4" max="9" width="3.7109375" style="125" customWidth="1"/>
    <col min="10" max="14" width="10.7109375" style="125" customWidth="1"/>
    <col min="15" max="16384" width="9.140625" style="125"/>
  </cols>
  <sheetData>
    <row r="1" spans="1:14" ht="11.25" customHeight="1" thickBot="1" x14ac:dyDescent="0.25">
      <c r="A1" s="97"/>
      <c r="B1" s="123"/>
      <c r="C1" s="123"/>
      <c r="D1" s="123"/>
      <c r="E1" s="124"/>
      <c r="F1" s="124"/>
      <c r="G1" s="124"/>
      <c r="H1" s="124"/>
      <c r="I1" s="124"/>
      <c r="J1" s="124"/>
      <c r="K1" s="124"/>
      <c r="L1" s="124"/>
      <c r="M1" s="124"/>
      <c r="N1" s="124"/>
    </row>
    <row r="2" spans="1:14" ht="13.5" thickBot="1" x14ac:dyDescent="0.25">
      <c r="A2" s="101"/>
      <c r="B2" s="102"/>
      <c r="C2" s="102"/>
      <c r="D2" s="102"/>
      <c r="E2" s="103"/>
      <c r="F2" s="103"/>
      <c r="G2" s="103"/>
      <c r="H2" s="103"/>
      <c r="I2" s="103"/>
      <c r="J2" s="103"/>
      <c r="K2" s="103"/>
      <c r="L2" s="103"/>
      <c r="M2" s="103"/>
      <c r="N2" s="104"/>
    </row>
    <row r="3" spans="1:14" ht="15.75" thickBot="1" x14ac:dyDescent="0.25">
      <c r="A3" s="105"/>
      <c r="B3" s="459" t="s">
        <v>632</v>
      </c>
      <c r="C3" s="460"/>
      <c r="D3" s="460"/>
      <c r="E3" s="460"/>
      <c r="F3" s="460"/>
      <c r="G3" s="460"/>
      <c r="H3" s="460"/>
      <c r="I3" s="460"/>
      <c r="J3" s="460"/>
      <c r="K3" s="460"/>
      <c r="L3" s="460"/>
      <c r="M3" s="461"/>
      <c r="N3" s="106" t="s">
        <v>91</v>
      </c>
    </row>
    <row r="4" spans="1:14" x14ac:dyDescent="0.2">
      <c r="A4" s="105"/>
      <c r="B4" s="107" t="s">
        <v>428</v>
      </c>
      <c r="C4" s="98" t="s">
        <v>1284</v>
      </c>
      <c r="D4" s="98"/>
      <c r="E4" s="99"/>
      <c r="F4" s="99"/>
      <c r="G4" s="99"/>
      <c r="H4" s="99"/>
      <c r="I4" s="99"/>
      <c r="J4" s="99"/>
      <c r="K4" s="99"/>
      <c r="L4" s="99"/>
      <c r="M4" s="99"/>
      <c r="N4" s="90"/>
    </row>
    <row r="5" spans="1:14" x14ac:dyDescent="0.2">
      <c r="A5" s="105"/>
      <c r="B5" s="107" t="s">
        <v>429</v>
      </c>
      <c r="C5" s="98" t="s">
        <v>317</v>
      </c>
      <c r="D5" s="98"/>
      <c r="E5" s="99"/>
      <c r="F5" s="99"/>
      <c r="G5" s="99"/>
      <c r="H5" s="99"/>
      <c r="I5" s="99"/>
      <c r="J5" s="99"/>
      <c r="K5" s="99"/>
      <c r="L5" s="99"/>
      <c r="M5" s="99"/>
      <c r="N5" s="90"/>
    </row>
    <row r="6" spans="1:14" x14ac:dyDescent="0.2">
      <c r="A6" s="105"/>
      <c r="B6" s="107" t="s">
        <v>427</v>
      </c>
      <c r="C6" s="444" t="s">
        <v>1285</v>
      </c>
      <c r="D6" s="444"/>
      <c r="E6" s="444"/>
      <c r="F6" s="444"/>
      <c r="G6" s="444"/>
      <c r="H6" s="444"/>
      <c r="I6" s="444"/>
      <c r="J6" s="444"/>
      <c r="K6" s="444"/>
      <c r="L6" s="444"/>
      <c r="M6" s="444"/>
      <c r="N6" s="445"/>
    </row>
    <row r="7" spans="1:14" ht="13.5" thickBot="1" x14ac:dyDescent="0.25">
      <c r="A7" s="105"/>
      <c r="B7" s="98"/>
      <c r="C7" s="444"/>
      <c r="D7" s="444"/>
      <c r="E7" s="444"/>
      <c r="F7" s="444"/>
      <c r="G7" s="444"/>
      <c r="H7" s="444"/>
      <c r="I7" s="444"/>
      <c r="J7" s="444"/>
      <c r="K7" s="444"/>
      <c r="L7" s="444"/>
      <c r="M7" s="444"/>
      <c r="N7" s="445"/>
    </row>
    <row r="8" spans="1:14" ht="13.5" thickBot="1" x14ac:dyDescent="0.25">
      <c r="A8" s="101"/>
      <c r="B8" s="102" t="s">
        <v>263</v>
      </c>
      <c r="C8" s="219"/>
      <c r="D8" s="219"/>
      <c r="E8" s="219"/>
      <c r="F8" s="219"/>
      <c r="G8" s="219"/>
      <c r="H8" s="219"/>
      <c r="I8" s="220"/>
      <c r="J8" s="221" t="s">
        <v>229</v>
      </c>
      <c r="K8" s="221"/>
      <c r="L8" s="222"/>
      <c r="M8" s="222"/>
      <c r="N8" s="220"/>
    </row>
    <row r="9" spans="1:14" x14ac:dyDescent="0.2">
      <c r="A9" s="101"/>
      <c r="B9" s="448" t="s">
        <v>67</v>
      </c>
      <c r="C9" s="448"/>
      <c r="D9" s="448"/>
      <c r="E9" s="103"/>
      <c r="F9" s="103" t="s">
        <v>1180</v>
      </c>
      <c r="G9" s="103" t="s">
        <v>68</v>
      </c>
      <c r="H9" s="103" t="s">
        <v>702</v>
      </c>
      <c r="I9" s="103"/>
      <c r="J9" s="89">
        <f>144/ATHENS!O1*ATHENS!O2</f>
        <v>293.87755102040819</v>
      </c>
      <c r="K9" s="89"/>
      <c r="L9" s="89"/>
      <c r="M9" s="113"/>
      <c r="N9" s="113"/>
    </row>
    <row r="10" spans="1:14" x14ac:dyDescent="0.2">
      <c r="A10" s="105"/>
      <c r="B10" s="443" t="s">
        <v>67</v>
      </c>
      <c r="C10" s="443"/>
      <c r="D10" s="443"/>
      <c r="E10" s="99"/>
      <c r="F10" s="99" t="s">
        <v>1181</v>
      </c>
      <c r="G10" s="99" t="s">
        <v>68</v>
      </c>
      <c r="H10" s="99" t="s">
        <v>702</v>
      </c>
      <c r="I10" s="99"/>
      <c r="J10" s="89">
        <f>75/ATHENS!O1*ATHENS!O2</f>
        <v>153.06122448979593</v>
      </c>
      <c r="K10" s="89"/>
      <c r="L10" s="89"/>
      <c r="M10" s="89"/>
      <c r="N10" s="89"/>
    </row>
    <row r="11" spans="1:14" ht="13.5" thickBot="1" x14ac:dyDescent="0.25">
      <c r="A11" s="108"/>
      <c r="B11" s="436" t="s">
        <v>67</v>
      </c>
      <c r="C11" s="436"/>
      <c r="D11" s="436"/>
      <c r="E11" s="110"/>
      <c r="F11" s="110" t="s">
        <v>1182</v>
      </c>
      <c r="G11" s="110" t="s">
        <v>68</v>
      </c>
      <c r="H11" s="110" t="s">
        <v>702</v>
      </c>
      <c r="I11" s="110"/>
      <c r="J11" s="94" t="s">
        <v>864</v>
      </c>
      <c r="K11" s="94"/>
      <c r="L11" s="94"/>
      <c r="M11" s="94"/>
      <c r="N11" s="94"/>
    </row>
    <row r="12" spans="1:14" ht="7.5" customHeight="1" thickBot="1" x14ac:dyDescent="0.25">
      <c r="A12" s="97"/>
      <c r="B12" s="123"/>
      <c r="C12" s="123"/>
      <c r="D12" s="123"/>
      <c r="E12" s="124"/>
      <c r="F12" s="124"/>
      <c r="G12" s="124"/>
      <c r="H12" s="124"/>
      <c r="I12" s="124"/>
      <c r="J12" s="124"/>
      <c r="K12" s="124"/>
      <c r="L12" s="124"/>
      <c r="M12" s="124"/>
      <c r="N12" s="124"/>
    </row>
    <row r="13" spans="1:14" ht="13.5" thickBot="1" x14ac:dyDescent="0.25">
      <c r="A13" s="101"/>
      <c r="B13" s="102"/>
      <c r="C13" s="102"/>
      <c r="D13" s="102"/>
      <c r="E13" s="103"/>
      <c r="F13" s="103"/>
      <c r="G13" s="103"/>
      <c r="H13" s="103"/>
      <c r="I13" s="103"/>
      <c r="J13" s="103"/>
      <c r="K13" s="103"/>
      <c r="L13" s="103"/>
      <c r="M13" s="103"/>
      <c r="N13" s="104"/>
    </row>
    <row r="14" spans="1:14" ht="15.75" thickBot="1" x14ac:dyDescent="0.25">
      <c r="A14" s="105"/>
      <c r="B14" s="459" t="s">
        <v>806</v>
      </c>
      <c r="C14" s="460"/>
      <c r="D14" s="460"/>
      <c r="E14" s="460"/>
      <c r="F14" s="460"/>
      <c r="G14" s="460"/>
      <c r="H14" s="460"/>
      <c r="I14" s="460"/>
      <c r="J14" s="460"/>
      <c r="K14" s="460"/>
      <c r="L14" s="460"/>
      <c r="M14" s="461"/>
      <c r="N14" s="106" t="s">
        <v>91</v>
      </c>
    </row>
    <row r="15" spans="1:14" x14ac:dyDescent="0.2">
      <c r="A15" s="105"/>
      <c r="B15" s="107" t="s">
        <v>428</v>
      </c>
      <c r="C15" s="98" t="s">
        <v>1378</v>
      </c>
      <c r="D15" s="98"/>
      <c r="E15" s="99"/>
      <c r="F15" s="99"/>
      <c r="G15" s="99"/>
      <c r="H15" s="99"/>
      <c r="I15" s="99"/>
      <c r="J15" s="99"/>
      <c r="K15" s="99"/>
      <c r="L15" s="99"/>
      <c r="M15" s="99"/>
      <c r="N15" s="90"/>
    </row>
    <row r="16" spans="1:14" x14ac:dyDescent="0.2">
      <c r="A16" s="105"/>
      <c r="B16" s="107" t="s">
        <v>429</v>
      </c>
      <c r="C16" s="98" t="s">
        <v>318</v>
      </c>
      <c r="D16" s="98"/>
      <c r="E16" s="99"/>
      <c r="F16" s="99"/>
      <c r="G16" s="99"/>
      <c r="H16" s="99"/>
      <c r="I16" s="99"/>
      <c r="J16" s="99"/>
      <c r="K16" s="99"/>
      <c r="L16" s="99"/>
      <c r="M16" s="99"/>
      <c r="N16" s="90"/>
    </row>
    <row r="17" spans="1:14" x14ac:dyDescent="0.2">
      <c r="A17" s="105"/>
      <c r="B17" s="107" t="s">
        <v>427</v>
      </c>
      <c r="C17" s="444" t="s">
        <v>386</v>
      </c>
      <c r="D17" s="444"/>
      <c r="E17" s="444"/>
      <c r="F17" s="444"/>
      <c r="G17" s="444"/>
      <c r="H17" s="444"/>
      <c r="I17" s="444"/>
      <c r="J17" s="444"/>
      <c r="K17" s="444"/>
      <c r="L17" s="444"/>
      <c r="M17" s="444"/>
      <c r="N17" s="445"/>
    </row>
    <row r="18" spans="1:14" x14ac:dyDescent="0.2">
      <c r="A18" s="105"/>
      <c r="B18" s="107"/>
      <c r="C18" s="444"/>
      <c r="D18" s="444"/>
      <c r="E18" s="444"/>
      <c r="F18" s="444"/>
      <c r="G18" s="444"/>
      <c r="H18" s="444"/>
      <c r="I18" s="444"/>
      <c r="J18" s="444"/>
      <c r="K18" s="444"/>
      <c r="L18" s="444"/>
      <c r="M18" s="444"/>
      <c r="N18" s="445"/>
    </row>
    <row r="19" spans="1:14" ht="13.5" thickBot="1" x14ac:dyDescent="0.25">
      <c r="A19" s="105"/>
      <c r="B19" s="98"/>
      <c r="C19" s="444"/>
      <c r="D19" s="444"/>
      <c r="E19" s="444"/>
      <c r="F19" s="444"/>
      <c r="G19" s="444"/>
      <c r="H19" s="444"/>
      <c r="I19" s="444"/>
      <c r="J19" s="444"/>
      <c r="K19" s="444"/>
      <c r="L19" s="444"/>
      <c r="M19" s="444"/>
      <c r="N19" s="445"/>
    </row>
    <row r="20" spans="1:14" ht="13.5" thickBot="1" x14ac:dyDescent="0.25">
      <c r="A20" s="119"/>
      <c r="B20" s="120" t="s">
        <v>263</v>
      </c>
      <c r="C20" s="224"/>
      <c r="D20" s="224"/>
      <c r="E20" s="224"/>
      <c r="F20" s="224"/>
      <c r="G20" s="224"/>
      <c r="H20" s="224"/>
      <c r="I20" s="226"/>
      <c r="J20" s="227" t="s">
        <v>858</v>
      </c>
      <c r="K20" s="227" t="s">
        <v>1996</v>
      </c>
      <c r="L20" s="227"/>
      <c r="M20" s="227"/>
      <c r="N20" s="225"/>
    </row>
    <row r="21" spans="1:14" ht="13.5" thickBot="1" x14ac:dyDescent="0.25">
      <c r="A21" s="119"/>
      <c r="B21" s="120" t="s">
        <v>263</v>
      </c>
      <c r="C21" s="120"/>
      <c r="D21" s="120"/>
      <c r="E21" s="121"/>
      <c r="F21" s="121"/>
      <c r="G21" s="121"/>
      <c r="H21" s="121"/>
      <c r="I21" s="121"/>
      <c r="J21" s="138" t="s">
        <v>514</v>
      </c>
      <c r="K21" s="139" t="s">
        <v>494</v>
      </c>
      <c r="L21" s="139"/>
      <c r="M21" s="122"/>
      <c r="N21" s="139"/>
    </row>
    <row r="22" spans="1:14" x14ac:dyDescent="0.2">
      <c r="A22" s="101"/>
      <c r="B22" s="448" t="s">
        <v>67</v>
      </c>
      <c r="C22" s="448"/>
      <c r="D22" s="448"/>
      <c r="E22" s="103"/>
      <c r="F22" s="103" t="s">
        <v>1180</v>
      </c>
      <c r="G22" s="103" t="s">
        <v>68</v>
      </c>
      <c r="H22" s="103" t="s">
        <v>702</v>
      </c>
      <c r="I22" s="103"/>
      <c r="J22" s="89">
        <f>115/ATHENS!O1*ATHENS!O2</f>
        <v>234.69387755102042</v>
      </c>
      <c r="K22" s="89">
        <f>126/ATHENS!O1*ATHENS!O2</f>
        <v>257.14285714285717</v>
      </c>
      <c r="L22" s="89"/>
      <c r="M22" s="113"/>
      <c r="N22" s="113"/>
    </row>
    <row r="23" spans="1:14" x14ac:dyDescent="0.2">
      <c r="A23" s="105"/>
      <c r="B23" s="443" t="s">
        <v>67</v>
      </c>
      <c r="C23" s="443"/>
      <c r="D23" s="443"/>
      <c r="E23" s="99"/>
      <c r="F23" s="99" t="s">
        <v>1181</v>
      </c>
      <c r="G23" s="99" t="s">
        <v>68</v>
      </c>
      <c r="H23" s="99" t="s">
        <v>702</v>
      </c>
      <c r="I23" s="99"/>
      <c r="J23" s="89">
        <f>65.5/ATHENS!O1*ATHENS!O2</f>
        <v>133.67346938775509</v>
      </c>
      <c r="K23" s="89">
        <f>71/ATHENS!O1*ATHENS!O2</f>
        <v>144.89795918367346</v>
      </c>
      <c r="L23" s="89"/>
      <c r="M23" s="89"/>
      <c r="N23" s="89"/>
    </row>
    <row r="24" spans="1:14" ht="13.5" thickBot="1" x14ac:dyDescent="0.25">
      <c r="A24" s="108"/>
      <c r="B24" s="436" t="s">
        <v>67</v>
      </c>
      <c r="C24" s="436"/>
      <c r="D24" s="436"/>
      <c r="E24" s="110"/>
      <c r="F24" s="110" t="s">
        <v>1182</v>
      </c>
      <c r="G24" s="110" t="s">
        <v>68</v>
      </c>
      <c r="H24" s="110" t="s">
        <v>702</v>
      </c>
      <c r="I24" s="110"/>
      <c r="J24" s="94">
        <f>51/ATHENS!O1*ATHENS!O2</f>
        <v>104.08163265306122</v>
      </c>
      <c r="K24" s="94">
        <f>54.6/ATHENS!O1*ATHENS!O2</f>
        <v>111.42857142857143</v>
      </c>
      <c r="L24" s="94"/>
      <c r="M24" s="94"/>
      <c r="N24" s="94"/>
    </row>
    <row r="25" spans="1:14" ht="6.75" customHeight="1" thickBot="1" x14ac:dyDescent="0.25">
      <c r="A25" s="97"/>
      <c r="B25" s="123"/>
      <c r="C25" s="123"/>
      <c r="D25" s="123"/>
      <c r="E25" s="124"/>
      <c r="F25" s="124"/>
      <c r="G25" s="124"/>
      <c r="H25" s="124"/>
      <c r="I25" s="124"/>
      <c r="J25" s="124"/>
      <c r="K25" s="124"/>
      <c r="L25" s="124"/>
      <c r="M25" s="124"/>
      <c r="N25" s="124"/>
    </row>
    <row r="26" spans="1:14" ht="13.5" thickBot="1" x14ac:dyDescent="0.25">
      <c r="A26" s="101"/>
      <c r="B26" s="102"/>
      <c r="C26" s="102"/>
      <c r="D26" s="102"/>
      <c r="E26" s="103"/>
      <c r="F26" s="103"/>
      <c r="G26" s="103"/>
      <c r="H26" s="103"/>
      <c r="I26" s="103"/>
      <c r="J26" s="103"/>
      <c r="K26" s="103"/>
      <c r="L26" s="103"/>
      <c r="M26" s="103"/>
      <c r="N26" s="104"/>
    </row>
    <row r="27" spans="1:14" ht="15.75" thickBot="1" x14ac:dyDescent="0.25">
      <c r="A27" s="105"/>
      <c r="B27" s="459" t="s">
        <v>633</v>
      </c>
      <c r="C27" s="460"/>
      <c r="D27" s="460"/>
      <c r="E27" s="460"/>
      <c r="F27" s="460"/>
      <c r="G27" s="460"/>
      <c r="H27" s="460"/>
      <c r="I27" s="460"/>
      <c r="J27" s="460"/>
      <c r="K27" s="460"/>
      <c r="L27" s="460"/>
      <c r="M27" s="461"/>
      <c r="N27" s="106" t="s">
        <v>91</v>
      </c>
    </row>
    <row r="28" spans="1:14" x14ac:dyDescent="0.2">
      <c r="A28" s="105"/>
      <c r="B28" s="107" t="s">
        <v>428</v>
      </c>
      <c r="C28" s="98" t="s">
        <v>1286</v>
      </c>
      <c r="D28" s="98"/>
      <c r="E28" s="99"/>
      <c r="F28" s="99"/>
      <c r="G28" s="99"/>
      <c r="H28" s="99"/>
      <c r="I28" s="99"/>
      <c r="J28" s="99"/>
      <c r="K28" s="99"/>
      <c r="L28" s="99"/>
      <c r="M28" s="99"/>
      <c r="N28" s="90"/>
    </row>
    <row r="29" spans="1:14" x14ac:dyDescent="0.2">
      <c r="A29" s="105"/>
      <c r="B29" s="107" t="s">
        <v>429</v>
      </c>
      <c r="C29" s="98" t="s">
        <v>711</v>
      </c>
      <c r="D29" s="98"/>
      <c r="E29" s="99"/>
      <c r="F29" s="99"/>
      <c r="G29" s="99"/>
      <c r="H29" s="99"/>
      <c r="I29" s="99"/>
      <c r="J29" s="99"/>
      <c r="K29" s="99"/>
      <c r="L29" s="99"/>
      <c r="M29" s="99"/>
      <c r="N29" s="90"/>
    </row>
    <row r="30" spans="1:14" x14ac:dyDescent="0.2">
      <c r="A30" s="105"/>
      <c r="B30" s="107" t="s">
        <v>427</v>
      </c>
      <c r="C30" s="444" t="s">
        <v>1287</v>
      </c>
      <c r="D30" s="444"/>
      <c r="E30" s="444"/>
      <c r="F30" s="444"/>
      <c r="G30" s="444"/>
      <c r="H30" s="444"/>
      <c r="I30" s="444"/>
      <c r="J30" s="444"/>
      <c r="K30" s="444"/>
      <c r="L30" s="444"/>
      <c r="M30" s="444"/>
      <c r="N30" s="445"/>
    </row>
    <row r="31" spans="1:14" ht="13.5" thickBot="1" x14ac:dyDescent="0.25">
      <c r="A31" s="105"/>
      <c r="B31" s="98"/>
      <c r="C31" s="444"/>
      <c r="D31" s="444"/>
      <c r="E31" s="444"/>
      <c r="F31" s="444"/>
      <c r="G31" s="444"/>
      <c r="H31" s="444"/>
      <c r="I31" s="444"/>
      <c r="J31" s="444"/>
      <c r="K31" s="444"/>
      <c r="L31" s="444"/>
      <c r="M31" s="444"/>
      <c r="N31" s="445"/>
    </row>
    <row r="32" spans="1:14" ht="13.5" thickBot="1" x14ac:dyDescent="0.25">
      <c r="A32" s="101"/>
      <c r="B32" s="102" t="s">
        <v>263</v>
      </c>
      <c r="C32" s="102"/>
      <c r="D32" s="102"/>
      <c r="E32" s="103"/>
      <c r="F32" s="103"/>
      <c r="G32" s="103"/>
      <c r="H32" s="103"/>
      <c r="I32" s="103"/>
      <c r="J32" s="113" t="s">
        <v>1177</v>
      </c>
      <c r="K32" s="113"/>
      <c r="L32" s="113"/>
      <c r="M32" s="113"/>
      <c r="N32" s="113"/>
    </row>
    <row r="33" spans="1:14" x14ac:dyDescent="0.2">
      <c r="A33" s="101"/>
      <c r="B33" s="448" t="s">
        <v>67</v>
      </c>
      <c r="C33" s="448"/>
      <c r="D33" s="448"/>
      <c r="E33" s="103"/>
      <c r="F33" s="103" t="s">
        <v>1180</v>
      </c>
      <c r="G33" s="103" t="s">
        <v>68</v>
      </c>
      <c r="H33" s="103" t="s">
        <v>702</v>
      </c>
      <c r="I33" s="103"/>
      <c r="J33" s="89">
        <f>90/ATHENS!O1*ATHENS!O2</f>
        <v>183.67346938775512</v>
      </c>
      <c r="K33" s="89"/>
      <c r="L33" s="89"/>
      <c r="M33" s="113"/>
      <c r="N33" s="113"/>
    </row>
    <row r="34" spans="1:14" ht="13.5" thickBot="1" x14ac:dyDescent="0.25">
      <c r="A34" s="108"/>
      <c r="B34" s="436" t="s">
        <v>67</v>
      </c>
      <c r="C34" s="436"/>
      <c r="D34" s="436"/>
      <c r="E34" s="110"/>
      <c r="F34" s="110" t="s">
        <v>1181</v>
      </c>
      <c r="G34" s="110" t="s">
        <v>68</v>
      </c>
      <c r="H34" s="110" t="s">
        <v>702</v>
      </c>
      <c r="I34" s="110"/>
      <c r="J34" s="94">
        <f>55/ATHENS!O1*ATHENS!O2</f>
        <v>112.24489795918367</v>
      </c>
      <c r="K34" s="94"/>
      <c r="L34" s="94"/>
      <c r="M34" s="94"/>
      <c r="N34" s="94"/>
    </row>
    <row r="35" spans="1:14" ht="7.5" customHeight="1" thickBot="1" x14ac:dyDescent="0.25">
      <c r="A35" s="97"/>
      <c r="B35" s="123"/>
      <c r="C35" s="123"/>
      <c r="D35" s="123"/>
      <c r="E35" s="124"/>
      <c r="F35" s="124"/>
      <c r="G35" s="124"/>
      <c r="H35" s="124"/>
      <c r="I35" s="124"/>
      <c r="J35" s="124"/>
      <c r="K35" s="124"/>
      <c r="L35" s="124"/>
      <c r="M35" s="124"/>
      <c r="N35" s="124"/>
    </row>
    <row r="36" spans="1:14" ht="13.5" thickBot="1" x14ac:dyDescent="0.25">
      <c r="A36" s="101"/>
      <c r="B36" s="102"/>
      <c r="C36" s="102"/>
      <c r="D36" s="102"/>
      <c r="E36" s="103"/>
      <c r="F36" s="103"/>
      <c r="G36" s="103"/>
      <c r="H36" s="103"/>
      <c r="I36" s="103"/>
      <c r="J36" s="103"/>
      <c r="K36" s="103"/>
      <c r="L36" s="103"/>
      <c r="M36" s="103"/>
      <c r="N36" s="104"/>
    </row>
    <row r="37" spans="1:14" ht="15.75" thickBot="1" x14ac:dyDescent="0.25">
      <c r="A37" s="105"/>
      <c r="B37" s="459" t="s">
        <v>634</v>
      </c>
      <c r="C37" s="460"/>
      <c r="D37" s="460"/>
      <c r="E37" s="460"/>
      <c r="F37" s="460"/>
      <c r="G37" s="460"/>
      <c r="H37" s="460"/>
      <c r="I37" s="460"/>
      <c r="J37" s="460"/>
      <c r="K37" s="460"/>
      <c r="L37" s="460"/>
      <c r="M37" s="461"/>
      <c r="N37" s="106" t="s">
        <v>91</v>
      </c>
    </row>
    <row r="38" spans="1:14" x14ac:dyDescent="0.2">
      <c r="A38" s="105"/>
      <c r="B38" s="107" t="s">
        <v>428</v>
      </c>
      <c r="C38" s="98" t="s">
        <v>1288</v>
      </c>
      <c r="D38" s="98"/>
      <c r="E38" s="99"/>
      <c r="F38" s="99"/>
      <c r="G38" s="99"/>
      <c r="H38" s="99"/>
      <c r="I38" s="99"/>
      <c r="J38" s="99"/>
      <c r="K38" s="99"/>
      <c r="L38" s="99"/>
      <c r="M38" s="99"/>
      <c r="N38" s="90"/>
    </row>
    <row r="39" spans="1:14" x14ac:dyDescent="0.2">
      <c r="A39" s="105"/>
      <c r="B39" s="107" t="s">
        <v>429</v>
      </c>
      <c r="C39" s="98" t="s">
        <v>712</v>
      </c>
      <c r="D39" s="98"/>
      <c r="E39" s="99"/>
      <c r="F39" s="99"/>
      <c r="G39" s="99"/>
      <c r="H39" s="99"/>
      <c r="I39" s="99"/>
      <c r="J39" s="99"/>
      <c r="K39" s="99"/>
      <c r="L39" s="99"/>
      <c r="M39" s="99"/>
      <c r="N39" s="90"/>
    </row>
    <row r="40" spans="1:14" x14ac:dyDescent="0.2">
      <c r="A40" s="105"/>
      <c r="B40" s="107" t="s">
        <v>427</v>
      </c>
      <c r="C40" s="444" t="s">
        <v>1289</v>
      </c>
      <c r="D40" s="444"/>
      <c r="E40" s="444"/>
      <c r="F40" s="444"/>
      <c r="G40" s="444"/>
      <c r="H40" s="444"/>
      <c r="I40" s="444"/>
      <c r="J40" s="444"/>
      <c r="K40" s="444"/>
      <c r="L40" s="444"/>
      <c r="M40" s="444"/>
      <c r="N40" s="445"/>
    </row>
    <row r="41" spans="1:14" x14ac:dyDescent="0.2">
      <c r="A41" s="105"/>
      <c r="B41" s="107"/>
      <c r="C41" s="444"/>
      <c r="D41" s="444"/>
      <c r="E41" s="444"/>
      <c r="F41" s="444"/>
      <c r="G41" s="444"/>
      <c r="H41" s="444"/>
      <c r="I41" s="444"/>
      <c r="J41" s="444"/>
      <c r="K41" s="444"/>
      <c r="L41" s="444"/>
      <c r="M41" s="444"/>
      <c r="N41" s="445"/>
    </row>
    <row r="42" spans="1:14" x14ac:dyDescent="0.2">
      <c r="A42" s="105"/>
      <c r="B42" s="107"/>
      <c r="C42" s="444"/>
      <c r="D42" s="444"/>
      <c r="E42" s="444"/>
      <c r="F42" s="444"/>
      <c r="G42" s="444"/>
      <c r="H42" s="444"/>
      <c r="I42" s="444"/>
      <c r="J42" s="444"/>
      <c r="K42" s="444"/>
      <c r="L42" s="444"/>
      <c r="M42" s="444"/>
      <c r="N42" s="445"/>
    </row>
    <row r="43" spans="1:14" ht="13.5" thickBot="1" x14ac:dyDescent="0.25">
      <c r="A43" s="105"/>
      <c r="B43" s="109"/>
      <c r="C43" s="476"/>
      <c r="D43" s="476"/>
      <c r="E43" s="476"/>
      <c r="F43" s="476"/>
      <c r="G43" s="476"/>
      <c r="H43" s="476"/>
      <c r="I43" s="476"/>
      <c r="J43" s="476"/>
      <c r="K43" s="476"/>
      <c r="L43" s="476"/>
      <c r="M43" s="476"/>
      <c r="N43" s="477"/>
    </row>
    <row r="44" spans="1:14" x14ac:dyDescent="0.2">
      <c r="A44" s="101"/>
      <c r="B44" s="98" t="s">
        <v>263</v>
      </c>
      <c r="C44" s="205"/>
      <c r="D44" s="205"/>
      <c r="E44" s="205"/>
      <c r="F44" s="205"/>
      <c r="G44" s="205"/>
      <c r="H44" s="205"/>
      <c r="I44" s="220"/>
      <c r="J44" s="221" t="s">
        <v>94</v>
      </c>
      <c r="K44" s="221"/>
      <c r="L44" s="222"/>
      <c r="M44" s="222"/>
      <c r="N44" s="206"/>
    </row>
    <row r="45" spans="1:14" x14ac:dyDescent="0.2">
      <c r="A45" s="105"/>
      <c r="B45" s="98" t="s">
        <v>263</v>
      </c>
      <c r="C45" s="205"/>
      <c r="D45" s="205"/>
      <c r="E45" s="205"/>
      <c r="F45" s="205"/>
      <c r="G45" s="205"/>
      <c r="H45" s="205"/>
      <c r="I45" s="206"/>
      <c r="J45" s="218" t="s">
        <v>1991</v>
      </c>
      <c r="K45" s="218" t="s">
        <v>1993</v>
      </c>
      <c r="L45" s="223"/>
      <c r="M45" s="223"/>
      <c r="N45" s="206"/>
    </row>
    <row r="46" spans="1:14" x14ac:dyDescent="0.2">
      <c r="A46" s="105"/>
      <c r="B46" s="98" t="s">
        <v>263</v>
      </c>
      <c r="C46" s="205"/>
      <c r="D46" s="205"/>
      <c r="E46" s="205"/>
      <c r="F46" s="205"/>
      <c r="G46" s="205"/>
      <c r="H46" s="205"/>
      <c r="I46" s="206"/>
      <c r="J46" s="218" t="s">
        <v>1990</v>
      </c>
      <c r="K46" s="218" t="s">
        <v>1994</v>
      </c>
      <c r="L46" s="223"/>
      <c r="M46" s="223"/>
      <c r="N46" s="223"/>
    </row>
    <row r="47" spans="1:14" ht="13.5" thickBot="1" x14ac:dyDescent="0.25">
      <c r="A47" s="108"/>
      <c r="B47" s="109" t="s">
        <v>263</v>
      </c>
      <c r="C47" s="109"/>
      <c r="D47" s="109"/>
      <c r="E47" s="110"/>
      <c r="F47" s="110"/>
      <c r="G47" s="110"/>
      <c r="H47" s="110"/>
      <c r="I47" s="110"/>
      <c r="J47" s="112" t="s">
        <v>1992</v>
      </c>
      <c r="K47" s="94" t="s">
        <v>1995</v>
      </c>
      <c r="L47" s="94"/>
      <c r="M47" s="94"/>
      <c r="N47" s="94"/>
    </row>
    <row r="48" spans="1:14" ht="13.5" thickBot="1" x14ac:dyDescent="0.25">
      <c r="A48" s="105"/>
      <c r="B48" s="98"/>
      <c r="C48" s="98"/>
      <c r="D48" s="98"/>
      <c r="E48" s="99"/>
      <c r="F48" s="99"/>
      <c r="G48" s="99"/>
      <c r="H48" s="99"/>
      <c r="I48" s="99"/>
      <c r="J48" s="111"/>
      <c r="K48" s="89"/>
      <c r="L48" s="89"/>
      <c r="M48" s="89"/>
      <c r="N48" s="89"/>
    </row>
    <row r="49" spans="1:14" x14ac:dyDescent="0.2">
      <c r="A49" s="101"/>
      <c r="B49" s="448" t="s">
        <v>67</v>
      </c>
      <c r="C49" s="448"/>
      <c r="D49" s="448"/>
      <c r="E49" s="103"/>
      <c r="F49" s="103" t="s">
        <v>1180</v>
      </c>
      <c r="G49" s="103" t="s">
        <v>68</v>
      </c>
      <c r="H49" s="103" t="s">
        <v>702</v>
      </c>
      <c r="I49" s="103"/>
      <c r="J49" s="89">
        <f>80/ATHENS!O1*ATHENS!O2</f>
        <v>163.26530612244898</v>
      </c>
      <c r="K49" s="89">
        <f>90/ATHENS!O1*ATHENS!O2</f>
        <v>183.67346938775512</v>
      </c>
      <c r="L49" s="89"/>
      <c r="M49" s="113"/>
      <c r="N49" s="113"/>
    </row>
    <row r="50" spans="1:14" x14ac:dyDescent="0.2">
      <c r="A50" s="105"/>
      <c r="B50" s="443" t="s">
        <v>67</v>
      </c>
      <c r="C50" s="443"/>
      <c r="D50" s="443"/>
      <c r="E50" s="99"/>
      <c r="F50" s="99" t="s">
        <v>1181</v>
      </c>
      <c r="G50" s="99" t="s">
        <v>68</v>
      </c>
      <c r="H50" s="99" t="s">
        <v>702</v>
      </c>
      <c r="I50" s="99"/>
      <c r="J50" s="89">
        <f>45/ATHENS!O1*ATHENS!O2</f>
        <v>91.83673469387756</v>
      </c>
      <c r="K50" s="89">
        <f>50/ATHENS!O1*ATHENS!O2</f>
        <v>102.04081632653062</v>
      </c>
      <c r="L50" s="89"/>
      <c r="M50" s="89"/>
      <c r="N50" s="89"/>
    </row>
    <row r="51" spans="1:14" ht="13.5" thickBot="1" x14ac:dyDescent="0.25">
      <c r="A51" s="108"/>
      <c r="B51" s="436" t="s">
        <v>67</v>
      </c>
      <c r="C51" s="436"/>
      <c r="D51" s="436"/>
      <c r="E51" s="110"/>
      <c r="F51" s="110" t="s">
        <v>1182</v>
      </c>
      <c r="G51" s="110" t="s">
        <v>68</v>
      </c>
      <c r="H51" s="110" t="s">
        <v>702</v>
      </c>
      <c r="I51" s="110"/>
      <c r="J51" s="94">
        <f>36.6/ATHENS!O1*ATHENS!O2</f>
        <v>74.693877551020407</v>
      </c>
      <c r="K51" s="94">
        <f>40/ATHENS!O1*ATHENS!O2</f>
        <v>81.632653061224488</v>
      </c>
      <c r="L51" s="94"/>
      <c r="M51" s="94"/>
      <c r="N51" s="94"/>
    </row>
    <row r="52" spans="1:14" x14ac:dyDescent="0.2">
      <c r="A52" s="97"/>
      <c r="B52" s="98"/>
      <c r="C52" s="98"/>
      <c r="D52" s="98"/>
      <c r="E52" s="99"/>
      <c r="F52" s="99"/>
      <c r="G52" s="99"/>
      <c r="H52" s="99"/>
      <c r="I52" s="99"/>
      <c r="J52" s="99"/>
      <c r="K52" s="99"/>
      <c r="L52" s="99"/>
      <c r="M52" s="99"/>
      <c r="N52" s="99"/>
    </row>
    <row r="53" spans="1:14" x14ac:dyDescent="0.2">
      <c r="A53" s="97"/>
      <c r="B53" s="98"/>
      <c r="C53" s="98"/>
      <c r="D53" s="98"/>
      <c r="E53" s="99"/>
      <c r="F53" s="99"/>
      <c r="G53" s="99"/>
      <c r="H53" s="99"/>
      <c r="I53" s="99"/>
      <c r="J53" s="99"/>
      <c r="K53" s="99"/>
      <c r="L53" s="99"/>
      <c r="M53" s="99"/>
      <c r="N53" s="99"/>
    </row>
    <row r="54" spans="1:14" x14ac:dyDescent="0.2">
      <c r="A54" s="97"/>
      <c r="B54" s="98"/>
      <c r="C54" s="98"/>
      <c r="D54" s="98"/>
      <c r="E54" s="99"/>
      <c r="F54" s="99"/>
      <c r="G54" s="99"/>
      <c r="H54" s="99"/>
      <c r="I54" s="99"/>
      <c r="J54" s="99"/>
      <c r="K54" s="99"/>
      <c r="L54" s="99"/>
      <c r="M54" s="99"/>
      <c r="N54" s="99"/>
    </row>
    <row r="55" spans="1:14" x14ac:dyDescent="0.2">
      <c r="A55" s="97"/>
      <c r="B55" s="98"/>
      <c r="C55" s="98"/>
      <c r="D55" s="98"/>
      <c r="E55" s="99"/>
      <c r="F55" s="99"/>
      <c r="G55" s="99"/>
      <c r="H55" s="99"/>
      <c r="I55" s="99"/>
      <c r="J55" s="99"/>
      <c r="K55" s="99"/>
      <c r="L55" s="99"/>
      <c r="M55" s="99"/>
      <c r="N55" s="99"/>
    </row>
    <row r="56" spans="1:14" x14ac:dyDescent="0.2">
      <c r="A56" s="97"/>
      <c r="B56" s="98"/>
      <c r="C56" s="98"/>
      <c r="D56" s="98"/>
      <c r="E56" s="99"/>
      <c r="F56" s="99"/>
      <c r="G56" s="99"/>
      <c r="H56" s="99"/>
      <c r="I56" s="99"/>
      <c r="J56" s="99"/>
      <c r="K56" s="99"/>
      <c r="L56" s="99"/>
      <c r="M56" s="99"/>
      <c r="N56" s="99"/>
    </row>
    <row r="57" spans="1:14" x14ac:dyDescent="0.2">
      <c r="A57" s="97"/>
      <c r="B57" s="98"/>
      <c r="C57" s="98"/>
      <c r="D57" s="98"/>
      <c r="E57" s="99"/>
      <c r="F57" s="99"/>
      <c r="G57" s="99"/>
      <c r="H57" s="99"/>
      <c r="I57" s="99"/>
      <c r="J57" s="99"/>
      <c r="K57" s="99"/>
      <c r="L57" s="99"/>
      <c r="M57" s="99"/>
      <c r="N57" s="99"/>
    </row>
    <row r="58" spans="1:14" x14ac:dyDescent="0.2">
      <c r="A58" s="97"/>
      <c r="B58" s="98"/>
      <c r="C58" s="98"/>
      <c r="D58" s="98"/>
      <c r="E58" s="99"/>
      <c r="F58" s="99"/>
      <c r="G58" s="99"/>
      <c r="H58" s="99"/>
      <c r="I58" s="99"/>
      <c r="J58" s="99"/>
      <c r="K58" s="99"/>
      <c r="L58" s="99"/>
      <c r="M58" s="99"/>
      <c r="N58" s="99"/>
    </row>
    <row r="59" spans="1:14" x14ac:dyDescent="0.2">
      <c r="A59" s="97"/>
      <c r="B59" s="98"/>
      <c r="C59" s="98"/>
      <c r="D59" s="98"/>
      <c r="E59" s="99"/>
      <c r="F59" s="99"/>
      <c r="G59" s="99"/>
      <c r="H59" s="99"/>
      <c r="I59" s="99"/>
      <c r="J59" s="99"/>
      <c r="K59" s="99"/>
      <c r="L59" s="99"/>
      <c r="M59" s="99"/>
      <c r="N59" s="99"/>
    </row>
    <row r="60" spans="1:14" ht="13.5" thickBot="1" x14ac:dyDescent="0.25">
      <c r="A60" s="97"/>
      <c r="B60" s="98"/>
      <c r="C60" s="98"/>
      <c r="D60" s="98"/>
      <c r="E60" s="99"/>
      <c r="F60" s="99"/>
      <c r="G60" s="99"/>
      <c r="H60" s="99"/>
      <c r="I60" s="99"/>
      <c r="J60" s="99"/>
      <c r="K60" s="99"/>
      <c r="L60" s="99"/>
      <c r="M60" s="99"/>
      <c r="N60" s="99"/>
    </row>
    <row r="61" spans="1:14" ht="13.5" thickBot="1" x14ac:dyDescent="0.25">
      <c r="A61" s="101"/>
      <c r="B61" s="102"/>
      <c r="C61" s="102"/>
      <c r="D61" s="102"/>
      <c r="E61" s="103"/>
      <c r="F61" s="103"/>
      <c r="G61" s="103"/>
      <c r="H61" s="103"/>
      <c r="I61" s="103"/>
      <c r="J61" s="103"/>
      <c r="K61" s="103"/>
      <c r="L61" s="103"/>
      <c r="M61" s="103"/>
      <c r="N61" s="104"/>
    </row>
    <row r="62" spans="1:14" ht="15.75" thickBot="1" x14ac:dyDescent="0.25">
      <c r="A62" s="105"/>
      <c r="B62" s="459" t="s">
        <v>635</v>
      </c>
      <c r="C62" s="460"/>
      <c r="D62" s="460"/>
      <c r="E62" s="460"/>
      <c r="F62" s="460"/>
      <c r="G62" s="460"/>
      <c r="H62" s="460"/>
      <c r="I62" s="460"/>
      <c r="J62" s="460"/>
      <c r="K62" s="460"/>
      <c r="L62" s="460"/>
      <c r="M62" s="461"/>
      <c r="N62" s="106" t="s">
        <v>91</v>
      </c>
    </row>
    <row r="63" spans="1:14" x14ac:dyDescent="0.2">
      <c r="A63" s="105"/>
      <c r="B63" s="107" t="s">
        <v>428</v>
      </c>
      <c r="C63" s="98" t="s">
        <v>1290</v>
      </c>
      <c r="D63" s="98"/>
      <c r="E63" s="99"/>
      <c r="F63" s="99"/>
      <c r="G63" s="99"/>
      <c r="H63" s="99"/>
      <c r="I63" s="99"/>
      <c r="J63" s="99"/>
      <c r="K63" s="99"/>
      <c r="L63" s="99"/>
      <c r="M63" s="99"/>
      <c r="N63" s="90"/>
    </row>
    <row r="64" spans="1:14" x14ac:dyDescent="0.2">
      <c r="A64" s="105"/>
      <c r="B64" s="107" t="s">
        <v>429</v>
      </c>
      <c r="C64" s="98" t="s">
        <v>713</v>
      </c>
      <c r="D64" s="98"/>
      <c r="E64" s="99"/>
      <c r="F64" s="99"/>
      <c r="G64" s="99"/>
      <c r="H64" s="99"/>
      <c r="I64" s="99"/>
      <c r="J64" s="99"/>
      <c r="K64" s="99"/>
      <c r="L64" s="99"/>
      <c r="M64" s="99"/>
      <c r="N64" s="90"/>
    </row>
    <row r="65" spans="1:14" x14ac:dyDescent="0.2">
      <c r="A65" s="105"/>
      <c r="B65" s="107" t="s">
        <v>427</v>
      </c>
      <c r="C65" s="444" t="s">
        <v>1291</v>
      </c>
      <c r="D65" s="444"/>
      <c r="E65" s="444"/>
      <c r="F65" s="444"/>
      <c r="G65" s="444"/>
      <c r="H65" s="444"/>
      <c r="I65" s="444"/>
      <c r="J65" s="444"/>
      <c r="K65" s="444"/>
      <c r="L65" s="444"/>
      <c r="M65" s="444"/>
      <c r="N65" s="445"/>
    </row>
    <row r="66" spans="1:14" x14ac:dyDescent="0.2">
      <c r="A66" s="105"/>
      <c r="B66" s="107"/>
      <c r="C66" s="444"/>
      <c r="D66" s="444"/>
      <c r="E66" s="444"/>
      <c r="F66" s="444"/>
      <c r="G66" s="444"/>
      <c r="H66" s="444"/>
      <c r="I66" s="444"/>
      <c r="J66" s="444"/>
      <c r="K66" s="444"/>
      <c r="L66" s="444"/>
      <c r="M66" s="444"/>
      <c r="N66" s="445"/>
    </row>
    <row r="67" spans="1:14" ht="13.5" thickBot="1" x14ac:dyDescent="0.25">
      <c r="A67" s="105"/>
      <c r="B67" s="98"/>
      <c r="C67" s="444"/>
      <c r="D67" s="444"/>
      <c r="E67" s="444"/>
      <c r="F67" s="444"/>
      <c r="G67" s="444"/>
      <c r="H67" s="444"/>
      <c r="I67" s="444"/>
      <c r="J67" s="444"/>
      <c r="K67" s="444"/>
      <c r="L67" s="444"/>
      <c r="M67" s="444"/>
      <c r="N67" s="445"/>
    </row>
    <row r="68" spans="1:14" ht="13.5" thickBot="1" x14ac:dyDescent="0.25">
      <c r="A68" s="119"/>
      <c r="B68" s="120" t="s">
        <v>263</v>
      </c>
      <c r="C68" s="120"/>
      <c r="D68" s="120"/>
      <c r="E68" s="121"/>
      <c r="F68" s="121"/>
      <c r="G68" s="121"/>
      <c r="H68" s="121"/>
      <c r="I68" s="122"/>
      <c r="J68" s="138" t="s">
        <v>229</v>
      </c>
      <c r="K68" s="139"/>
      <c r="L68" s="139"/>
      <c r="M68" s="139"/>
      <c r="N68" s="139"/>
    </row>
    <row r="69" spans="1:14" x14ac:dyDescent="0.2">
      <c r="A69" s="101"/>
      <c r="B69" s="448" t="s">
        <v>67</v>
      </c>
      <c r="C69" s="448"/>
      <c r="D69" s="448"/>
      <c r="E69" s="103"/>
      <c r="F69" s="103" t="s">
        <v>1180</v>
      </c>
      <c r="G69" s="103" t="s">
        <v>68</v>
      </c>
      <c r="H69" s="103" t="s">
        <v>702</v>
      </c>
      <c r="I69" s="103"/>
      <c r="J69" s="89">
        <f>81/ATHENS!O1*ATHENS!O2</f>
        <v>165.30612244897961</v>
      </c>
      <c r="K69" s="89"/>
      <c r="L69" s="89"/>
      <c r="M69" s="113"/>
      <c r="N69" s="113"/>
    </row>
    <row r="70" spans="1:14" ht="13.5" thickBot="1" x14ac:dyDescent="0.25">
      <c r="A70" s="105"/>
      <c r="B70" s="436" t="s">
        <v>67</v>
      </c>
      <c r="C70" s="436"/>
      <c r="D70" s="436"/>
      <c r="E70" s="110"/>
      <c r="F70" s="110" t="s">
        <v>1181</v>
      </c>
      <c r="G70" s="110" t="s">
        <v>68</v>
      </c>
      <c r="H70" s="110" t="s">
        <v>702</v>
      </c>
      <c r="I70" s="99"/>
      <c r="J70" s="89">
        <f>48.5/ATHENS!O1*ATHENS!O2</f>
        <v>98.979591836734699</v>
      </c>
      <c r="K70" s="89"/>
      <c r="L70" s="89"/>
      <c r="M70" s="89"/>
      <c r="N70" s="89"/>
    </row>
    <row r="71" spans="1:14" ht="13.5" thickBot="1" x14ac:dyDescent="0.25">
      <c r="A71" s="108"/>
      <c r="B71" s="436" t="s">
        <v>67</v>
      </c>
      <c r="C71" s="436"/>
      <c r="D71" s="436"/>
      <c r="E71" s="110"/>
      <c r="F71" s="110" t="s">
        <v>1182</v>
      </c>
      <c r="G71" s="110" t="s">
        <v>68</v>
      </c>
      <c r="H71" s="110" t="s">
        <v>702</v>
      </c>
      <c r="I71" s="110"/>
      <c r="J71" s="94">
        <f>39.5/ATHENS!O1*ATHENS!O2</f>
        <v>80.612244897959187</v>
      </c>
      <c r="K71" s="94"/>
      <c r="L71" s="94"/>
      <c r="M71" s="94"/>
      <c r="N71" s="94"/>
    </row>
    <row r="72" spans="1:14" x14ac:dyDescent="0.2">
      <c r="A72" s="97"/>
      <c r="B72" s="98" t="s">
        <v>1306</v>
      </c>
      <c r="C72" s="98"/>
      <c r="D72" s="98"/>
      <c r="E72" s="99"/>
      <c r="F72" s="99"/>
      <c r="G72" s="99"/>
      <c r="H72" s="99"/>
      <c r="I72" s="99"/>
      <c r="J72" s="99"/>
      <c r="K72" s="99"/>
      <c r="L72" s="99"/>
      <c r="M72" s="99"/>
      <c r="N72" s="99"/>
    </row>
    <row r="73" spans="1:14" ht="13.5" thickBot="1" x14ac:dyDescent="0.25">
      <c r="A73" s="97"/>
      <c r="B73" s="123"/>
      <c r="C73" s="123"/>
      <c r="D73" s="123"/>
      <c r="E73" s="124"/>
      <c r="F73" s="124"/>
      <c r="G73" s="124"/>
      <c r="H73" s="124"/>
      <c r="I73" s="124"/>
      <c r="J73" s="124"/>
      <c r="K73" s="124"/>
      <c r="L73" s="124"/>
      <c r="M73" s="124"/>
      <c r="N73" s="124"/>
    </row>
    <row r="74" spans="1:14" ht="13.5" thickBot="1" x14ac:dyDescent="0.25">
      <c r="A74" s="101"/>
      <c r="B74" s="102"/>
      <c r="C74" s="102"/>
      <c r="D74" s="102"/>
      <c r="E74" s="103"/>
      <c r="F74" s="103"/>
      <c r="G74" s="103"/>
      <c r="H74" s="103"/>
      <c r="I74" s="103"/>
      <c r="J74" s="103"/>
      <c r="K74" s="103"/>
      <c r="L74" s="103"/>
      <c r="M74" s="103"/>
      <c r="N74" s="104"/>
    </row>
    <row r="75" spans="1:14" ht="15.75" thickBot="1" x14ac:dyDescent="0.25">
      <c r="A75" s="105"/>
      <c r="B75" s="459" t="s">
        <v>636</v>
      </c>
      <c r="C75" s="460"/>
      <c r="D75" s="460"/>
      <c r="E75" s="460"/>
      <c r="F75" s="460"/>
      <c r="G75" s="460"/>
      <c r="H75" s="460"/>
      <c r="I75" s="460"/>
      <c r="J75" s="460"/>
      <c r="K75" s="460"/>
      <c r="L75" s="460"/>
      <c r="M75" s="461"/>
      <c r="N75" s="106" t="s">
        <v>91</v>
      </c>
    </row>
    <row r="76" spans="1:14" x14ac:dyDescent="0.2">
      <c r="A76" s="105"/>
      <c r="B76" s="107" t="s">
        <v>428</v>
      </c>
      <c r="C76" s="98" t="s">
        <v>155</v>
      </c>
      <c r="D76" s="98"/>
      <c r="E76" s="99"/>
      <c r="F76" s="99"/>
      <c r="G76" s="99"/>
      <c r="H76" s="99"/>
      <c r="I76" s="99"/>
      <c r="J76" s="99"/>
      <c r="K76" s="99"/>
      <c r="L76" s="99"/>
      <c r="M76" s="99"/>
      <c r="N76" s="90"/>
    </row>
    <row r="77" spans="1:14" x14ac:dyDescent="0.2">
      <c r="A77" s="105"/>
      <c r="B77" s="107" t="s">
        <v>429</v>
      </c>
      <c r="C77" s="98" t="s">
        <v>714</v>
      </c>
      <c r="D77" s="98"/>
      <c r="E77" s="99"/>
      <c r="F77" s="99"/>
      <c r="G77" s="99"/>
      <c r="H77" s="99"/>
      <c r="I77" s="99"/>
      <c r="J77" s="99"/>
      <c r="K77" s="99"/>
      <c r="L77" s="99"/>
      <c r="M77" s="99"/>
      <c r="N77" s="90"/>
    </row>
    <row r="78" spans="1:14" x14ac:dyDescent="0.2">
      <c r="A78" s="105"/>
      <c r="B78" s="107" t="s">
        <v>427</v>
      </c>
      <c r="C78" s="444" t="s">
        <v>149</v>
      </c>
      <c r="D78" s="444"/>
      <c r="E78" s="444"/>
      <c r="F78" s="444"/>
      <c r="G78" s="444"/>
      <c r="H78" s="444"/>
      <c r="I78" s="444"/>
      <c r="J78" s="444"/>
      <c r="K78" s="444"/>
      <c r="L78" s="444"/>
      <c r="M78" s="444"/>
      <c r="N78" s="445"/>
    </row>
    <row r="79" spans="1:14" x14ac:dyDescent="0.2">
      <c r="A79" s="105"/>
      <c r="B79" s="107"/>
      <c r="C79" s="444"/>
      <c r="D79" s="444"/>
      <c r="E79" s="444"/>
      <c r="F79" s="444"/>
      <c r="G79" s="444"/>
      <c r="H79" s="444"/>
      <c r="I79" s="444"/>
      <c r="J79" s="444"/>
      <c r="K79" s="444"/>
      <c r="L79" s="444"/>
      <c r="M79" s="444"/>
      <c r="N79" s="445"/>
    </row>
    <row r="80" spans="1:14" x14ac:dyDescent="0.2">
      <c r="A80" s="105"/>
      <c r="B80" s="107"/>
      <c r="C80" s="444"/>
      <c r="D80" s="444"/>
      <c r="E80" s="444"/>
      <c r="F80" s="444"/>
      <c r="G80" s="444"/>
      <c r="H80" s="444"/>
      <c r="I80" s="444"/>
      <c r="J80" s="444"/>
      <c r="K80" s="444"/>
      <c r="L80" s="444"/>
      <c r="M80" s="444"/>
      <c r="N80" s="445"/>
    </row>
    <row r="81" spans="1:14" ht="13.5" thickBot="1" x14ac:dyDescent="0.25">
      <c r="A81" s="105"/>
      <c r="B81" s="98"/>
      <c r="C81" s="444"/>
      <c r="D81" s="444"/>
      <c r="E81" s="444"/>
      <c r="F81" s="444"/>
      <c r="G81" s="444"/>
      <c r="H81" s="444"/>
      <c r="I81" s="444"/>
      <c r="J81" s="444"/>
      <c r="K81" s="444"/>
      <c r="L81" s="444"/>
      <c r="M81" s="444"/>
      <c r="N81" s="445"/>
    </row>
    <row r="82" spans="1:14" ht="13.5" thickBot="1" x14ac:dyDescent="0.25">
      <c r="A82" s="119"/>
      <c r="B82" s="120" t="s">
        <v>263</v>
      </c>
      <c r="C82" s="120"/>
      <c r="D82" s="120"/>
      <c r="E82" s="121"/>
      <c r="F82" s="121"/>
      <c r="G82" s="121"/>
      <c r="H82" s="121"/>
      <c r="I82" s="121"/>
      <c r="J82" s="138" t="s">
        <v>1989</v>
      </c>
      <c r="K82" s="139"/>
      <c r="L82" s="139"/>
      <c r="M82" s="139"/>
      <c r="N82" s="139"/>
    </row>
    <row r="83" spans="1:14" x14ac:dyDescent="0.2">
      <c r="A83" s="101"/>
      <c r="B83" s="448" t="s">
        <v>67</v>
      </c>
      <c r="C83" s="448"/>
      <c r="D83" s="448"/>
      <c r="E83" s="103"/>
      <c r="F83" s="103" t="s">
        <v>1180</v>
      </c>
      <c r="G83" s="103" t="s">
        <v>68</v>
      </c>
      <c r="H83" s="103" t="s">
        <v>702</v>
      </c>
      <c r="I83" s="103"/>
      <c r="J83" s="89">
        <f>110/ATHENS!O1*ATHENS!O2</f>
        <v>224.48979591836735</v>
      </c>
      <c r="K83" s="89"/>
      <c r="L83" s="89"/>
      <c r="M83" s="113"/>
      <c r="N83" s="113"/>
    </row>
    <row r="84" spans="1:14" x14ac:dyDescent="0.2">
      <c r="A84" s="105"/>
      <c r="B84" s="443" t="s">
        <v>67</v>
      </c>
      <c r="C84" s="443"/>
      <c r="D84" s="443"/>
      <c r="E84" s="99"/>
      <c r="F84" s="99" t="s">
        <v>1181</v>
      </c>
      <c r="G84" s="99" t="s">
        <v>68</v>
      </c>
      <c r="H84" s="99" t="s">
        <v>702</v>
      </c>
      <c r="I84" s="99"/>
      <c r="J84" s="89">
        <f>60/ATHENS!O1*ATHENS!O2</f>
        <v>122.44897959183673</v>
      </c>
      <c r="K84" s="89"/>
      <c r="L84" s="89"/>
      <c r="M84" s="89"/>
      <c r="N84" s="89"/>
    </row>
    <row r="85" spans="1:14" ht="13.5" thickBot="1" x14ac:dyDescent="0.25">
      <c r="A85" s="108"/>
      <c r="B85" s="436" t="s">
        <v>67</v>
      </c>
      <c r="C85" s="436"/>
      <c r="D85" s="436"/>
      <c r="E85" s="110"/>
      <c r="F85" s="110" t="s">
        <v>1182</v>
      </c>
      <c r="G85" s="110" t="s">
        <v>68</v>
      </c>
      <c r="H85" s="110" t="s">
        <v>702</v>
      </c>
      <c r="I85" s="110"/>
      <c r="J85" s="94">
        <f>43.5/ATHENS!O1*ATHENS!O2</f>
        <v>88.775510204081641</v>
      </c>
      <c r="K85" s="94"/>
      <c r="L85" s="94"/>
      <c r="M85" s="94"/>
      <c r="N85" s="94"/>
    </row>
    <row r="86" spans="1:14" ht="13.5" thickBot="1" x14ac:dyDescent="0.25">
      <c r="A86" s="97"/>
      <c r="B86" s="123"/>
      <c r="C86" s="123"/>
      <c r="D86" s="123"/>
      <c r="E86" s="124"/>
      <c r="F86" s="124"/>
      <c r="G86" s="124"/>
      <c r="H86" s="124"/>
      <c r="I86" s="124"/>
      <c r="J86" s="124"/>
      <c r="K86" s="124"/>
      <c r="L86" s="124"/>
      <c r="M86" s="124"/>
      <c r="N86" s="124"/>
    </row>
    <row r="87" spans="1:14" ht="13.5" thickBot="1" x14ac:dyDescent="0.25">
      <c r="A87" s="101"/>
      <c r="B87" s="102"/>
      <c r="C87" s="102"/>
      <c r="D87" s="102"/>
      <c r="E87" s="103"/>
      <c r="F87" s="103"/>
      <c r="G87" s="103"/>
      <c r="H87" s="103"/>
      <c r="I87" s="103"/>
      <c r="J87" s="103"/>
      <c r="K87" s="103"/>
      <c r="L87" s="103"/>
      <c r="M87" s="103"/>
      <c r="N87" s="104"/>
    </row>
    <row r="88" spans="1:14" ht="15.75" thickBot="1" x14ac:dyDescent="0.25">
      <c r="A88" s="105"/>
      <c r="B88" s="459" t="s">
        <v>637</v>
      </c>
      <c r="C88" s="460"/>
      <c r="D88" s="460"/>
      <c r="E88" s="460"/>
      <c r="F88" s="460"/>
      <c r="G88" s="460"/>
      <c r="H88" s="460"/>
      <c r="I88" s="460"/>
      <c r="J88" s="460"/>
      <c r="K88" s="460"/>
      <c r="L88" s="460"/>
      <c r="M88" s="461"/>
      <c r="N88" s="106" t="s">
        <v>96</v>
      </c>
    </row>
    <row r="89" spans="1:14" x14ac:dyDescent="0.2">
      <c r="A89" s="105"/>
      <c r="B89" s="107" t="s">
        <v>428</v>
      </c>
      <c r="C89" s="98" t="s">
        <v>1451</v>
      </c>
      <c r="D89" s="98"/>
      <c r="E89" s="99"/>
      <c r="F89" s="99"/>
      <c r="G89" s="99"/>
      <c r="H89" s="99"/>
      <c r="I89" s="99"/>
      <c r="J89" s="99"/>
      <c r="K89" s="99"/>
      <c r="L89" s="99"/>
      <c r="M89" s="99"/>
      <c r="N89" s="90"/>
    </row>
    <row r="90" spans="1:14" x14ac:dyDescent="0.2">
      <c r="A90" s="105"/>
      <c r="B90" s="107" t="s">
        <v>429</v>
      </c>
      <c r="C90" s="98" t="s">
        <v>715</v>
      </c>
      <c r="D90" s="98"/>
      <c r="E90" s="99"/>
      <c r="F90" s="99"/>
      <c r="G90" s="99"/>
      <c r="H90" s="99"/>
      <c r="I90" s="99"/>
      <c r="J90" s="99"/>
      <c r="K90" s="99"/>
      <c r="L90" s="99"/>
      <c r="M90" s="99"/>
      <c r="N90" s="90"/>
    </row>
    <row r="91" spans="1:14" x14ac:dyDescent="0.2">
      <c r="A91" s="105"/>
      <c r="B91" s="107" t="s">
        <v>427</v>
      </c>
      <c r="C91" s="444" t="s">
        <v>1452</v>
      </c>
      <c r="D91" s="444"/>
      <c r="E91" s="444"/>
      <c r="F91" s="444"/>
      <c r="G91" s="444"/>
      <c r="H91" s="444"/>
      <c r="I91" s="444"/>
      <c r="J91" s="444"/>
      <c r="K91" s="444"/>
      <c r="L91" s="444"/>
      <c r="M91" s="444"/>
      <c r="N91" s="445"/>
    </row>
    <row r="92" spans="1:14" x14ac:dyDescent="0.2">
      <c r="A92" s="105"/>
      <c r="B92" s="107"/>
      <c r="C92" s="444"/>
      <c r="D92" s="444"/>
      <c r="E92" s="444"/>
      <c r="F92" s="444"/>
      <c r="G92" s="444"/>
      <c r="H92" s="444"/>
      <c r="I92" s="444"/>
      <c r="J92" s="444"/>
      <c r="K92" s="444"/>
      <c r="L92" s="444"/>
      <c r="M92" s="444"/>
      <c r="N92" s="445"/>
    </row>
    <row r="93" spans="1:14" x14ac:dyDescent="0.2">
      <c r="A93" s="105"/>
      <c r="B93" s="98"/>
      <c r="C93" s="444"/>
      <c r="D93" s="444"/>
      <c r="E93" s="444"/>
      <c r="F93" s="444"/>
      <c r="G93" s="444"/>
      <c r="H93" s="444"/>
      <c r="I93" s="444"/>
      <c r="J93" s="444"/>
      <c r="K93" s="444"/>
      <c r="L93" s="444"/>
      <c r="M93" s="444"/>
      <c r="N93" s="445"/>
    </row>
    <row r="94" spans="1:14" x14ac:dyDescent="0.2">
      <c r="A94" s="105"/>
      <c r="B94" s="107" t="s">
        <v>426</v>
      </c>
      <c r="C94" s="98"/>
      <c r="D94" s="98"/>
      <c r="E94" s="99"/>
      <c r="F94" s="99"/>
      <c r="G94" s="99"/>
      <c r="H94" s="99"/>
      <c r="I94" s="99"/>
      <c r="J94" s="99"/>
      <c r="K94" s="99"/>
      <c r="L94" s="99"/>
      <c r="M94" s="99"/>
      <c r="N94" s="90"/>
    </row>
    <row r="95" spans="1:14" ht="13.5" thickBot="1" x14ac:dyDescent="0.25">
      <c r="A95" s="108"/>
      <c r="B95" s="107" t="s">
        <v>430</v>
      </c>
      <c r="C95" s="109"/>
      <c r="D95" s="109"/>
      <c r="E95" s="110"/>
      <c r="F95" s="110"/>
      <c r="G95" s="110"/>
      <c r="H95" s="110"/>
      <c r="I95" s="110"/>
      <c r="J95" s="110"/>
      <c r="K95" s="110"/>
      <c r="L95" s="110"/>
      <c r="M95" s="110"/>
      <c r="N95" s="93"/>
    </row>
    <row r="96" spans="1:14" ht="13.5" thickBot="1" x14ac:dyDescent="0.25">
      <c r="A96" s="108"/>
      <c r="B96" s="120" t="s">
        <v>263</v>
      </c>
      <c r="C96" s="109"/>
      <c r="D96" s="109"/>
      <c r="E96" s="110"/>
      <c r="F96" s="110"/>
      <c r="G96" s="110"/>
      <c r="H96" s="110"/>
      <c r="I96" s="110"/>
      <c r="J96" s="112" t="s">
        <v>1177</v>
      </c>
      <c r="K96" s="94"/>
      <c r="L96" s="94"/>
      <c r="M96" s="94"/>
      <c r="N96" s="94"/>
    </row>
    <row r="97" spans="1:14" x14ac:dyDescent="0.2">
      <c r="A97" s="101"/>
      <c r="B97" s="448" t="s">
        <v>67</v>
      </c>
      <c r="C97" s="448"/>
      <c r="D97" s="448"/>
      <c r="E97" s="103"/>
      <c r="F97" s="103" t="s">
        <v>1180</v>
      </c>
      <c r="G97" s="103" t="s">
        <v>68</v>
      </c>
      <c r="H97" s="103" t="s">
        <v>702</v>
      </c>
      <c r="I97" s="103"/>
      <c r="J97" s="89">
        <f>84/ATHENS!O1*ATHENS!O2</f>
        <v>171.42857142857144</v>
      </c>
      <c r="K97" s="89"/>
      <c r="L97" s="89"/>
      <c r="M97" s="113"/>
      <c r="N97" s="113"/>
    </row>
    <row r="98" spans="1:14" x14ac:dyDescent="0.2">
      <c r="A98" s="105"/>
      <c r="B98" s="443" t="s">
        <v>67</v>
      </c>
      <c r="C98" s="443"/>
      <c r="D98" s="443"/>
      <c r="E98" s="99"/>
      <c r="F98" s="99" t="s">
        <v>1181</v>
      </c>
      <c r="G98" s="99" t="s">
        <v>68</v>
      </c>
      <c r="H98" s="99" t="s">
        <v>702</v>
      </c>
      <c r="I98" s="99"/>
      <c r="J98" s="89">
        <f>46.5/ATHENS!O1*ATHENS!O2</f>
        <v>94.897959183673464</v>
      </c>
      <c r="K98" s="89"/>
      <c r="L98" s="89"/>
      <c r="M98" s="89"/>
      <c r="N98" s="89"/>
    </row>
    <row r="99" spans="1:14" ht="13.5" thickBot="1" x14ac:dyDescent="0.25">
      <c r="A99" s="108"/>
      <c r="B99" s="436" t="s">
        <v>67</v>
      </c>
      <c r="C99" s="436"/>
      <c r="D99" s="436"/>
      <c r="E99" s="110"/>
      <c r="F99" s="110" t="s">
        <v>1182</v>
      </c>
      <c r="G99" s="110" t="s">
        <v>68</v>
      </c>
      <c r="H99" s="110" t="s">
        <v>702</v>
      </c>
      <c r="I99" s="110"/>
      <c r="J99" s="94">
        <f>36.8/ATHENS!O1*ATHENS!O2</f>
        <v>75.102040816326522</v>
      </c>
      <c r="K99" s="94"/>
      <c r="L99" s="94"/>
      <c r="M99" s="94"/>
      <c r="N99" s="94"/>
    </row>
    <row r="100" spans="1:14" ht="13.5" thickBot="1" x14ac:dyDescent="0.25">
      <c r="A100" s="97"/>
      <c r="B100" s="123"/>
      <c r="C100" s="123"/>
      <c r="D100" s="123"/>
      <c r="E100" s="124"/>
      <c r="F100" s="124"/>
      <c r="G100" s="124"/>
      <c r="H100" s="124"/>
      <c r="I100" s="124"/>
      <c r="J100" s="124"/>
      <c r="K100" s="124"/>
      <c r="L100" s="124"/>
      <c r="M100" s="124"/>
      <c r="N100" s="124"/>
    </row>
    <row r="101" spans="1:14" ht="13.5" thickBot="1" x14ac:dyDescent="0.25">
      <c r="A101" s="101"/>
      <c r="B101" s="102"/>
      <c r="C101" s="102"/>
      <c r="D101" s="102"/>
      <c r="E101" s="103"/>
      <c r="F101" s="103"/>
      <c r="G101" s="103"/>
      <c r="H101" s="103"/>
      <c r="I101" s="103"/>
      <c r="J101" s="103"/>
      <c r="K101" s="103"/>
      <c r="L101" s="103"/>
      <c r="M101" s="103"/>
      <c r="N101" s="104"/>
    </row>
    <row r="102" spans="1:14" ht="15.75" thickBot="1" x14ac:dyDescent="0.25">
      <c r="A102" s="105"/>
      <c r="B102" s="459" t="s">
        <v>638</v>
      </c>
      <c r="C102" s="460"/>
      <c r="D102" s="460"/>
      <c r="E102" s="460"/>
      <c r="F102" s="460"/>
      <c r="G102" s="460"/>
      <c r="H102" s="460"/>
      <c r="I102" s="460"/>
      <c r="J102" s="460"/>
      <c r="K102" s="460"/>
      <c r="L102" s="460"/>
      <c r="M102" s="461"/>
      <c r="N102" s="106" t="s">
        <v>96</v>
      </c>
    </row>
    <row r="103" spans="1:14" x14ac:dyDescent="0.2">
      <c r="A103" s="105"/>
      <c r="B103" s="107" t="s">
        <v>428</v>
      </c>
      <c r="C103" s="98" t="s">
        <v>1453</v>
      </c>
      <c r="D103" s="98"/>
      <c r="E103" s="99"/>
      <c r="F103" s="99"/>
      <c r="G103" s="99"/>
      <c r="H103" s="99"/>
      <c r="I103" s="99"/>
      <c r="J103" s="99"/>
      <c r="K103" s="99"/>
      <c r="L103" s="99"/>
      <c r="M103" s="99"/>
      <c r="N103" s="90"/>
    </row>
    <row r="104" spans="1:14" x14ac:dyDescent="0.2">
      <c r="A104" s="105"/>
      <c r="B104" s="107" t="s">
        <v>429</v>
      </c>
      <c r="C104" s="98" t="s">
        <v>716</v>
      </c>
      <c r="D104" s="98"/>
      <c r="E104" s="99"/>
      <c r="F104" s="99"/>
      <c r="G104" s="99"/>
      <c r="H104" s="99"/>
      <c r="I104" s="99"/>
      <c r="J104" s="99"/>
      <c r="K104" s="99"/>
      <c r="L104" s="99"/>
      <c r="M104" s="99"/>
      <c r="N104" s="90"/>
    </row>
    <row r="105" spans="1:14" x14ac:dyDescent="0.2">
      <c r="A105" s="105"/>
      <c r="B105" s="107" t="s">
        <v>427</v>
      </c>
      <c r="C105" s="444" t="s">
        <v>552</v>
      </c>
      <c r="D105" s="444"/>
      <c r="E105" s="444"/>
      <c r="F105" s="444"/>
      <c r="G105" s="444"/>
      <c r="H105" s="444"/>
      <c r="I105" s="444"/>
      <c r="J105" s="444"/>
      <c r="K105" s="444"/>
      <c r="L105" s="444"/>
      <c r="M105" s="444"/>
      <c r="N105" s="445"/>
    </row>
    <row r="106" spans="1:14" ht="13.5" thickBot="1" x14ac:dyDescent="0.25">
      <c r="A106" s="105"/>
      <c r="B106" s="98"/>
      <c r="C106" s="444"/>
      <c r="D106" s="444"/>
      <c r="E106" s="444"/>
      <c r="F106" s="444"/>
      <c r="G106" s="444"/>
      <c r="H106" s="444"/>
      <c r="I106" s="444"/>
      <c r="J106" s="444"/>
      <c r="K106" s="444"/>
      <c r="L106" s="444"/>
      <c r="M106" s="444"/>
      <c r="N106" s="445"/>
    </row>
    <row r="107" spans="1:14" ht="13.5" thickBot="1" x14ac:dyDescent="0.25">
      <c r="A107" s="119"/>
      <c r="B107" s="120" t="s">
        <v>263</v>
      </c>
      <c r="C107" s="120"/>
      <c r="D107" s="120"/>
      <c r="E107" s="121"/>
      <c r="F107" s="121"/>
      <c r="G107" s="121"/>
      <c r="H107" s="121"/>
      <c r="I107" s="121"/>
      <c r="J107" s="138" t="s">
        <v>229</v>
      </c>
      <c r="K107" s="139"/>
      <c r="L107" s="139"/>
      <c r="M107" s="139"/>
      <c r="N107" s="139"/>
    </row>
    <row r="108" spans="1:14" x14ac:dyDescent="0.2">
      <c r="A108" s="101"/>
      <c r="B108" s="448" t="s">
        <v>67</v>
      </c>
      <c r="C108" s="448"/>
      <c r="D108" s="448"/>
      <c r="E108" s="103"/>
      <c r="F108" s="103" t="s">
        <v>1180</v>
      </c>
      <c r="G108" s="103" t="s">
        <v>68</v>
      </c>
      <c r="H108" s="103" t="s">
        <v>702</v>
      </c>
      <c r="I108" s="103"/>
      <c r="J108" s="89">
        <f>70/ATHENS!O1*ATHENS!O2</f>
        <v>142.85714285714286</v>
      </c>
      <c r="K108" s="89"/>
      <c r="L108" s="89"/>
      <c r="M108" s="113"/>
      <c r="N108" s="113"/>
    </row>
    <row r="109" spans="1:14" x14ac:dyDescent="0.2">
      <c r="A109" s="105"/>
      <c r="B109" s="443" t="s">
        <v>67</v>
      </c>
      <c r="C109" s="443"/>
      <c r="D109" s="443"/>
      <c r="E109" s="99"/>
      <c r="F109" s="99" t="s">
        <v>1181</v>
      </c>
      <c r="G109" s="99" t="s">
        <v>68</v>
      </c>
      <c r="H109" s="99" t="s">
        <v>702</v>
      </c>
      <c r="I109" s="99"/>
      <c r="J109" s="89">
        <f>40/ATHENS!O1*ATHENS!O2</f>
        <v>81.632653061224488</v>
      </c>
      <c r="K109" s="89"/>
      <c r="L109" s="89"/>
      <c r="M109" s="89"/>
      <c r="N109" s="89"/>
    </row>
    <row r="110" spans="1:14" ht="13.5" thickBot="1" x14ac:dyDescent="0.25">
      <c r="A110" s="108"/>
      <c r="B110" s="436" t="s">
        <v>67</v>
      </c>
      <c r="C110" s="436"/>
      <c r="D110" s="436"/>
      <c r="E110" s="110"/>
      <c r="F110" s="110" t="s">
        <v>1182</v>
      </c>
      <c r="G110" s="110" t="s">
        <v>68</v>
      </c>
      <c r="H110" s="110" t="s">
        <v>702</v>
      </c>
      <c r="I110" s="110"/>
      <c r="J110" s="94">
        <f>30/ATHENS!O1*ATHENS!O2</f>
        <v>61.224489795918366</v>
      </c>
      <c r="K110" s="94"/>
      <c r="L110" s="94"/>
      <c r="M110" s="94"/>
      <c r="N110" s="94"/>
    </row>
    <row r="111" spans="1:14" x14ac:dyDescent="0.2">
      <c r="A111" s="97"/>
      <c r="B111" s="98"/>
      <c r="C111" s="98"/>
      <c r="D111" s="98"/>
      <c r="E111" s="99"/>
      <c r="F111" s="99"/>
      <c r="G111" s="99"/>
      <c r="H111" s="99"/>
      <c r="I111" s="99"/>
      <c r="J111" s="99"/>
      <c r="K111" s="99"/>
      <c r="L111" s="99"/>
      <c r="M111" s="99"/>
      <c r="N111" s="99"/>
    </row>
    <row r="112" spans="1:14" x14ac:dyDescent="0.2">
      <c r="A112" s="97"/>
      <c r="B112" s="98"/>
      <c r="C112" s="98"/>
      <c r="D112" s="98"/>
      <c r="E112" s="99"/>
      <c r="F112" s="99"/>
      <c r="G112" s="99"/>
      <c r="H112" s="99"/>
      <c r="I112" s="99"/>
      <c r="J112" s="99"/>
      <c r="K112" s="99"/>
      <c r="L112" s="99"/>
      <c r="M112" s="99"/>
      <c r="N112" s="99"/>
    </row>
    <row r="113" spans="1:14" x14ac:dyDescent="0.2">
      <c r="A113" s="97"/>
      <c r="B113" s="98"/>
      <c r="C113" s="98"/>
      <c r="D113" s="98"/>
      <c r="E113" s="99"/>
      <c r="F113" s="99"/>
      <c r="G113" s="99"/>
      <c r="H113" s="99"/>
      <c r="I113" s="99"/>
      <c r="J113" s="99"/>
      <c r="K113" s="99"/>
      <c r="L113" s="99"/>
      <c r="M113" s="99"/>
      <c r="N113" s="99"/>
    </row>
    <row r="114" spans="1:14" x14ac:dyDescent="0.2">
      <c r="A114" s="97"/>
      <c r="B114" s="98"/>
      <c r="C114" s="98"/>
      <c r="D114" s="98"/>
      <c r="E114" s="99"/>
      <c r="F114" s="99"/>
      <c r="G114" s="99"/>
      <c r="H114" s="99"/>
      <c r="I114" s="99"/>
      <c r="J114" s="99"/>
      <c r="K114" s="99"/>
      <c r="L114" s="99"/>
      <c r="M114" s="99"/>
      <c r="N114" s="99"/>
    </row>
    <row r="115" spans="1:14" ht="13.5" thickBot="1" x14ac:dyDescent="0.25">
      <c r="A115" s="97"/>
      <c r="B115" s="123"/>
      <c r="C115" s="123"/>
      <c r="D115" s="123"/>
      <c r="E115" s="124"/>
      <c r="F115" s="124"/>
      <c r="G115" s="124"/>
      <c r="H115" s="124"/>
      <c r="I115" s="124"/>
      <c r="J115" s="124"/>
      <c r="K115" s="124"/>
      <c r="L115" s="124"/>
      <c r="M115" s="124"/>
      <c r="N115" s="124"/>
    </row>
    <row r="116" spans="1:14" ht="13.5" thickBot="1" x14ac:dyDescent="0.25">
      <c r="A116" s="101"/>
      <c r="B116" s="102"/>
      <c r="C116" s="102"/>
      <c r="D116" s="102"/>
      <c r="E116" s="103"/>
      <c r="F116" s="103"/>
      <c r="G116" s="103"/>
      <c r="H116" s="103"/>
      <c r="I116" s="103"/>
      <c r="J116" s="103"/>
      <c r="K116" s="103"/>
      <c r="L116" s="103"/>
      <c r="M116" s="103"/>
      <c r="N116" s="104"/>
    </row>
    <row r="117" spans="1:14" ht="15.75" thickBot="1" x14ac:dyDescent="0.25">
      <c r="A117" s="105"/>
      <c r="B117" s="459" t="s">
        <v>553</v>
      </c>
      <c r="C117" s="460"/>
      <c r="D117" s="460"/>
      <c r="E117" s="460"/>
      <c r="F117" s="460"/>
      <c r="G117" s="460"/>
      <c r="H117" s="460"/>
      <c r="I117" s="460"/>
      <c r="J117" s="460"/>
      <c r="K117" s="460"/>
      <c r="L117" s="460"/>
      <c r="M117" s="461"/>
      <c r="N117" s="106" t="s">
        <v>96</v>
      </c>
    </row>
    <row r="118" spans="1:14" x14ac:dyDescent="0.2">
      <c r="A118" s="105"/>
      <c r="B118" s="107" t="s">
        <v>428</v>
      </c>
      <c r="C118" s="98" t="s">
        <v>554</v>
      </c>
      <c r="D118" s="98"/>
      <c r="E118" s="99"/>
      <c r="F118" s="99"/>
      <c r="G118" s="99"/>
      <c r="H118" s="99"/>
      <c r="I118" s="99"/>
      <c r="J118" s="99"/>
      <c r="K118" s="99"/>
      <c r="L118" s="99"/>
      <c r="M118" s="99"/>
      <c r="N118" s="90"/>
    </row>
    <row r="119" spans="1:14" x14ac:dyDescent="0.2">
      <c r="A119" s="105"/>
      <c r="B119" s="107" t="s">
        <v>429</v>
      </c>
      <c r="C119" s="98" t="s">
        <v>717</v>
      </c>
      <c r="D119" s="98"/>
      <c r="E119" s="99"/>
      <c r="F119" s="99"/>
      <c r="G119" s="99"/>
      <c r="H119" s="99"/>
      <c r="I119" s="99"/>
      <c r="J119" s="99"/>
      <c r="K119" s="99"/>
      <c r="L119" s="99"/>
      <c r="M119" s="99"/>
      <c r="N119" s="90"/>
    </row>
    <row r="120" spans="1:14" x14ac:dyDescent="0.2">
      <c r="A120" s="105"/>
      <c r="B120" s="107" t="s">
        <v>427</v>
      </c>
      <c r="C120" s="444" t="s">
        <v>555</v>
      </c>
      <c r="D120" s="444"/>
      <c r="E120" s="444"/>
      <c r="F120" s="444"/>
      <c r="G120" s="444"/>
      <c r="H120" s="444"/>
      <c r="I120" s="444"/>
      <c r="J120" s="444"/>
      <c r="K120" s="444"/>
      <c r="L120" s="444"/>
      <c r="M120" s="444"/>
      <c r="N120" s="445"/>
    </row>
    <row r="121" spans="1:14" x14ac:dyDescent="0.2">
      <c r="A121" s="105"/>
      <c r="B121" s="107"/>
      <c r="C121" s="444"/>
      <c r="D121" s="444"/>
      <c r="E121" s="444"/>
      <c r="F121" s="444"/>
      <c r="G121" s="444"/>
      <c r="H121" s="444"/>
      <c r="I121" s="444"/>
      <c r="J121" s="444"/>
      <c r="K121" s="444"/>
      <c r="L121" s="444"/>
      <c r="M121" s="444"/>
      <c r="N121" s="445"/>
    </row>
    <row r="122" spans="1:14" x14ac:dyDescent="0.2">
      <c r="A122" s="105"/>
      <c r="B122" s="98"/>
      <c r="C122" s="444"/>
      <c r="D122" s="444"/>
      <c r="E122" s="444"/>
      <c r="F122" s="444"/>
      <c r="G122" s="444"/>
      <c r="H122" s="444"/>
      <c r="I122" s="444"/>
      <c r="J122" s="444"/>
      <c r="K122" s="444"/>
      <c r="L122" s="444"/>
      <c r="M122" s="444"/>
      <c r="N122" s="445"/>
    </row>
    <row r="123" spans="1:14" x14ac:dyDescent="0.2">
      <c r="A123" s="105"/>
      <c r="B123" s="107" t="s">
        <v>426</v>
      </c>
      <c r="C123" s="98"/>
      <c r="D123" s="98"/>
      <c r="E123" s="99"/>
      <c r="F123" s="99"/>
      <c r="G123" s="99"/>
      <c r="H123" s="99"/>
      <c r="I123" s="99"/>
      <c r="J123" s="99"/>
      <c r="K123" s="99"/>
      <c r="L123" s="99"/>
      <c r="M123" s="99"/>
      <c r="N123" s="90"/>
    </row>
    <row r="124" spans="1:14" ht="13.5" thickBot="1" x14ac:dyDescent="0.25">
      <c r="A124" s="108"/>
      <c r="B124" s="107" t="s">
        <v>430</v>
      </c>
      <c r="C124" s="109"/>
      <c r="D124" s="109"/>
      <c r="E124" s="110"/>
      <c r="F124" s="110"/>
      <c r="G124" s="110"/>
      <c r="H124" s="110"/>
      <c r="I124" s="110"/>
      <c r="J124" s="110"/>
      <c r="K124" s="110"/>
      <c r="L124" s="110"/>
      <c r="M124" s="110"/>
      <c r="N124" s="93"/>
    </row>
    <row r="125" spans="1:14" ht="13.5" thickBot="1" x14ac:dyDescent="0.25">
      <c r="A125" s="108"/>
      <c r="B125" s="120" t="s">
        <v>263</v>
      </c>
      <c r="C125" s="109"/>
      <c r="D125" s="109"/>
      <c r="E125" s="110"/>
      <c r="F125" s="110"/>
      <c r="G125" s="110"/>
      <c r="H125" s="110"/>
      <c r="I125" s="110"/>
      <c r="J125" s="112" t="s">
        <v>1177</v>
      </c>
      <c r="K125" s="94"/>
      <c r="L125" s="94"/>
      <c r="M125" s="94"/>
      <c r="N125" s="94"/>
    </row>
    <row r="126" spans="1:14" x14ac:dyDescent="0.2">
      <c r="A126" s="101"/>
      <c r="B126" s="448" t="s">
        <v>67</v>
      </c>
      <c r="C126" s="448"/>
      <c r="D126" s="448"/>
      <c r="E126" s="103"/>
      <c r="F126" s="103" t="s">
        <v>1180</v>
      </c>
      <c r="G126" s="103" t="s">
        <v>68</v>
      </c>
      <c r="H126" s="103" t="s">
        <v>702</v>
      </c>
      <c r="I126" s="103"/>
      <c r="J126" s="89">
        <f>95/ATHENS!O1*ATHENS!O2</f>
        <v>193.87755102040816</v>
      </c>
      <c r="K126" s="89"/>
      <c r="L126" s="89"/>
      <c r="M126" s="113"/>
      <c r="N126" s="113"/>
    </row>
    <row r="127" spans="1:14" x14ac:dyDescent="0.2">
      <c r="A127" s="105"/>
      <c r="B127" s="443" t="s">
        <v>67</v>
      </c>
      <c r="C127" s="443"/>
      <c r="D127" s="443"/>
      <c r="E127" s="99"/>
      <c r="F127" s="99" t="s">
        <v>1181</v>
      </c>
      <c r="G127" s="99" t="s">
        <v>68</v>
      </c>
      <c r="H127" s="99" t="s">
        <v>702</v>
      </c>
      <c r="I127" s="99"/>
      <c r="J127" s="89">
        <f>52.5/ATHENS!O1*ATHENS!O2</f>
        <v>107.14285714285714</v>
      </c>
      <c r="K127" s="89"/>
      <c r="L127" s="89"/>
      <c r="M127" s="89"/>
      <c r="N127" s="89"/>
    </row>
    <row r="128" spans="1:14" ht="13.5" thickBot="1" x14ac:dyDescent="0.25">
      <c r="A128" s="108"/>
      <c r="B128" s="436"/>
      <c r="C128" s="436"/>
      <c r="D128" s="436"/>
      <c r="E128" s="110"/>
      <c r="F128" s="110"/>
      <c r="G128" s="110"/>
      <c r="H128" s="110"/>
      <c r="I128" s="110"/>
      <c r="J128" s="94"/>
      <c r="K128" s="94"/>
      <c r="L128" s="94"/>
      <c r="M128" s="94"/>
      <c r="N128" s="94"/>
    </row>
    <row r="129" spans="1:14" ht="13.5" thickBot="1" x14ac:dyDescent="0.25">
      <c r="A129" s="97"/>
      <c r="B129" s="123"/>
      <c r="C129" s="123"/>
      <c r="D129" s="123"/>
      <c r="E129" s="124"/>
      <c r="F129" s="124"/>
      <c r="G129" s="124"/>
      <c r="H129" s="124"/>
      <c r="I129" s="124"/>
      <c r="J129" s="124"/>
      <c r="K129" s="124"/>
      <c r="L129" s="124"/>
      <c r="M129" s="124"/>
      <c r="N129" s="124"/>
    </row>
    <row r="130" spans="1:14" ht="13.5" thickBot="1" x14ac:dyDescent="0.25">
      <c r="A130" s="101"/>
      <c r="B130" s="102"/>
      <c r="C130" s="102"/>
      <c r="D130" s="102"/>
      <c r="E130" s="103"/>
      <c r="F130" s="103"/>
      <c r="G130" s="103"/>
      <c r="H130" s="103"/>
      <c r="I130" s="103"/>
      <c r="J130" s="103"/>
      <c r="K130" s="103"/>
      <c r="L130" s="103"/>
      <c r="M130" s="103"/>
      <c r="N130" s="104"/>
    </row>
    <row r="131" spans="1:14" ht="15.75" thickBot="1" x14ac:dyDescent="0.25">
      <c r="A131" s="105"/>
      <c r="B131" s="459" t="s">
        <v>639</v>
      </c>
      <c r="C131" s="460"/>
      <c r="D131" s="460"/>
      <c r="E131" s="460"/>
      <c r="F131" s="460"/>
      <c r="G131" s="460"/>
      <c r="H131" s="460"/>
      <c r="I131" s="460"/>
      <c r="J131" s="460"/>
      <c r="K131" s="460"/>
      <c r="L131" s="460"/>
      <c r="M131" s="461"/>
      <c r="N131" s="106" t="s">
        <v>96</v>
      </c>
    </row>
    <row r="132" spans="1:14" x14ac:dyDescent="0.2">
      <c r="A132" s="105"/>
      <c r="B132" s="107" t="s">
        <v>428</v>
      </c>
      <c r="C132" s="98" t="s">
        <v>80</v>
      </c>
      <c r="D132" s="98"/>
      <c r="E132" s="99"/>
      <c r="F132" s="99"/>
      <c r="G132" s="99"/>
      <c r="H132" s="99"/>
      <c r="I132" s="99"/>
      <c r="J132" s="99"/>
      <c r="K132" s="99"/>
      <c r="L132" s="99"/>
      <c r="M132" s="99"/>
      <c r="N132" s="90"/>
    </row>
    <row r="133" spans="1:14" x14ac:dyDescent="0.2">
      <c r="A133" s="105"/>
      <c r="B133" s="107" t="s">
        <v>429</v>
      </c>
      <c r="C133" s="98" t="s">
        <v>718</v>
      </c>
      <c r="D133" s="98"/>
      <c r="E133" s="99"/>
      <c r="F133" s="99"/>
      <c r="G133" s="99"/>
      <c r="H133" s="99"/>
      <c r="I133" s="99"/>
      <c r="J133" s="99"/>
      <c r="K133" s="99"/>
      <c r="L133" s="99"/>
      <c r="M133" s="99"/>
      <c r="N133" s="90"/>
    </row>
    <row r="134" spans="1:14" x14ac:dyDescent="0.2">
      <c r="A134" s="105"/>
      <c r="B134" s="107" t="s">
        <v>427</v>
      </c>
      <c r="C134" s="444" t="s">
        <v>1367</v>
      </c>
      <c r="D134" s="444"/>
      <c r="E134" s="444"/>
      <c r="F134" s="444"/>
      <c r="G134" s="444"/>
      <c r="H134" s="444"/>
      <c r="I134" s="444"/>
      <c r="J134" s="444"/>
      <c r="K134" s="444"/>
      <c r="L134" s="444"/>
      <c r="M134" s="444"/>
      <c r="N134" s="445"/>
    </row>
    <row r="135" spans="1:14" x14ac:dyDescent="0.2">
      <c r="A135" s="105"/>
      <c r="B135" s="98"/>
      <c r="C135" s="444"/>
      <c r="D135" s="444"/>
      <c r="E135" s="444"/>
      <c r="F135" s="444"/>
      <c r="G135" s="444"/>
      <c r="H135" s="444"/>
      <c r="I135" s="444"/>
      <c r="J135" s="444"/>
      <c r="K135" s="444"/>
      <c r="L135" s="444"/>
      <c r="M135" s="444"/>
      <c r="N135" s="445"/>
    </row>
    <row r="136" spans="1:14" x14ac:dyDescent="0.2">
      <c r="A136" s="105"/>
      <c r="B136" s="107" t="s">
        <v>426</v>
      </c>
      <c r="C136" s="98"/>
      <c r="D136" s="98"/>
      <c r="E136" s="99"/>
      <c r="F136" s="99"/>
      <c r="G136" s="99"/>
      <c r="H136" s="99"/>
      <c r="I136" s="99"/>
      <c r="J136" s="99"/>
      <c r="K136" s="99"/>
      <c r="L136" s="99"/>
      <c r="M136" s="99"/>
      <c r="N136" s="90"/>
    </row>
    <row r="137" spans="1:14" ht="13.5" thickBot="1" x14ac:dyDescent="0.25">
      <c r="A137" s="108"/>
      <c r="B137" s="107" t="s">
        <v>430</v>
      </c>
      <c r="C137" s="109"/>
      <c r="D137" s="109"/>
      <c r="E137" s="110"/>
      <c r="F137" s="110"/>
      <c r="G137" s="110"/>
      <c r="H137" s="110"/>
      <c r="I137" s="110"/>
      <c r="J137" s="110"/>
      <c r="K137" s="110"/>
      <c r="L137" s="110"/>
      <c r="M137" s="110"/>
      <c r="N137" s="93"/>
    </row>
    <row r="138" spans="1:14" x14ac:dyDescent="0.2">
      <c r="A138" s="105"/>
      <c r="B138" s="102" t="s">
        <v>263</v>
      </c>
      <c r="C138" s="98"/>
      <c r="D138" s="98"/>
      <c r="E138" s="99"/>
      <c r="F138" s="99"/>
      <c r="G138" s="99"/>
      <c r="H138" s="99"/>
      <c r="I138" s="99"/>
      <c r="J138" s="111" t="s">
        <v>385</v>
      </c>
      <c r="K138" s="89"/>
      <c r="L138" s="89"/>
      <c r="M138" s="89"/>
      <c r="N138" s="89"/>
    </row>
    <row r="139" spans="1:14" ht="13.5" thickBot="1" x14ac:dyDescent="0.25">
      <c r="A139" s="108"/>
      <c r="B139" s="109"/>
      <c r="C139" s="109"/>
      <c r="D139" s="109"/>
      <c r="E139" s="110"/>
      <c r="F139" s="110"/>
      <c r="G139" s="110"/>
      <c r="H139" s="110"/>
      <c r="I139" s="110"/>
      <c r="J139" s="112" t="s">
        <v>1774</v>
      </c>
      <c r="K139" s="94" t="s">
        <v>1775</v>
      </c>
      <c r="L139" s="94"/>
      <c r="M139" s="94"/>
      <c r="N139" s="94"/>
    </row>
    <row r="140" spans="1:14" x14ac:dyDescent="0.2">
      <c r="A140" s="101"/>
      <c r="B140" s="448" t="s">
        <v>67</v>
      </c>
      <c r="C140" s="448"/>
      <c r="D140" s="448"/>
      <c r="E140" s="103"/>
      <c r="F140" s="103" t="s">
        <v>1180</v>
      </c>
      <c r="G140" s="103" t="s">
        <v>68</v>
      </c>
      <c r="H140" s="103" t="s">
        <v>702</v>
      </c>
      <c r="I140" s="103"/>
      <c r="J140" s="89">
        <f>52/ATHENS!O1*ATHENS!O2</f>
        <v>106.12244897959184</v>
      </c>
      <c r="K140" s="89">
        <f>50/ATHENS!O1*ATHENS!O2</f>
        <v>102.04081632653062</v>
      </c>
      <c r="L140" s="89"/>
      <c r="M140" s="113"/>
      <c r="N140" s="113"/>
    </row>
    <row r="141" spans="1:14" x14ac:dyDescent="0.2">
      <c r="A141" s="105"/>
      <c r="B141" s="443" t="s">
        <v>67</v>
      </c>
      <c r="C141" s="443"/>
      <c r="D141" s="443"/>
      <c r="E141" s="99"/>
      <c r="F141" s="99" t="s">
        <v>1181</v>
      </c>
      <c r="G141" s="99" t="s">
        <v>68</v>
      </c>
      <c r="H141" s="99" t="s">
        <v>702</v>
      </c>
      <c r="I141" s="99"/>
      <c r="J141" s="89">
        <f>28/ATHENS!O1*ATHENS!O2</f>
        <v>57.142857142857146</v>
      </c>
      <c r="K141" s="89">
        <f>27/ATHENS!O1*ATHENS!O2</f>
        <v>55.102040816326529</v>
      </c>
      <c r="L141" s="89"/>
      <c r="M141" s="89"/>
      <c r="N141" s="89"/>
    </row>
    <row r="142" spans="1:14" ht="13.5" thickBot="1" x14ac:dyDescent="0.25">
      <c r="A142" s="108"/>
      <c r="B142" s="436" t="s">
        <v>67</v>
      </c>
      <c r="C142" s="436"/>
      <c r="D142" s="436"/>
      <c r="E142" s="110"/>
      <c r="F142" s="110" t="s">
        <v>1182</v>
      </c>
      <c r="G142" s="110" t="s">
        <v>68</v>
      </c>
      <c r="H142" s="110" t="s">
        <v>702</v>
      </c>
      <c r="I142" s="110"/>
      <c r="J142" s="94">
        <f>21.6/ATHENS!O1*ATHENS!O2</f>
        <v>44.081632653061227</v>
      </c>
      <c r="K142" s="94">
        <f>20.6/ATHENS!O1*ATHENS!O2</f>
        <v>42.040816326530617</v>
      </c>
      <c r="L142" s="94"/>
      <c r="M142" s="94"/>
      <c r="N142" s="94"/>
    </row>
    <row r="143" spans="1:14" ht="13.5" thickBot="1" x14ac:dyDescent="0.25">
      <c r="A143" s="97"/>
      <c r="B143" s="123"/>
      <c r="C143" s="123"/>
      <c r="D143" s="123"/>
      <c r="E143" s="124"/>
      <c r="F143" s="124"/>
      <c r="G143" s="124"/>
      <c r="H143" s="124"/>
      <c r="I143" s="124"/>
      <c r="J143" s="124"/>
      <c r="K143" s="124"/>
      <c r="L143" s="124"/>
      <c r="M143" s="124"/>
      <c r="N143" s="124"/>
    </row>
    <row r="144" spans="1:14" ht="13.5" thickBot="1" x14ac:dyDescent="0.25">
      <c r="A144" s="101"/>
      <c r="B144" s="102"/>
      <c r="C144" s="102"/>
      <c r="D144" s="102"/>
      <c r="E144" s="103"/>
      <c r="F144" s="103"/>
      <c r="G144" s="103"/>
      <c r="H144" s="103"/>
      <c r="I144" s="103"/>
      <c r="J144" s="103"/>
      <c r="K144" s="103"/>
      <c r="L144" s="103"/>
      <c r="M144" s="103"/>
      <c r="N144" s="104"/>
    </row>
    <row r="145" spans="1:14" ht="15.75" thickBot="1" x14ac:dyDescent="0.25">
      <c r="A145" s="105"/>
      <c r="B145" s="459" t="s">
        <v>640</v>
      </c>
      <c r="C145" s="460"/>
      <c r="D145" s="460"/>
      <c r="E145" s="460"/>
      <c r="F145" s="460"/>
      <c r="G145" s="460"/>
      <c r="H145" s="460"/>
      <c r="I145" s="460"/>
      <c r="J145" s="460"/>
      <c r="K145" s="460"/>
      <c r="L145" s="460"/>
      <c r="M145" s="461"/>
      <c r="N145" s="106" t="s">
        <v>96</v>
      </c>
    </row>
    <row r="146" spans="1:14" x14ac:dyDescent="0.2">
      <c r="A146" s="105"/>
      <c r="B146" s="107" t="s">
        <v>428</v>
      </c>
      <c r="C146" s="98" t="s">
        <v>1368</v>
      </c>
      <c r="D146" s="98"/>
      <c r="E146" s="99"/>
      <c r="F146" s="99"/>
      <c r="G146" s="99"/>
      <c r="H146" s="99"/>
      <c r="I146" s="99"/>
      <c r="J146" s="99"/>
      <c r="K146" s="99"/>
      <c r="L146" s="99"/>
      <c r="M146" s="99"/>
      <c r="N146" s="90"/>
    </row>
    <row r="147" spans="1:14" x14ac:dyDescent="0.2">
      <c r="A147" s="105"/>
      <c r="B147" s="107" t="s">
        <v>429</v>
      </c>
      <c r="C147" s="98" t="s">
        <v>719</v>
      </c>
      <c r="D147" s="98"/>
      <c r="E147" s="99"/>
      <c r="F147" s="99"/>
      <c r="G147" s="99"/>
      <c r="H147" s="99"/>
      <c r="I147" s="99"/>
      <c r="J147" s="99"/>
      <c r="K147" s="99"/>
      <c r="L147" s="99"/>
      <c r="M147" s="99"/>
      <c r="N147" s="90"/>
    </row>
    <row r="148" spans="1:14" x14ac:dyDescent="0.2">
      <c r="A148" s="105"/>
      <c r="B148" s="107" t="s">
        <v>427</v>
      </c>
      <c r="C148" s="444" t="s">
        <v>1369</v>
      </c>
      <c r="D148" s="444"/>
      <c r="E148" s="444"/>
      <c r="F148" s="444"/>
      <c r="G148" s="444"/>
      <c r="H148" s="444"/>
      <c r="I148" s="444"/>
      <c r="J148" s="444"/>
      <c r="K148" s="444"/>
      <c r="L148" s="444"/>
      <c r="M148" s="444"/>
      <c r="N148" s="445"/>
    </row>
    <row r="149" spans="1:14" x14ac:dyDescent="0.2">
      <c r="A149" s="105"/>
      <c r="B149" s="107"/>
      <c r="C149" s="444"/>
      <c r="D149" s="444"/>
      <c r="E149" s="444"/>
      <c r="F149" s="444"/>
      <c r="G149" s="444"/>
      <c r="H149" s="444"/>
      <c r="I149" s="444"/>
      <c r="J149" s="444"/>
      <c r="K149" s="444"/>
      <c r="L149" s="444"/>
      <c r="M149" s="444"/>
      <c r="N149" s="445"/>
    </row>
    <row r="150" spans="1:14" ht="13.5" thickBot="1" x14ac:dyDescent="0.25">
      <c r="A150" s="105"/>
      <c r="B150" s="98"/>
      <c r="C150" s="444"/>
      <c r="D150" s="444"/>
      <c r="E150" s="444"/>
      <c r="F150" s="444"/>
      <c r="G150" s="444"/>
      <c r="H150" s="444"/>
      <c r="I150" s="444"/>
      <c r="J150" s="444"/>
      <c r="K150" s="444"/>
      <c r="L150" s="444"/>
      <c r="M150" s="444"/>
      <c r="N150" s="445"/>
    </row>
    <row r="151" spans="1:14" x14ac:dyDescent="0.2">
      <c r="A151" s="101"/>
      <c r="B151" s="102"/>
      <c r="C151" s="219"/>
      <c r="D151" s="219"/>
      <c r="E151" s="219"/>
      <c r="F151" s="219"/>
      <c r="G151" s="219"/>
      <c r="H151" s="219"/>
      <c r="I151" s="220"/>
      <c r="J151" s="221" t="s">
        <v>1443</v>
      </c>
      <c r="K151" s="222"/>
      <c r="L151" s="222"/>
      <c r="M151" s="222"/>
      <c r="N151" s="220"/>
    </row>
    <row r="152" spans="1:14" ht="13.5" thickBot="1" x14ac:dyDescent="0.25">
      <c r="A152" s="108"/>
      <c r="B152" s="109" t="s">
        <v>263</v>
      </c>
      <c r="C152" s="109"/>
      <c r="D152" s="109"/>
      <c r="E152" s="110"/>
      <c r="F152" s="110"/>
      <c r="G152" s="110"/>
      <c r="H152" s="110"/>
      <c r="I152" s="93"/>
      <c r="J152" s="110" t="s">
        <v>494</v>
      </c>
      <c r="K152" s="94" t="s">
        <v>514</v>
      </c>
      <c r="L152" s="94"/>
      <c r="M152" s="94"/>
      <c r="N152" s="93"/>
    </row>
    <row r="153" spans="1:14" x14ac:dyDescent="0.2">
      <c r="A153" s="101"/>
      <c r="B153" s="448" t="s">
        <v>67</v>
      </c>
      <c r="C153" s="448"/>
      <c r="D153" s="448"/>
      <c r="E153" s="103"/>
      <c r="F153" s="103" t="s">
        <v>1180</v>
      </c>
      <c r="G153" s="103" t="s">
        <v>68</v>
      </c>
      <c r="H153" s="103" t="s">
        <v>702</v>
      </c>
      <c r="I153" s="103"/>
      <c r="J153" s="89">
        <f>55/ATHENS!O1*ATHENS!O2</f>
        <v>112.24489795918367</v>
      </c>
      <c r="K153" s="89">
        <f>60/ATHENS!O1*ATHENS!O2</f>
        <v>122.44897959183673</v>
      </c>
      <c r="L153" s="89"/>
      <c r="M153" s="113"/>
      <c r="N153" s="104"/>
    </row>
    <row r="154" spans="1:14" x14ac:dyDescent="0.2">
      <c r="A154" s="105"/>
      <c r="B154" s="443" t="s">
        <v>67</v>
      </c>
      <c r="C154" s="443"/>
      <c r="D154" s="443"/>
      <c r="E154" s="99"/>
      <c r="F154" s="99" t="s">
        <v>1181</v>
      </c>
      <c r="G154" s="99" t="s">
        <v>68</v>
      </c>
      <c r="H154" s="99" t="s">
        <v>702</v>
      </c>
      <c r="I154" s="99"/>
      <c r="J154" s="89">
        <f>30/ATHENS!O1*ATHENS!O2</f>
        <v>61.224489795918366</v>
      </c>
      <c r="K154" s="89">
        <f>35/ATHENS!O1*ATHENS!O2</f>
        <v>71.428571428571431</v>
      </c>
      <c r="L154" s="89"/>
      <c r="M154" s="89"/>
      <c r="N154" s="89"/>
    </row>
    <row r="155" spans="1:14" ht="13.5" thickBot="1" x14ac:dyDescent="0.25">
      <c r="A155" s="108"/>
      <c r="B155" s="436" t="s">
        <v>67</v>
      </c>
      <c r="C155" s="436"/>
      <c r="D155" s="436"/>
      <c r="E155" s="110"/>
      <c r="F155" s="110" t="s">
        <v>1182</v>
      </c>
      <c r="G155" s="110" t="s">
        <v>68</v>
      </c>
      <c r="H155" s="110" t="s">
        <v>702</v>
      </c>
      <c r="I155" s="110"/>
      <c r="J155" s="94">
        <f>23.5/ATHENS!O1*ATHENS!O2</f>
        <v>47.95918367346939</v>
      </c>
      <c r="K155" s="94">
        <f>26.6/ATHENS!O1*ATHENS!O2</f>
        <v>54.285714285714292</v>
      </c>
      <c r="L155" s="94"/>
      <c r="M155" s="94"/>
      <c r="N155" s="94"/>
    </row>
    <row r="156" spans="1:14" ht="13.5" thickBot="1" x14ac:dyDescent="0.25">
      <c r="A156" s="97"/>
      <c r="B156" s="123"/>
      <c r="C156" s="123"/>
      <c r="D156" s="123"/>
      <c r="E156" s="124"/>
      <c r="F156" s="124"/>
      <c r="G156" s="124"/>
      <c r="H156" s="124"/>
      <c r="I156" s="124"/>
      <c r="J156" s="124"/>
      <c r="K156" s="124"/>
      <c r="L156" s="124"/>
      <c r="M156" s="124"/>
      <c r="N156" s="124"/>
    </row>
    <row r="157" spans="1:14" ht="13.5" thickBot="1" x14ac:dyDescent="0.25">
      <c r="A157" s="101"/>
      <c r="B157" s="102"/>
      <c r="C157" s="102"/>
      <c r="D157" s="102"/>
      <c r="E157" s="103"/>
      <c r="F157" s="103"/>
      <c r="G157" s="103"/>
      <c r="H157" s="103"/>
      <c r="I157" s="103"/>
      <c r="J157" s="103"/>
      <c r="K157" s="103"/>
      <c r="L157" s="103"/>
      <c r="M157" s="103"/>
      <c r="N157" s="104"/>
    </row>
    <row r="158" spans="1:14" ht="15.75" thickBot="1" x14ac:dyDescent="0.25">
      <c r="A158" s="105"/>
      <c r="B158" s="459" t="s">
        <v>1247</v>
      </c>
      <c r="C158" s="460"/>
      <c r="D158" s="460"/>
      <c r="E158" s="460"/>
      <c r="F158" s="460"/>
      <c r="G158" s="460"/>
      <c r="H158" s="460"/>
      <c r="I158" s="460"/>
      <c r="J158" s="460"/>
      <c r="K158" s="460"/>
      <c r="L158" s="460"/>
      <c r="M158" s="461"/>
      <c r="N158" s="106" t="s">
        <v>664</v>
      </c>
    </row>
    <row r="159" spans="1:14" x14ac:dyDescent="0.2">
      <c r="A159" s="105"/>
      <c r="B159" s="107" t="s">
        <v>428</v>
      </c>
      <c r="C159" s="98" t="s">
        <v>1370</v>
      </c>
      <c r="D159" s="98"/>
      <c r="E159" s="99"/>
      <c r="F159" s="99"/>
      <c r="G159" s="99"/>
      <c r="H159" s="99"/>
      <c r="I159" s="99"/>
      <c r="J159" s="99"/>
      <c r="K159" s="99"/>
      <c r="L159" s="99"/>
      <c r="M159" s="99"/>
      <c r="N159" s="90"/>
    </row>
    <row r="160" spans="1:14" x14ac:dyDescent="0.2">
      <c r="A160" s="105"/>
      <c r="B160" s="107" t="s">
        <v>429</v>
      </c>
      <c r="C160" s="98" t="s">
        <v>884</v>
      </c>
      <c r="D160" s="98"/>
      <c r="E160" s="99"/>
      <c r="F160" s="99"/>
      <c r="G160" s="99"/>
      <c r="H160" s="99"/>
      <c r="I160" s="99"/>
      <c r="J160" s="99"/>
      <c r="K160" s="99"/>
      <c r="L160" s="99"/>
      <c r="M160" s="99"/>
      <c r="N160" s="90"/>
    </row>
    <row r="161" spans="1:14" x14ac:dyDescent="0.2">
      <c r="A161" s="105"/>
      <c r="B161" s="107" t="s">
        <v>427</v>
      </c>
      <c r="C161" s="444" t="s">
        <v>1371</v>
      </c>
      <c r="D161" s="444"/>
      <c r="E161" s="444"/>
      <c r="F161" s="444"/>
      <c r="G161" s="444"/>
      <c r="H161" s="444"/>
      <c r="I161" s="444"/>
      <c r="J161" s="444"/>
      <c r="K161" s="444"/>
      <c r="L161" s="444"/>
      <c r="M161" s="444"/>
      <c r="N161" s="445"/>
    </row>
    <row r="162" spans="1:14" x14ac:dyDescent="0.2">
      <c r="A162" s="105"/>
      <c r="B162" s="107"/>
      <c r="C162" s="444"/>
      <c r="D162" s="444"/>
      <c r="E162" s="444"/>
      <c r="F162" s="444"/>
      <c r="G162" s="444"/>
      <c r="H162" s="444"/>
      <c r="I162" s="444"/>
      <c r="J162" s="444"/>
      <c r="K162" s="444"/>
      <c r="L162" s="444"/>
      <c r="M162" s="444"/>
      <c r="N162" s="445"/>
    </row>
    <row r="163" spans="1:14" ht="13.5" thickBot="1" x14ac:dyDescent="0.25">
      <c r="A163" s="105"/>
      <c r="B163" s="98"/>
      <c r="C163" s="444"/>
      <c r="D163" s="444"/>
      <c r="E163" s="444"/>
      <c r="F163" s="444"/>
      <c r="G163" s="444"/>
      <c r="H163" s="444"/>
      <c r="I163" s="444"/>
      <c r="J163" s="444"/>
      <c r="K163" s="444"/>
      <c r="L163" s="444"/>
      <c r="M163" s="444"/>
      <c r="N163" s="445"/>
    </row>
    <row r="164" spans="1:14" ht="13.5" thickBot="1" x14ac:dyDescent="0.25">
      <c r="A164" s="101"/>
      <c r="B164" s="102" t="s">
        <v>263</v>
      </c>
      <c r="C164" s="102"/>
      <c r="D164" s="102"/>
      <c r="E164" s="103"/>
      <c r="F164" s="103"/>
      <c r="G164" s="103"/>
      <c r="H164" s="103"/>
      <c r="I164" s="103"/>
      <c r="J164" s="295" t="s">
        <v>229</v>
      </c>
      <c r="K164" s="104"/>
      <c r="L164" s="113"/>
      <c r="M164" s="113"/>
      <c r="N164" s="113"/>
    </row>
    <row r="165" spans="1:14" x14ac:dyDescent="0.2">
      <c r="A165" s="101"/>
      <c r="B165" s="448" t="s">
        <v>67</v>
      </c>
      <c r="C165" s="448"/>
      <c r="D165" s="448"/>
      <c r="E165" s="103"/>
      <c r="F165" s="103" t="s">
        <v>1180</v>
      </c>
      <c r="G165" s="103" t="s">
        <v>68</v>
      </c>
      <c r="H165" s="103" t="s">
        <v>702</v>
      </c>
      <c r="I165" s="103"/>
      <c r="J165" s="89">
        <f>45/ATHENS!O1*ATHENS!O2</f>
        <v>91.83673469387756</v>
      </c>
      <c r="K165" s="89"/>
      <c r="L165" s="89"/>
      <c r="M165" s="113"/>
      <c r="N165" s="113"/>
    </row>
    <row r="166" spans="1:14" x14ac:dyDescent="0.2">
      <c r="A166" s="105"/>
      <c r="B166" s="443" t="s">
        <v>67</v>
      </c>
      <c r="C166" s="443"/>
      <c r="D166" s="443"/>
      <c r="E166" s="99"/>
      <c r="F166" s="99" t="s">
        <v>1181</v>
      </c>
      <c r="G166" s="99" t="s">
        <v>68</v>
      </c>
      <c r="H166" s="99" t="s">
        <v>702</v>
      </c>
      <c r="I166" s="99"/>
      <c r="J166" s="89">
        <f>28/ATHENS!O1*ATHENS!O2</f>
        <v>57.142857142857146</v>
      </c>
      <c r="K166" s="89"/>
      <c r="L166" s="89"/>
      <c r="M166" s="89"/>
      <c r="N166" s="89"/>
    </row>
    <row r="167" spans="1:14" ht="13.5" thickBot="1" x14ac:dyDescent="0.25">
      <c r="A167" s="108"/>
      <c r="B167" s="436" t="s">
        <v>67</v>
      </c>
      <c r="C167" s="436"/>
      <c r="D167" s="436"/>
      <c r="E167" s="110"/>
      <c r="F167" s="110" t="s">
        <v>1182</v>
      </c>
      <c r="G167" s="110" t="s">
        <v>68</v>
      </c>
      <c r="H167" s="110" t="s">
        <v>702</v>
      </c>
      <c r="I167" s="110"/>
      <c r="J167" s="94">
        <f>21.5/ATHENS!O1*ATHENS!O2</f>
        <v>43.877551020408163</v>
      </c>
      <c r="K167" s="94"/>
      <c r="L167" s="94"/>
      <c r="M167" s="94"/>
      <c r="N167" s="94"/>
    </row>
    <row r="168" spans="1:14" ht="13.5" thickBot="1" x14ac:dyDescent="0.25">
      <c r="A168" s="97"/>
      <c r="B168" s="98"/>
      <c r="C168" s="98"/>
      <c r="D168" s="98"/>
      <c r="E168" s="99"/>
      <c r="F168" s="99"/>
      <c r="G168" s="99"/>
      <c r="H168" s="99"/>
      <c r="I168" s="99"/>
      <c r="J168" s="99"/>
      <c r="K168" s="99"/>
      <c r="L168" s="99"/>
      <c r="M168" s="99"/>
      <c r="N168" s="99"/>
    </row>
    <row r="169" spans="1:14" ht="13.5" thickBot="1" x14ac:dyDescent="0.25">
      <c r="A169" s="101"/>
      <c r="B169" s="102"/>
      <c r="C169" s="102"/>
      <c r="D169" s="102"/>
      <c r="E169" s="103"/>
      <c r="F169" s="103"/>
      <c r="G169" s="103"/>
      <c r="H169" s="103"/>
      <c r="I169" s="103"/>
      <c r="J169" s="103"/>
      <c r="K169" s="103"/>
      <c r="L169" s="103"/>
      <c r="M169" s="103"/>
      <c r="N169" s="104"/>
    </row>
    <row r="170" spans="1:14" ht="15.75" thickBot="1" x14ac:dyDescent="0.25">
      <c r="A170" s="105"/>
      <c r="B170" s="459" t="s">
        <v>641</v>
      </c>
      <c r="C170" s="460"/>
      <c r="D170" s="460"/>
      <c r="E170" s="460"/>
      <c r="F170" s="460"/>
      <c r="G170" s="460"/>
      <c r="H170" s="460"/>
      <c r="I170" s="460"/>
      <c r="J170" s="460"/>
      <c r="K170" s="460"/>
      <c r="L170" s="460"/>
      <c r="M170" s="461"/>
      <c r="N170" s="106" t="s">
        <v>664</v>
      </c>
    </row>
    <row r="171" spans="1:14" x14ac:dyDescent="0.2">
      <c r="A171" s="105"/>
      <c r="B171" s="107" t="s">
        <v>428</v>
      </c>
      <c r="C171" s="98" t="s">
        <v>1372</v>
      </c>
      <c r="D171" s="98"/>
      <c r="E171" s="99"/>
      <c r="F171" s="99"/>
      <c r="G171" s="99"/>
      <c r="H171" s="99"/>
      <c r="I171" s="99"/>
      <c r="J171" s="99"/>
      <c r="K171" s="99"/>
      <c r="L171" s="99"/>
      <c r="M171" s="99"/>
      <c r="N171" s="90"/>
    </row>
    <row r="172" spans="1:14" x14ac:dyDescent="0.2">
      <c r="A172" s="105"/>
      <c r="B172" s="107" t="s">
        <v>429</v>
      </c>
      <c r="C172" s="98" t="s">
        <v>720</v>
      </c>
      <c r="D172" s="98"/>
      <c r="E172" s="99"/>
      <c r="F172" s="99"/>
      <c r="G172" s="99"/>
      <c r="H172" s="99"/>
      <c r="I172" s="99"/>
      <c r="J172" s="99"/>
      <c r="K172" s="99"/>
      <c r="L172" s="99"/>
      <c r="M172" s="99"/>
      <c r="N172" s="90"/>
    </row>
    <row r="173" spans="1:14" x14ac:dyDescent="0.2">
      <c r="A173" s="105"/>
      <c r="B173" s="107" t="s">
        <v>427</v>
      </c>
      <c r="C173" s="444" t="s">
        <v>1373</v>
      </c>
      <c r="D173" s="444"/>
      <c r="E173" s="444"/>
      <c r="F173" s="444"/>
      <c r="G173" s="444"/>
      <c r="H173" s="444"/>
      <c r="I173" s="444"/>
      <c r="J173" s="444"/>
      <c r="K173" s="444"/>
      <c r="L173" s="444"/>
      <c r="M173" s="444"/>
      <c r="N173" s="445"/>
    </row>
    <row r="174" spans="1:14" x14ac:dyDescent="0.2">
      <c r="A174" s="105"/>
      <c r="B174" s="107"/>
      <c r="C174" s="444"/>
      <c r="D174" s="444"/>
      <c r="E174" s="444"/>
      <c r="F174" s="444"/>
      <c r="G174" s="444"/>
      <c r="H174" s="444"/>
      <c r="I174" s="444"/>
      <c r="J174" s="444"/>
      <c r="K174" s="444"/>
      <c r="L174" s="444"/>
      <c r="M174" s="444"/>
      <c r="N174" s="445"/>
    </row>
    <row r="175" spans="1:14" x14ac:dyDescent="0.2">
      <c r="A175" s="105"/>
      <c r="B175" s="98"/>
      <c r="C175" s="444"/>
      <c r="D175" s="444"/>
      <c r="E175" s="444"/>
      <c r="F175" s="444"/>
      <c r="G175" s="444"/>
      <c r="H175" s="444"/>
      <c r="I175" s="444"/>
      <c r="J175" s="444"/>
      <c r="K175" s="444"/>
      <c r="L175" s="444"/>
      <c r="M175" s="444"/>
      <c r="N175" s="445"/>
    </row>
    <row r="176" spans="1:14" x14ac:dyDescent="0.2">
      <c r="A176" s="105"/>
      <c r="B176" s="107" t="s">
        <v>426</v>
      </c>
      <c r="C176" s="98"/>
      <c r="D176" s="98"/>
      <c r="E176" s="99"/>
      <c r="F176" s="99"/>
      <c r="G176" s="99"/>
      <c r="H176" s="99"/>
      <c r="I176" s="99"/>
      <c r="J176" s="99"/>
      <c r="K176" s="99"/>
      <c r="L176" s="99"/>
      <c r="M176" s="99"/>
      <c r="N176" s="90"/>
    </row>
    <row r="177" spans="1:14" ht="13.5" thickBot="1" x14ac:dyDescent="0.25">
      <c r="A177" s="108"/>
      <c r="B177" s="107" t="s">
        <v>430</v>
      </c>
      <c r="C177" s="109"/>
      <c r="D177" s="109"/>
      <c r="E177" s="110"/>
      <c r="F177" s="110"/>
      <c r="G177" s="110"/>
      <c r="H177" s="110"/>
      <c r="I177" s="110"/>
      <c r="J177" s="110"/>
      <c r="K177" s="110"/>
      <c r="L177" s="110"/>
      <c r="M177" s="110"/>
      <c r="N177" s="93"/>
    </row>
    <row r="178" spans="1:14" ht="13.5" thickBot="1" x14ac:dyDescent="0.25">
      <c r="A178" s="108"/>
      <c r="B178" s="120" t="s">
        <v>263</v>
      </c>
      <c r="C178" s="109"/>
      <c r="D178" s="109"/>
      <c r="E178" s="110"/>
      <c r="F178" s="110"/>
      <c r="G178" s="110"/>
      <c r="H178" s="110"/>
      <c r="I178" s="110"/>
      <c r="J178" s="112" t="s">
        <v>229</v>
      </c>
      <c r="K178" s="94"/>
      <c r="L178" s="94"/>
      <c r="M178" s="94"/>
      <c r="N178" s="94"/>
    </row>
    <row r="179" spans="1:14" x14ac:dyDescent="0.2">
      <c r="A179" s="101"/>
      <c r="B179" s="448" t="s">
        <v>67</v>
      </c>
      <c r="C179" s="448"/>
      <c r="D179" s="448"/>
      <c r="E179" s="103"/>
      <c r="F179" s="103" t="s">
        <v>1180</v>
      </c>
      <c r="G179" s="103" t="s">
        <v>68</v>
      </c>
      <c r="H179" s="103" t="s">
        <v>702</v>
      </c>
      <c r="I179" s="103"/>
      <c r="J179" s="89">
        <f>49.5/ATHENS!O1*ATHENS!O2</f>
        <v>101.0204081632653</v>
      </c>
      <c r="K179" s="89"/>
      <c r="L179" s="89"/>
      <c r="M179" s="113"/>
      <c r="N179" s="113"/>
    </row>
    <row r="180" spans="1:14" x14ac:dyDescent="0.2">
      <c r="A180" s="105"/>
      <c r="B180" s="443" t="s">
        <v>67</v>
      </c>
      <c r="C180" s="443"/>
      <c r="D180" s="443"/>
      <c r="E180" s="99"/>
      <c r="F180" s="99" t="s">
        <v>1181</v>
      </c>
      <c r="G180" s="99" t="s">
        <v>68</v>
      </c>
      <c r="H180" s="99" t="s">
        <v>702</v>
      </c>
      <c r="I180" s="99"/>
      <c r="J180" s="89">
        <f>26.5/ATHENS!O1*ATHENS!O2</f>
        <v>54.081632653061227</v>
      </c>
      <c r="K180" s="89"/>
      <c r="L180" s="89"/>
      <c r="M180" s="89"/>
      <c r="N180" s="89"/>
    </row>
    <row r="181" spans="1:14" ht="13.5" thickBot="1" x14ac:dyDescent="0.25">
      <c r="A181" s="108"/>
      <c r="B181" s="436" t="s">
        <v>67</v>
      </c>
      <c r="C181" s="436"/>
      <c r="D181" s="436"/>
      <c r="E181" s="110"/>
      <c r="F181" s="110" t="s">
        <v>1182</v>
      </c>
      <c r="G181" s="110" t="s">
        <v>68</v>
      </c>
      <c r="H181" s="110" t="s">
        <v>702</v>
      </c>
      <c r="I181" s="110"/>
      <c r="J181" s="94">
        <f>24.5/ATHENS!O1*ATHENS!O2</f>
        <v>50</v>
      </c>
      <c r="K181" s="94"/>
      <c r="L181" s="94"/>
      <c r="M181" s="94"/>
      <c r="N181" s="94"/>
    </row>
    <row r="182" spans="1:14" ht="13.5" thickBot="1" x14ac:dyDescent="0.25">
      <c r="A182" s="97"/>
      <c r="B182" s="123"/>
      <c r="C182" s="123"/>
      <c r="D182" s="123"/>
      <c r="E182" s="124"/>
      <c r="F182" s="124"/>
      <c r="G182" s="124"/>
      <c r="H182" s="124"/>
      <c r="I182" s="124"/>
      <c r="J182" s="124"/>
      <c r="K182" s="124"/>
      <c r="L182" s="124"/>
      <c r="M182" s="124"/>
      <c r="N182" s="124"/>
    </row>
    <row r="183" spans="1:14" ht="13.5" thickBot="1" x14ac:dyDescent="0.25">
      <c r="A183" s="101"/>
      <c r="B183" s="102"/>
      <c r="C183" s="102"/>
      <c r="D183" s="102"/>
      <c r="E183" s="103"/>
      <c r="F183" s="103"/>
      <c r="G183" s="103"/>
      <c r="H183" s="103"/>
      <c r="I183" s="103"/>
      <c r="J183" s="103"/>
      <c r="K183" s="103"/>
      <c r="L183" s="103"/>
      <c r="M183" s="103"/>
      <c r="N183" s="104"/>
    </row>
    <row r="184" spans="1:14" ht="15.75" thickBot="1" x14ac:dyDescent="0.25">
      <c r="A184" s="105"/>
      <c r="B184" s="459" t="s">
        <v>642</v>
      </c>
      <c r="C184" s="460"/>
      <c r="D184" s="460"/>
      <c r="E184" s="460"/>
      <c r="F184" s="460"/>
      <c r="G184" s="460"/>
      <c r="H184" s="460"/>
      <c r="I184" s="460"/>
      <c r="J184" s="460"/>
      <c r="K184" s="460"/>
      <c r="L184" s="460"/>
      <c r="M184" s="461"/>
      <c r="N184" s="106" t="s">
        <v>664</v>
      </c>
    </row>
    <row r="185" spans="1:14" x14ac:dyDescent="0.2">
      <c r="A185" s="105"/>
      <c r="B185" s="107" t="s">
        <v>428</v>
      </c>
      <c r="C185" s="98" t="s">
        <v>1374</v>
      </c>
      <c r="D185" s="98"/>
      <c r="E185" s="99"/>
      <c r="F185" s="99"/>
      <c r="G185" s="99"/>
      <c r="H185" s="99"/>
      <c r="I185" s="99"/>
      <c r="J185" s="99"/>
      <c r="K185" s="99"/>
      <c r="L185" s="99"/>
      <c r="M185" s="99"/>
      <c r="N185" s="90"/>
    </row>
    <row r="186" spans="1:14" x14ac:dyDescent="0.2">
      <c r="A186" s="105"/>
      <c r="B186" s="107" t="s">
        <v>429</v>
      </c>
      <c r="C186" s="98" t="s">
        <v>721</v>
      </c>
      <c r="D186" s="98"/>
      <c r="E186" s="99"/>
      <c r="F186" s="99"/>
      <c r="G186" s="99"/>
      <c r="H186" s="99"/>
      <c r="I186" s="99"/>
      <c r="J186" s="99"/>
      <c r="K186" s="99"/>
      <c r="L186" s="99"/>
      <c r="M186" s="99"/>
      <c r="N186" s="90"/>
    </row>
    <row r="187" spans="1:14" x14ac:dyDescent="0.2">
      <c r="A187" s="105"/>
      <c r="B187" s="107" t="s">
        <v>427</v>
      </c>
      <c r="C187" s="444" t="s">
        <v>1375</v>
      </c>
      <c r="D187" s="444"/>
      <c r="E187" s="444"/>
      <c r="F187" s="444"/>
      <c r="G187" s="444"/>
      <c r="H187" s="444"/>
      <c r="I187" s="444"/>
      <c r="J187" s="444"/>
      <c r="K187" s="444"/>
      <c r="L187" s="444"/>
      <c r="M187" s="444"/>
      <c r="N187" s="445"/>
    </row>
    <row r="188" spans="1:14" x14ac:dyDescent="0.2">
      <c r="A188" s="105"/>
      <c r="B188" s="107"/>
      <c r="C188" s="444"/>
      <c r="D188" s="444"/>
      <c r="E188" s="444"/>
      <c r="F188" s="444"/>
      <c r="G188" s="444"/>
      <c r="H188" s="444"/>
      <c r="I188" s="444"/>
      <c r="J188" s="444"/>
      <c r="K188" s="444"/>
      <c r="L188" s="444"/>
      <c r="M188" s="444"/>
      <c r="N188" s="445"/>
    </row>
    <row r="189" spans="1:14" x14ac:dyDescent="0.2">
      <c r="A189" s="105"/>
      <c r="B189" s="98"/>
      <c r="C189" s="444"/>
      <c r="D189" s="444"/>
      <c r="E189" s="444"/>
      <c r="F189" s="444"/>
      <c r="G189" s="444"/>
      <c r="H189" s="444"/>
      <c r="I189" s="444"/>
      <c r="J189" s="444"/>
      <c r="K189" s="444"/>
      <c r="L189" s="444"/>
      <c r="M189" s="444"/>
      <c r="N189" s="445"/>
    </row>
    <row r="190" spans="1:14" x14ac:dyDescent="0.2">
      <c r="A190" s="105"/>
      <c r="B190" s="107" t="s">
        <v>426</v>
      </c>
      <c r="C190" s="98"/>
      <c r="D190" s="98"/>
      <c r="E190" s="99"/>
      <c r="F190" s="99"/>
      <c r="G190" s="99"/>
      <c r="H190" s="99"/>
      <c r="I190" s="99"/>
      <c r="J190" s="99"/>
      <c r="K190" s="99"/>
      <c r="L190" s="99"/>
      <c r="M190" s="99"/>
      <c r="N190" s="90"/>
    </row>
    <row r="191" spans="1:14" ht="13.5" thickBot="1" x14ac:dyDescent="0.25">
      <c r="A191" s="108"/>
      <c r="B191" s="107" t="s">
        <v>430</v>
      </c>
      <c r="C191" s="109"/>
      <c r="D191" s="109"/>
      <c r="E191" s="110"/>
      <c r="F191" s="110"/>
      <c r="G191" s="110"/>
      <c r="H191" s="110"/>
      <c r="I191" s="110"/>
      <c r="J191" s="110"/>
      <c r="K191" s="110"/>
      <c r="L191" s="110"/>
      <c r="M191" s="110"/>
      <c r="N191" s="93"/>
    </row>
    <row r="192" spans="1:14" ht="13.5" thickBot="1" x14ac:dyDescent="0.25">
      <c r="A192" s="108"/>
      <c r="B192" s="120" t="s">
        <v>263</v>
      </c>
      <c r="C192" s="109"/>
      <c r="D192" s="109"/>
      <c r="E192" s="110"/>
      <c r="F192" s="110"/>
      <c r="G192" s="110"/>
      <c r="H192" s="110"/>
      <c r="I192" s="110"/>
      <c r="J192" s="112" t="s">
        <v>858</v>
      </c>
      <c r="K192" s="94" t="s">
        <v>2179</v>
      </c>
      <c r="L192" s="94"/>
      <c r="M192" s="94"/>
      <c r="N192" s="94"/>
    </row>
    <row r="193" spans="1:14" x14ac:dyDescent="0.2">
      <c r="A193" s="101"/>
      <c r="B193" s="448" t="s">
        <v>67</v>
      </c>
      <c r="C193" s="448"/>
      <c r="D193" s="448"/>
      <c r="E193" s="103"/>
      <c r="F193" s="103" t="s">
        <v>1180</v>
      </c>
      <c r="G193" s="103" t="s">
        <v>68</v>
      </c>
      <c r="H193" s="103" t="s">
        <v>702</v>
      </c>
      <c r="I193" s="103"/>
      <c r="J193" s="89">
        <f>42/ATHENS!O1*ATHENS!O2</f>
        <v>85.714285714285722</v>
      </c>
      <c r="K193" s="89">
        <f>44/ATHENS!O1*ATHENS!O2</f>
        <v>89.795918367346943</v>
      </c>
      <c r="L193" s="89"/>
      <c r="M193" s="113"/>
      <c r="N193" s="113"/>
    </row>
    <row r="194" spans="1:14" x14ac:dyDescent="0.2">
      <c r="A194" s="105"/>
      <c r="B194" s="443" t="s">
        <v>67</v>
      </c>
      <c r="C194" s="443"/>
      <c r="D194" s="443"/>
      <c r="E194" s="99"/>
      <c r="F194" s="99" t="s">
        <v>1181</v>
      </c>
      <c r="G194" s="99" t="s">
        <v>68</v>
      </c>
      <c r="H194" s="99" t="s">
        <v>702</v>
      </c>
      <c r="I194" s="99"/>
      <c r="J194" s="89">
        <f>23.7/ATHENS!O1*ATHENS!O2</f>
        <v>48.367346938775512</v>
      </c>
      <c r="K194" s="89">
        <f>26.5/ATHENS!O1*ATHENS!O2</f>
        <v>54.081632653061227</v>
      </c>
      <c r="L194" s="89"/>
      <c r="M194" s="89"/>
      <c r="N194" s="89"/>
    </row>
    <row r="195" spans="1:14" ht="13.5" thickBot="1" x14ac:dyDescent="0.25">
      <c r="A195" s="108"/>
      <c r="B195" s="436" t="s">
        <v>67</v>
      </c>
      <c r="C195" s="436"/>
      <c r="D195" s="436"/>
      <c r="E195" s="110"/>
      <c r="F195" s="110" t="s">
        <v>1182</v>
      </c>
      <c r="G195" s="110" t="s">
        <v>68</v>
      </c>
      <c r="H195" s="110" t="s">
        <v>702</v>
      </c>
      <c r="I195" s="110"/>
      <c r="J195" s="94">
        <f>19.5/ATHENS!O1*ATHENS!O2</f>
        <v>39.795918367346943</v>
      </c>
      <c r="K195" s="94">
        <f>20.6/ATHENS!O1*ATHENS!O2</f>
        <v>42.040816326530617</v>
      </c>
      <c r="L195" s="94"/>
      <c r="M195" s="94"/>
      <c r="N195" s="94"/>
    </row>
    <row r="196" spans="1:14" ht="13.5" thickBot="1" x14ac:dyDescent="0.25">
      <c r="A196" s="97"/>
      <c r="B196" s="123"/>
      <c r="C196" s="123"/>
      <c r="D196" s="123"/>
      <c r="E196" s="124"/>
      <c r="F196" s="124"/>
      <c r="G196" s="124"/>
      <c r="H196" s="124"/>
      <c r="I196" s="124"/>
      <c r="J196" s="124"/>
      <c r="K196" s="124"/>
      <c r="L196" s="124"/>
      <c r="M196" s="124"/>
      <c r="N196" s="124"/>
    </row>
    <row r="197" spans="1:14" ht="13.5" thickBot="1" x14ac:dyDescent="0.25">
      <c r="A197" s="101"/>
      <c r="B197" s="102"/>
      <c r="C197" s="102"/>
      <c r="D197" s="102"/>
      <c r="E197" s="103"/>
      <c r="F197" s="103"/>
      <c r="G197" s="103"/>
      <c r="H197" s="103"/>
      <c r="I197" s="103"/>
      <c r="J197" s="103"/>
      <c r="K197" s="103"/>
      <c r="L197" s="103"/>
      <c r="M197" s="103"/>
      <c r="N197" s="104"/>
    </row>
    <row r="198" spans="1:14" ht="15.75" thickBot="1" x14ac:dyDescent="0.25">
      <c r="A198" s="105"/>
      <c r="B198" s="459" t="s">
        <v>643</v>
      </c>
      <c r="C198" s="460"/>
      <c r="D198" s="460"/>
      <c r="E198" s="460"/>
      <c r="F198" s="460"/>
      <c r="G198" s="460"/>
      <c r="H198" s="460"/>
      <c r="I198" s="460"/>
      <c r="J198" s="460"/>
      <c r="K198" s="460"/>
      <c r="L198" s="460"/>
      <c r="M198" s="461"/>
      <c r="N198" s="106" t="s">
        <v>664</v>
      </c>
    </row>
    <row r="199" spans="1:14" x14ac:dyDescent="0.2">
      <c r="A199" s="105"/>
      <c r="B199" s="107" t="s">
        <v>428</v>
      </c>
      <c r="C199" s="98" t="s">
        <v>1376</v>
      </c>
      <c r="D199" s="98"/>
      <c r="E199" s="99"/>
      <c r="F199" s="99"/>
      <c r="G199" s="99"/>
      <c r="H199" s="99"/>
      <c r="I199" s="99"/>
      <c r="J199" s="99"/>
      <c r="K199" s="99"/>
      <c r="L199" s="99"/>
      <c r="M199" s="99"/>
      <c r="N199" s="90"/>
    </row>
    <row r="200" spans="1:14" x14ac:dyDescent="0.2">
      <c r="A200" s="105"/>
      <c r="B200" s="107" t="s">
        <v>429</v>
      </c>
      <c r="C200" s="98" t="s">
        <v>722</v>
      </c>
      <c r="D200" s="98"/>
      <c r="E200" s="99"/>
      <c r="F200" s="99"/>
      <c r="G200" s="99"/>
      <c r="H200" s="99"/>
      <c r="I200" s="99"/>
      <c r="J200" s="99"/>
      <c r="K200" s="99"/>
      <c r="L200" s="99"/>
      <c r="M200" s="99"/>
      <c r="N200" s="90"/>
    </row>
    <row r="201" spans="1:14" x14ac:dyDescent="0.2">
      <c r="A201" s="105"/>
      <c r="B201" s="107" t="s">
        <v>427</v>
      </c>
      <c r="C201" s="444" t="s">
        <v>1377</v>
      </c>
      <c r="D201" s="444"/>
      <c r="E201" s="444"/>
      <c r="F201" s="444"/>
      <c r="G201" s="444"/>
      <c r="H201" s="444"/>
      <c r="I201" s="444"/>
      <c r="J201" s="444"/>
      <c r="K201" s="444"/>
      <c r="L201" s="444"/>
      <c r="M201" s="444"/>
      <c r="N201" s="445"/>
    </row>
    <row r="202" spans="1:14" x14ac:dyDescent="0.2">
      <c r="A202" s="105"/>
      <c r="B202" s="98"/>
      <c r="C202" s="444"/>
      <c r="D202" s="444"/>
      <c r="E202" s="444"/>
      <c r="F202" s="444"/>
      <c r="G202" s="444"/>
      <c r="H202" s="444"/>
      <c r="I202" s="444"/>
      <c r="J202" s="444"/>
      <c r="K202" s="444"/>
      <c r="L202" s="444"/>
      <c r="M202" s="444"/>
      <c r="N202" s="445"/>
    </row>
    <row r="203" spans="1:14" x14ac:dyDescent="0.2">
      <c r="A203" s="105"/>
      <c r="B203" s="107" t="s">
        <v>426</v>
      </c>
      <c r="C203" s="98"/>
      <c r="D203" s="98"/>
      <c r="E203" s="99"/>
      <c r="F203" s="99"/>
      <c r="G203" s="99"/>
      <c r="H203" s="99"/>
      <c r="I203" s="99"/>
      <c r="J203" s="99"/>
      <c r="K203" s="99"/>
      <c r="L203" s="99"/>
      <c r="M203" s="99"/>
      <c r="N203" s="90"/>
    </row>
    <row r="204" spans="1:14" ht="13.5" thickBot="1" x14ac:dyDescent="0.25">
      <c r="A204" s="108"/>
      <c r="B204" s="118" t="s">
        <v>430</v>
      </c>
      <c r="C204" s="109"/>
      <c r="D204" s="109"/>
      <c r="E204" s="110"/>
      <c r="F204" s="110"/>
      <c r="G204" s="110"/>
      <c r="H204" s="110"/>
      <c r="I204" s="110"/>
      <c r="J204" s="110"/>
      <c r="K204" s="110"/>
      <c r="L204" s="110"/>
      <c r="M204" s="110"/>
      <c r="N204" s="93"/>
    </row>
    <row r="205" spans="1:14" ht="13.5" thickBot="1" x14ac:dyDescent="0.25">
      <c r="A205" s="108"/>
      <c r="B205" s="107" t="s">
        <v>263</v>
      </c>
      <c r="C205" s="109"/>
      <c r="D205" s="109"/>
      <c r="E205" s="110"/>
      <c r="F205" s="110"/>
      <c r="G205" s="110"/>
      <c r="H205" s="110"/>
      <c r="I205" s="122"/>
      <c r="J205" s="122" t="s">
        <v>1997</v>
      </c>
      <c r="K205" s="139"/>
      <c r="L205" s="139"/>
      <c r="M205" s="110"/>
      <c r="N205" s="93"/>
    </row>
    <row r="206" spans="1:14" ht="13.5" thickBot="1" x14ac:dyDescent="0.25">
      <c r="A206" s="108"/>
      <c r="B206" s="120" t="s">
        <v>263</v>
      </c>
      <c r="C206" s="109"/>
      <c r="D206" s="109"/>
      <c r="E206" s="110"/>
      <c r="F206" s="110"/>
      <c r="G206" s="110"/>
      <c r="H206" s="110"/>
      <c r="I206" s="93"/>
      <c r="J206" s="93" t="s">
        <v>1998</v>
      </c>
      <c r="K206" s="94" t="s">
        <v>1999</v>
      </c>
      <c r="L206" s="94"/>
      <c r="M206" s="93"/>
      <c r="N206" s="94"/>
    </row>
    <row r="207" spans="1:14" x14ac:dyDescent="0.2">
      <c r="A207" s="101"/>
      <c r="B207" s="448" t="s">
        <v>67</v>
      </c>
      <c r="C207" s="448"/>
      <c r="D207" s="448"/>
      <c r="E207" s="103"/>
      <c r="F207" s="103" t="s">
        <v>1180</v>
      </c>
      <c r="G207" s="103" t="s">
        <v>68</v>
      </c>
      <c r="H207" s="103" t="s">
        <v>702</v>
      </c>
      <c r="I207" s="103"/>
      <c r="J207" s="89">
        <f>40/ATHENS!O1*ATHENS!O2</f>
        <v>81.632653061224488</v>
      </c>
      <c r="K207" s="89">
        <f>63/ATHENS!O1*ATHENS!O2</f>
        <v>128.57142857142858</v>
      </c>
      <c r="L207" s="90"/>
      <c r="M207" s="113"/>
      <c r="N207" s="113"/>
    </row>
    <row r="208" spans="1:14" x14ac:dyDescent="0.2">
      <c r="A208" s="105"/>
      <c r="B208" s="443" t="s">
        <v>67</v>
      </c>
      <c r="C208" s="443"/>
      <c r="D208" s="443"/>
      <c r="E208" s="99"/>
      <c r="F208" s="99" t="s">
        <v>1181</v>
      </c>
      <c r="G208" s="99" t="s">
        <v>68</v>
      </c>
      <c r="H208" s="99" t="s">
        <v>702</v>
      </c>
      <c r="I208" s="99"/>
      <c r="J208" s="89">
        <f>23.5/ATHENS!O1*ATHENS!O2</f>
        <v>47.95918367346939</v>
      </c>
      <c r="K208" s="89">
        <f>42/ATHENS!O1*ATHENS!O2</f>
        <v>85.714285714285722</v>
      </c>
      <c r="L208" s="89"/>
      <c r="M208" s="89"/>
      <c r="N208" s="89"/>
    </row>
    <row r="209" spans="1:14" ht="13.5" thickBot="1" x14ac:dyDescent="0.25">
      <c r="A209" s="108"/>
      <c r="B209" s="436" t="s">
        <v>67</v>
      </c>
      <c r="C209" s="436"/>
      <c r="D209" s="436"/>
      <c r="E209" s="110"/>
      <c r="F209" s="110" t="s">
        <v>1182</v>
      </c>
      <c r="G209" s="110" t="s">
        <v>68</v>
      </c>
      <c r="H209" s="110" t="s">
        <v>702</v>
      </c>
      <c r="I209" s="110"/>
      <c r="J209" s="94">
        <f>20/ATHENS!O1*ATHENS!O2</f>
        <v>40.816326530612244</v>
      </c>
      <c r="K209" s="94">
        <f>36.6/ATHENS!O1*ATHENS!O2</f>
        <v>74.693877551020407</v>
      </c>
      <c r="L209" s="94"/>
      <c r="M209" s="94"/>
      <c r="N209" s="94"/>
    </row>
    <row r="210" spans="1:14" x14ac:dyDescent="0.2">
      <c r="A210" s="97"/>
      <c r="B210" s="98"/>
      <c r="C210" s="98"/>
      <c r="D210" s="98"/>
      <c r="E210" s="99"/>
      <c r="F210" s="99"/>
      <c r="G210" s="99"/>
      <c r="H210" s="99"/>
      <c r="I210" s="99"/>
      <c r="J210" s="99"/>
      <c r="K210" s="99"/>
      <c r="L210" s="99"/>
      <c r="M210" s="99"/>
      <c r="N210" s="99"/>
    </row>
  </sheetData>
  <customSheetViews>
    <customSheetView guid="{3C76061C-A85D-4390-B9DB-73E13038638C}" showPageBreaks="1" showGridLines="0" view="pageLayout" topLeftCell="A37">
      <selection activeCell="M51" sqref="M51"/>
      <rowBreaks count="2" manualBreakCount="2">
        <brk id="129" max="16383" man="1"/>
        <brk id="168" max="16383" man="1"/>
      </rowBreaks>
      <pageMargins left="0.28125" right="0.25" top="0.6692913385826772" bottom="0.70866141732283472" header="0.23622047244094491" footer="0.47244094488188981"/>
      <printOptions horizontalCentered="1"/>
      <pageSetup paperSize="9" firstPageNumber="111"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74">
    <mergeCell ref="C187:N189"/>
    <mergeCell ref="B193:D193"/>
    <mergeCell ref="B194:D194"/>
    <mergeCell ref="B195:D195"/>
    <mergeCell ref="B209:D209"/>
    <mergeCell ref="B198:M198"/>
    <mergeCell ref="C201:N202"/>
    <mergeCell ref="B207:D207"/>
    <mergeCell ref="B208:D208"/>
    <mergeCell ref="B180:D180"/>
    <mergeCell ref="B181:D181"/>
    <mergeCell ref="B184:M184"/>
    <mergeCell ref="B170:M170"/>
    <mergeCell ref="C173:N175"/>
    <mergeCell ref="C148:N150"/>
    <mergeCell ref="B153:D153"/>
    <mergeCell ref="B154:D154"/>
    <mergeCell ref="B155:D155"/>
    <mergeCell ref="B179:D179"/>
    <mergeCell ref="B167:D167"/>
    <mergeCell ref="B158:M158"/>
    <mergeCell ref="C161:N163"/>
    <mergeCell ref="B165:D165"/>
    <mergeCell ref="B166:D166"/>
    <mergeCell ref="B140:D140"/>
    <mergeCell ref="B141:D141"/>
    <mergeCell ref="B142:D142"/>
    <mergeCell ref="B145:M145"/>
    <mergeCell ref="B127:D127"/>
    <mergeCell ref="B128:D128"/>
    <mergeCell ref="B131:M131"/>
    <mergeCell ref="C134:N135"/>
    <mergeCell ref="B117:M117"/>
    <mergeCell ref="C120:N122"/>
    <mergeCell ref="B126:D126"/>
    <mergeCell ref="C105:N106"/>
    <mergeCell ref="B108:D108"/>
    <mergeCell ref="B109:D109"/>
    <mergeCell ref="B98:D98"/>
    <mergeCell ref="B99:D99"/>
    <mergeCell ref="B97:D97"/>
    <mergeCell ref="B110:D110"/>
    <mergeCell ref="B102:M102"/>
    <mergeCell ref="B85:D85"/>
    <mergeCell ref="C91:N93"/>
    <mergeCell ref="B75:M75"/>
    <mergeCell ref="C78:N81"/>
    <mergeCell ref="B83:D83"/>
    <mergeCell ref="B84:D84"/>
    <mergeCell ref="B88:M88"/>
    <mergeCell ref="B22:D22"/>
    <mergeCell ref="B23:D23"/>
    <mergeCell ref="B24:D24"/>
    <mergeCell ref="B27:M27"/>
    <mergeCell ref="B51:D51"/>
    <mergeCell ref="C30:N31"/>
    <mergeCell ref="B33:D33"/>
    <mergeCell ref="B34:D34"/>
    <mergeCell ref="B71:D71"/>
    <mergeCell ref="B37:M37"/>
    <mergeCell ref="C40:N43"/>
    <mergeCell ref="B49:D49"/>
    <mergeCell ref="B50:D50"/>
    <mergeCell ref="B62:M62"/>
    <mergeCell ref="C65:N67"/>
    <mergeCell ref="B70:D70"/>
    <mergeCell ref="B69:D69"/>
    <mergeCell ref="B10:D10"/>
    <mergeCell ref="B11:D11"/>
    <mergeCell ref="B14:M14"/>
    <mergeCell ref="C17:N19"/>
    <mergeCell ref="B3:M3"/>
    <mergeCell ref="C6:N7"/>
    <mergeCell ref="B9:D9"/>
  </mergeCells>
  <phoneticPr fontId="17" type="noConversion"/>
  <hyperlinks>
    <hyperlink ref="B3:M3" r:id="rId2" display="Daios" xr:uid="{00000000-0004-0000-2700-000000000000}"/>
    <hyperlink ref="B27:M27" r:id="rId3" display="Grand Palace" xr:uid="{00000000-0004-0000-2700-000001000000}"/>
    <hyperlink ref="B37:M37" r:id="rId4" display="Holiday Inn" xr:uid="{00000000-0004-0000-2700-000002000000}"/>
    <hyperlink ref="B62:M62" r:id="rId5" display="Les Lazaristes" xr:uid="{00000000-0004-0000-2700-000003000000}"/>
    <hyperlink ref="B75:M75" r:id="rId6" display="Mediterranean Palace" xr:uid="{00000000-0004-0000-2700-000004000000}"/>
    <hyperlink ref="B88:M88" r:id="rId7" display="Anatolia" xr:uid="{00000000-0004-0000-2700-000005000000}"/>
    <hyperlink ref="B102:M102" r:id="rId8" display="Capsis" xr:uid="{00000000-0004-0000-2700-000006000000}"/>
    <hyperlink ref="B117:M117" r:id="rId9" display="City &amp; Central Spa" xr:uid="{00000000-0004-0000-2700-000007000000}"/>
    <hyperlink ref="B131:M131" r:id="rId10" display="Davitel Tobacco" xr:uid="{00000000-0004-0000-2700-000008000000}"/>
    <hyperlink ref="B145:M145" r:id="rId11" display="Sun Beach" xr:uid="{00000000-0004-0000-2700-000009000000}"/>
    <hyperlink ref="B158:M158" r:id="rId12" display="El Greco" xr:uid="{00000000-0004-0000-2700-00000A000000}"/>
    <hyperlink ref="B170:M170" r:id="rId13" display="Mandrino" xr:uid="{00000000-0004-0000-2700-00000B000000}"/>
    <hyperlink ref="B184:M184" r:id="rId14" display="Metropolitan" xr:uid="{00000000-0004-0000-2700-00000C000000}"/>
    <hyperlink ref="B198:M198" r:id="rId15" display="Telioni" xr:uid="{00000000-0004-0000-2700-00000D000000}"/>
    <hyperlink ref="B14:M14" r:id="rId16" display="Electra Palace" xr:uid="{00000000-0004-0000-2700-00000E000000}"/>
  </hyperlinks>
  <printOptions horizontalCentered="1"/>
  <pageMargins left="0.28125" right="0.25" top="0.6692913385826772" bottom="0.70866141732283472" header="0.23622047244094491" footer="0.47244094488188981"/>
  <pageSetup paperSize="9" firstPageNumber="111" orientation="portrait" useFirstPageNumber="1" horizontalDpi="300" verticalDpi="300" r:id="rId17"/>
  <headerFooter scaleWithDoc="0" alignWithMargins="0">
    <oddHeader xml:space="preserve">&amp;C TARIFF 2026
 (EURO)
</oddHeader>
    <oddFooter>&amp;LAll rates are in EURO&amp;C
TARIFF 2026
&amp;RPage &amp;P</oddFooter>
  </headerFooter>
  <rowBreaks count="2" manualBreakCount="2">
    <brk id="129" max="16383" man="1"/>
    <brk id="168"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2:N73"/>
  <sheetViews>
    <sheetView showGridLines="0" view="pageLayout" topLeftCell="A43" zoomScaleNormal="100" workbookViewId="0">
      <selection activeCell="L114" sqref="L114"/>
    </sheetView>
  </sheetViews>
  <sheetFormatPr defaultRowHeight="12.75" x14ac:dyDescent="0.2"/>
  <cols>
    <col min="1" max="1" width="1.85546875" style="125" customWidth="1"/>
    <col min="2" max="3" width="10.7109375" style="125" customWidth="1"/>
    <col min="4" max="9" width="3.7109375" style="125" customWidth="1"/>
    <col min="10" max="14" width="10.7109375" style="125" customWidth="1"/>
    <col min="15" max="16384" width="9.140625" style="125"/>
  </cols>
  <sheetData>
    <row r="2" spans="1:14" ht="13.5" thickBot="1" x14ac:dyDescent="0.25"/>
    <row r="3" spans="1:14" x14ac:dyDescent="0.2">
      <c r="A3" s="20"/>
      <c r="B3" s="21"/>
      <c r="C3" s="21"/>
      <c r="D3" s="21"/>
      <c r="E3" s="22"/>
      <c r="F3" s="22"/>
      <c r="G3" s="22"/>
      <c r="H3" s="22"/>
      <c r="I3" s="22"/>
      <c r="J3" s="22"/>
      <c r="K3" s="22"/>
      <c r="L3" s="22"/>
      <c r="M3" s="22"/>
      <c r="N3" s="23"/>
    </row>
    <row r="4" spans="1:14" ht="15" x14ac:dyDescent="0.2">
      <c r="A4" s="24"/>
      <c r="B4" s="413" t="s">
        <v>851</v>
      </c>
      <c r="C4" s="414"/>
      <c r="D4" s="414"/>
      <c r="E4" s="414"/>
      <c r="F4" s="414"/>
      <c r="G4" s="414"/>
      <c r="H4" s="414"/>
      <c r="I4" s="414"/>
      <c r="J4" s="414"/>
      <c r="K4" s="414"/>
      <c r="L4" s="414"/>
      <c r="M4" s="415"/>
      <c r="N4" s="25" t="s">
        <v>91</v>
      </c>
    </row>
    <row r="5" spans="1:14" x14ac:dyDescent="0.2">
      <c r="A5" s="24"/>
      <c r="B5" s="26" t="s">
        <v>428</v>
      </c>
      <c r="C5" s="59" t="s">
        <v>1672</v>
      </c>
      <c r="D5" s="15"/>
      <c r="E5" s="16"/>
      <c r="F5" s="16"/>
      <c r="G5" s="16"/>
      <c r="H5" s="16"/>
      <c r="I5" s="16"/>
      <c r="J5" s="16"/>
      <c r="K5" s="16"/>
      <c r="L5" s="16"/>
      <c r="M5" s="16"/>
      <c r="N5" s="27"/>
    </row>
    <row r="6" spans="1:14" x14ac:dyDescent="0.2">
      <c r="A6" s="24"/>
      <c r="B6" s="26" t="s">
        <v>429</v>
      </c>
      <c r="C6" s="15" t="s">
        <v>1655</v>
      </c>
      <c r="D6" s="15"/>
      <c r="E6" s="16"/>
      <c r="F6" s="16"/>
      <c r="G6" s="16"/>
      <c r="H6" s="16"/>
      <c r="I6" s="16"/>
      <c r="J6" s="16"/>
      <c r="K6" s="16"/>
      <c r="L6" s="16"/>
      <c r="M6" s="16"/>
      <c r="N6" s="27"/>
    </row>
    <row r="7" spans="1:14" x14ac:dyDescent="0.2">
      <c r="A7" s="24"/>
      <c r="B7" s="26" t="s">
        <v>427</v>
      </c>
      <c r="C7" s="416" t="s">
        <v>1726</v>
      </c>
      <c r="D7" s="416"/>
      <c r="E7" s="416"/>
      <c r="F7" s="416"/>
      <c r="G7" s="416"/>
      <c r="H7" s="416"/>
      <c r="I7" s="416"/>
      <c r="J7" s="416"/>
      <c r="K7" s="416"/>
      <c r="L7" s="416"/>
      <c r="M7" s="416"/>
      <c r="N7" s="417"/>
    </row>
    <row r="8" spans="1:14" x14ac:dyDescent="0.2">
      <c r="A8" s="24"/>
      <c r="B8" s="15"/>
      <c r="C8" s="416"/>
      <c r="D8" s="416"/>
      <c r="E8" s="416"/>
      <c r="F8" s="416"/>
      <c r="G8" s="416"/>
      <c r="H8" s="416"/>
      <c r="I8" s="416"/>
      <c r="J8" s="416"/>
      <c r="K8" s="416"/>
      <c r="L8" s="416"/>
      <c r="M8" s="416"/>
      <c r="N8" s="417"/>
    </row>
    <row r="9" spans="1:14" x14ac:dyDescent="0.2">
      <c r="A9" s="24"/>
      <c r="B9" s="26" t="s">
        <v>426</v>
      </c>
      <c r="C9" s="15"/>
      <c r="D9" s="15"/>
      <c r="E9" s="16"/>
      <c r="F9" s="16"/>
      <c r="G9" s="16"/>
      <c r="H9" s="16"/>
      <c r="I9" s="16"/>
      <c r="J9" s="16"/>
      <c r="K9" s="16"/>
      <c r="L9" s="16"/>
      <c r="M9" s="16"/>
      <c r="N9" s="27"/>
    </row>
    <row r="10" spans="1:14" ht="13.5" thickBot="1" x14ac:dyDescent="0.25">
      <c r="A10" s="28"/>
      <c r="B10" s="26" t="s">
        <v>430</v>
      </c>
      <c r="C10" s="29"/>
      <c r="D10" s="29"/>
      <c r="E10" s="30"/>
      <c r="F10" s="30"/>
      <c r="G10" s="30"/>
      <c r="H10" s="30"/>
      <c r="I10" s="30"/>
      <c r="J10" s="30"/>
      <c r="K10" s="30"/>
      <c r="L10" s="30"/>
      <c r="M10" s="30"/>
      <c r="N10" s="31"/>
    </row>
    <row r="11" spans="1:14" x14ac:dyDescent="0.2">
      <c r="A11" s="24"/>
      <c r="B11" s="21" t="s">
        <v>263</v>
      </c>
      <c r="C11" s="15"/>
      <c r="D11" s="15"/>
      <c r="E11" s="16"/>
      <c r="F11" s="16"/>
      <c r="G11" s="16"/>
      <c r="H11" s="16"/>
      <c r="I11" s="16"/>
      <c r="J11" s="58" t="s">
        <v>397</v>
      </c>
      <c r="K11" s="55" t="s">
        <v>1965</v>
      </c>
      <c r="L11" s="55" t="s">
        <v>279</v>
      </c>
      <c r="M11" s="55" t="s">
        <v>1341</v>
      </c>
      <c r="N11" s="55"/>
    </row>
    <row r="12" spans="1:14" ht="13.5" thickBot="1" x14ac:dyDescent="0.25">
      <c r="A12" s="28"/>
      <c r="B12" s="29"/>
      <c r="C12" s="29"/>
      <c r="D12" s="29"/>
      <c r="E12" s="30"/>
      <c r="F12" s="30"/>
      <c r="G12" s="30"/>
      <c r="H12" s="30"/>
      <c r="I12" s="30"/>
      <c r="J12" s="44" t="s">
        <v>756</v>
      </c>
      <c r="K12" s="36" t="s">
        <v>282</v>
      </c>
      <c r="L12" s="36" t="s">
        <v>1223</v>
      </c>
      <c r="M12" s="36" t="s">
        <v>1588</v>
      </c>
      <c r="N12" s="36" t="s">
        <v>757</v>
      </c>
    </row>
    <row r="13" spans="1:14" x14ac:dyDescent="0.2">
      <c r="A13" s="20"/>
      <c r="B13" s="412" t="s">
        <v>67</v>
      </c>
      <c r="C13" s="412"/>
      <c r="D13" s="412"/>
      <c r="E13" s="22"/>
      <c r="F13" s="22" t="s">
        <v>1180</v>
      </c>
      <c r="G13" s="22" t="s">
        <v>1964</v>
      </c>
      <c r="H13" s="22" t="s">
        <v>702</v>
      </c>
      <c r="I13" s="16"/>
      <c r="J13" s="66">
        <f>120/ATHENS!O1*ATHENS!O2</f>
        <v>244.89795918367346</v>
      </c>
      <c r="K13" s="66">
        <f>150/ATHENS!O1*ATHENS!O2</f>
        <v>306.12244897959187</v>
      </c>
      <c r="L13" s="40">
        <f>200/ATHENS!O1*ATHENS!O2</f>
        <v>408.16326530612247</v>
      </c>
      <c r="M13" s="38">
        <f>220/ATHENS!O1*ATHENS!O2</f>
        <v>448.9795918367347</v>
      </c>
      <c r="N13" s="38">
        <f>240/ATHENS!O1*ATHENS!O2</f>
        <v>489.79591836734693</v>
      </c>
    </row>
    <row r="14" spans="1:14" x14ac:dyDescent="0.2">
      <c r="A14" s="24"/>
      <c r="B14" s="411" t="s">
        <v>67</v>
      </c>
      <c r="C14" s="411"/>
      <c r="D14" s="411"/>
      <c r="E14" s="16"/>
      <c r="F14" s="16" t="s">
        <v>1181</v>
      </c>
      <c r="G14" s="16" t="s">
        <v>1964</v>
      </c>
      <c r="H14" s="16" t="s">
        <v>702</v>
      </c>
      <c r="I14" s="16"/>
      <c r="J14" s="66">
        <f>60/ATHENS!O1*ATHENS!O2</f>
        <v>122.44897959183673</v>
      </c>
      <c r="K14" s="66">
        <f>75/ATHENS!O1*ATHENS!O2</f>
        <v>153.06122448979593</v>
      </c>
      <c r="L14" s="40">
        <f>100/ATHENS!O1*ATHENS!O2</f>
        <v>204.08163265306123</v>
      </c>
      <c r="M14" s="40">
        <f>110/ATHENS!O1*ATHENS!O2</f>
        <v>224.48979591836735</v>
      </c>
      <c r="N14" s="40">
        <f>120/ATHENS!O1*ATHENS!O2</f>
        <v>244.89795918367346</v>
      </c>
    </row>
    <row r="15" spans="1:14" ht="13.5" thickBot="1" x14ac:dyDescent="0.25">
      <c r="A15" s="28"/>
      <c r="B15" s="418" t="s">
        <v>67</v>
      </c>
      <c r="C15" s="418"/>
      <c r="D15" s="418"/>
      <c r="E15" s="30"/>
      <c r="F15" s="80" t="s">
        <v>1182</v>
      </c>
      <c r="G15" s="80" t="s">
        <v>1964</v>
      </c>
      <c r="H15" s="30" t="s">
        <v>702</v>
      </c>
      <c r="I15" s="30"/>
      <c r="J15" s="67">
        <f>55/ATHENS!O1*ATHENS!O2</f>
        <v>112.24489795918367</v>
      </c>
      <c r="K15" s="67">
        <f>68.7/ATHENS!O1*ATHENS!O2</f>
        <v>140.20408163265307</v>
      </c>
      <c r="L15" s="42">
        <f>92/ATHENS!O1*ATHENS!O2</f>
        <v>187.75510204081633</v>
      </c>
      <c r="M15" s="42">
        <f>101/ATHENS!O1*ATHENS!O2</f>
        <v>206.12244897959184</v>
      </c>
      <c r="N15" s="42">
        <f>110/ATHENS!O1*ATHENS!O2</f>
        <v>224.48979591836735</v>
      </c>
    </row>
    <row r="17" spans="1:14" ht="13.5" thickBot="1" x14ac:dyDescent="0.25">
      <c r="A17" s="97"/>
      <c r="B17" s="123"/>
      <c r="C17" s="123"/>
      <c r="D17" s="123"/>
      <c r="E17" s="124"/>
      <c r="F17" s="124"/>
      <c r="G17" s="124"/>
      <c r="H17" s="124"/>
      <c r="I17" s="124"/>
      <c r="J17" s="124"/>
      <c r="K17" s="124"/>
      <c r="L17" s="124"/>
      <c r="M17" s="124"/>
      <c r="N17" s="124"/>
    </row>
    <row r="18" spans="1:14" ht="13.5" thickBot="1" x14ac:dyDescent="0.25">
      <c r="A18" s="101"/>
      <c r="B18" s="102"/>
      <c r="C18" s="102"/>
      <c r="D18" s="102"/>
      <c r="E18" s="103"/>
      <c r="F18" s="103"/>
      <c r="G18" s="103"/>
      <c r="H18" s="103"/>
      <c r="I18" s="103"/>
      <c r="J18" s="103"/>
      <c r="K18" s="103"/>
      <c r="L18" s="103"/>
      <c r="M18" s="103"/>
      <c r="N18" s="104"/>
    </row>
    <row r="19" spans="1:14" ht="15.75" thickBot="1" x14ac:dyDescent="0.25">
      <c r="A19" s="105"/>
      <c r="B19" s="459" t="s">
        <v>580</v>
      </c>
      <c r="C19" s="460"/>
      <c r="D19" s="460"/>
      <c r="E19" s="460"/>
      <c r="F19" s="460"/>
      <c r="G19" s="460"/>
      <c r="H19" s="460"/>
      <c r="I19" s="460"/>
      <c r="J19" s="460"/>
      <c r="K19" s="460"/>
      <c r="L19" s="460"/>
      <c r="M19" s="461"/>
      <c r="N19" s="106" t="s">
        <v>91</v>
      </c>
    </row>
    <row r="20" spans="1:14" x14ac:dyDescent="0.2">
      <c r="A20" s="105"/>
      <c r="B20" s="107" t="s">
        <v>428</v>
      </c>
      <c r="C20" s="98" t="s">
        <v>581</v>
      </c>
      <c r="D20" s="98"/>
      <c r="E20" s="99"/>
      <c r="F20" s="99"/>
      <c r="G20" s="99"/>
      <c r="H20" s="99"/>
      <c r="I20" s="99"/>
      <c r="J20" s="99"/>
      <c r="K20" s="99"/>
      <c r="L20" s="99"/>
      <c r="M20" s="99"/>
      <c r="N20" s="90"/>
    </row>
    <row r="21" spans="1:14" x14ac:dyDescent="0.2">
      <c r="A21" s="105"/>
      <c r="B21" s="107" t="s">
        <v>429</v>
      </c>
      <c r="C21" s="98" t="s">
        <v>723</v>
      </c>
      <c r="D21" s="98"/>
      <c r="E21" s="99"/>
      <c r="F21" s="99"/>
      <c r="G21" s="99"/>
      <c r="H21" s="99"/>
      <c r="I21" s="99"/>
      <c r="J21" s="99"/>
      <c r="K21" s="99"/>
      <c r="L21" s="99"/>
      <c r="M21" s="99"/>
      <c r="N21" s="90"/>
    </row>
    <row r="22" spans="1:14" x14ac:dyDescent="0.2">
      <c r="A22" s="105"/>
      <c r="B22" s="107" t="s">
        <v>427</v>
      </c>
      <c r="C22" s="444" t="s">
        <v>332</v>
      </c>
      <c r="D22" s="444"/>
      <c r="E22" s="444"/>
      <c r="F22" s="444"/>
      <c r="G22" s="444"/>
      <c r="H22" s="444"/>
      <c r="I22" s="444"/>
      <c r="J22" s="444"/>
      <c r="K22" s="444"/>
      <c r="L22" s="444"/>
      <c r="M22" s="444"/>
      <c r="N22" s="445"/>
    </row>
    <row r="23" spans="1:14" x14ac:dyDescent="0.2">
      <c r="A23" s="105"/>
      <c r="B23" s="107"/>
      <c r="C23" s="444"/>
      <c r="D23" s="444"/>
      <c r="E23" s="444"/>
      <c r="F23" s="444"/>
      <c r="G23" s="444"/>
      <c r="H23" s="444"/>
      <c r="I23" s="444"/>
      <c r="J23" s="444"/>
      <c r="K23" s="444"/>
      <c r="L23" s="444"/>
      <c r="M23" s="444"/>
      <c r="N23" s="445"/>
    </row>
    <row r="24" spans="1:14" x14ac:dyDescent="0.2">
      <c r="A24" s="105"/>
      <c r="B24" s="107"/>
      <c r="C24" s="444"/>
      <c r="D24" s="444"/>
      <c r="E24" s="444"/>
      <c r="F24" s="444"/>
      <c r="G24" s="444"/>
      <c r="H24" s="444"/>
      <c r="I24" s="444"/>
      <c r="J24" s="444"/>
      <c r="K24" s="444"/>
      <c r="L24" s="444"/>
      <c r="M24" s="444"/>
      <c r="N24" s="445"/>
    </row>
    <row r="25" spans="1:14" ht="13.5" thickBot="1" x14ac:dyDescent="0.25">
      <c r="A25" s="105"/>
      <c r="B25" s="98"/>
      <c r="C25" s="444"/>
      <c r="D25" s="444"/>
      <c r="E25" s="444"/>
      <c r="F25" s="444"/>
      <c r="G25" s="444"/>
      <c r="H25" s="444"/>
      <c r="I25" s="444"/>
      <c r="J25" s="444"/>
      <c r="K25" s="444"/>
      <c r="L25" s="444"/>
      <c r="M25" s="444"/>
      <c r="N25" s="445"/>
    </row>
    <row r="26" spans="1:14" x14ac:dyDescent="0.2">
      <c r="A26" s="101"/>
      <c r="B26" s="102" t="s">
        <v>263</v>
      </c>
      <c r="C26" s="102"/>
      <c r="D26" s="102"/>
      <c r="E26" s="103"/>
      <c r="F26" s="103"/>
      <c r="G26" s="103"/>
      <c r="H26" s="103"/>
      <c r="I26" s="103"/>
      <c r="J26" s="114" t="s">
        <v>65</v>
      </c>
      <c r="K26" s="113" t="s">
        <v>175</v>
      </c>
      <c r="L26" s="113"/>
      <c r="M26" s="113"/>
      <c r="N26" s="113"/>
    </row>
    <row r="27" spans="1:14" ht="13.5" thickBot="1" x14ac:dyDescent="0.25">
      <c r="A27" s="108"/>
      <c r="B27" s="109"/>
      <c r="C27" s="109"/>
      <c r="D27" s="109"/>
      <c r="E27" s="110"/>
      <c r="F27" s="110"/>
      <c r="G27" s="110"/>
      <c r="H27" s="110"/>
      <c r="I27" s="110"/>
      <c r="J27" s="112" t="s">
        <v>2093</v>
      </c>
      <c r="K27" s="94" t="s">
        <v>1429</v>
      </c>
      <c r="L27" s="94" t="s">
        <v>2094</v>
      </c>
      <c r="M27" s="94"/>
      <c r="N27" s="94"/>
    </row>
    <row r="28" spans="1:14" x14ac:dyDescent="0.2">
      <c r="A28" s="101"/>
      <c r="B28" s="448" t="s">
        <v>67</v>
      </c>
      <c r="C28" s="448"/>
      <c r="D28" s="448"/>
      <c r="E28" s="103"/>
      <c r="F28" s="103" t="s">
        <v>1180</v>
      </c>
      <c r="G28" s="103" t="s">
        <v>1484</v>
      </c>
      <c r="H28" s="103" t="s">
        <v>702</v>
      </c>
      <c r="I28" s="103"/>
      <c r="J28" s="89">
        <f>72.7/ATHENS!O1*ATHENS!O2</f>
        <v>148.36734693877551</v>
      </c>
      <c r="K28" s="89">
        <f>104.5/ATHENS!O1*ATHENS!O2</f>
        <v>213.26530612244898</v>
      </c>
      <c r="L28" s="89">
        <f>138.5/ATHENS!O1*ATHENS!O2</f>
        <v>282.65306122448982</v>
      </c>
      <c r="M28" s="113"/>
      <c r="N28" s="113"/>
    </row>
    <row r="29" spans="1:14" x14ac:dyDescent="0.2">
      <c r="A29" s="105"/>
      <c r="B29" s="443" t="s">
        <v>67</v>
      </c>
      <c r="C29" s="443"/>
      <c r="D29" s="443"/>
      <c r="E29" s="99"/>
      <c r="F29" s="99" t="s">
        <v>1181</v>
      </c>
      <c r="G29" s="99" t="s">
        <v>1484</v>
      </c>
      <c r="H29" s="99" t="s">
        <v>702</v>
      </c>
      <c r="I29" s="99"/>
      <c r="J29" s="89">
        <f>43.7/ATHENS!O1*ATHENS!O2</f>
        <v>89.183673469387756</v>
      </c>
      <c r="K29" s="89">
        <f>61.5/ATHENS!O1*ATHENS!O2</f>
        <v>125.51020408163265</v>
      </c>
      <c r="L29" s="89">
        <f>83.6/ATHENS!O1*ATHENS!O2</f>
        <v>170.61224489795919</v>
      </c>
      <c r="M29" s="89"/>
      <c r="N29" s="89"/>
    </row>
    <row r="30" spans="1:14" ht="13.5" thickBot="1" x14ac:dyDescent="0.25">
      <c r="A30" s="108"/>
      <c r="B30" s="436" t="s">
        <v>67</v>
      </c>
      <c r="C30" s="436"/>
      <c r="D30" s="436"/>
      <c r="E30" s="110"/>
      <c r="F30" s="110" t="s">
        <v>1182</v>
      </c>
      <c r="G30" s="110" t="s">
        <v>1484</v>
      </c>
      <c r="H30" s="110" t="s">
        <v>702</v>
      </c>
      <c r="I30" s="110"/>
      <c r="J30" s="94">
        <f>39.5/ATHENS!O1*ATHENS!O2</f>
        <v>80.612244897959187</v>
      </c>
      <c r="K30" s="94">
        <f>55.5/ATHENS!O1*ATHENS!O2</f>
        <v>113.26530612244898</v>
      </c>
      <c r="L30" s="94">
        <f>75.5/ATHENS!O1*ATHENS!O2</f>
        <v>154.08163265306123</v>
      </c>
      <c r="M30" s="94"/>
      <c r="N30" s="94"/>
    </row>
    <row r="31" spans="1:14" ht="9" customHeight="1" x14ac:dyDescent="0.2">
      <c r="A31" s="97"/>
      <c r="B31" s="123"/>
      <c r="C31" s="123"/>
      <c r="D31" s="123"/>
      <c r="E31" s="124"/>
      <c r="F31" s="124"/>
      <c r="G31" s="124"/>
      <c r="H31" s="124"/>
      <c r="I31" s="124"/>
      <c r="J31" s="124"/>
      <c r="K31" s="124"/>
      <c r="L31" s="124"/>
      <c r="M31" s="124"/>
      <c r="N31" s="124"/>
    </row>
    <row r="32" spans="1:14" ht="11.25" customHeight="1" thickBot="1" x14ac:dyDescent="0.25">
      <c r="A32" s="97"/>
      <c r="B32" s="123"/>
      <c r="C32" s="123"/>
      <c r="D32" s="123"/>
      <c r="E32" s="124"/>
      <c r="F32" s="124"/>
      <c r="G32" s="124"/>
      <c r="H32" s="124"/>
      <c r="I32" s="124"/>
      <c r="J32" s="124"/>
      <c r="K32" s="124"/>
      <c r="L32" s="124"/>
      <c r="M32" s="124"/>
      <c r="N32" s="124"/>
    </row>
    <row r="33" spans="1:14" ht="13.5" thickBot="1" x14ac:dyDescent="0.25">
      <c r="A33" s="101"/>
      <c r="B33" s="102"/>
      <c r="C33" s="102"/>
      <c r="D33" s="102"/>
      <c r="E33" s="103"/>
      <c r="F33" s="103"/>
      <c r="G33" s="103"/>
      <c r="H33" s="103"/>
      <c r="I33" s="103"/>
      <c r="J33" s="103"/>
      <c r="K33" s="103"/>
      <c r="L33" s="103"/>
      <c r="M33" s="103"/>
      <c r="N33" s="104"/>
    </row>
    <row r="34" spans="1:14" ht="15.75" thickBot="1" x14ac:dyDescent="0.25">
      <c r="A34" s="105"/>
      <c r="B34" s="459" t="s">
        <v>333</v>
      </c>
      <c r="C34" s="460"/>
      <c r="D34" s="460"/>
      <c r="E34" s="460"/>
      <c r="F34" s="460"/>
      <c r="G34" s="460"/>
      <c r="H34" s="460"/>
      <c r="I34" s="460"/>
      <c r="J34" s="460"/>
      <c r="K34" s="460"/>
      <c r="L34" s="460"/>
      <c r="M34" s="461"/>
      <c r="N34" s="106" t="s">
        <v>96</v>
      </c>
    </row>
    <row r="35" spans="1:14" x14ac:dyDescent="0.2">
      <c r="A35" s="105"/>
      <c r="B35" s="107" t="s">
        <v>428</v>
      </c>
      <c r="C35" s="98" t="s">
        <v>334</v>
      </c>
      <c r="D35" s="98"/>
      <c r="E35" s="99"/>
      <c r="F35" s="99"/>
      <c r="G35" s="99"/>
      <c r="H35" s="99"/>
      <c r="I35" s="99"/>
      <c r="J35" s="99"/>
      <c r="K35" s="99"/>
      <c r="L35" s="99"/>
      <c r="M35" s="99"/>
      <c r="N35" s="90"/>
    </row>
    <row r="36" spans="1:14" x14ac:dyDescent="0.2">
      <c r="A36" s="105"/>
      <c r="B36" s="107" t="s">
        <v>429</v>
      </c>
      <c r="C36" s="98" t="s">
        <v>724</v>
      </c>
      <c r="D36" s="98"/>
      <c r="E36" s="99"/>
      <c r="F36" s="99"/>
      <c r="G36" s="99"/>
      <c r="H36" s="99"/>
      <c r="I36" s="99"/>
      <c r="J36" s="99"/>
      <c r="K36" s="99"/>
      <c r="L36" s="99"/>
      <c r="M36" s="99"/>
      <c r="N36" s="90"/>
    </row>
    <row r="37" spans="1:14" x14ac:dyDescent="0.2">
      <c r="A37" s="105"/>
      <c r="B37" s="107" t="s">
        <v>427</v>
      </c>
      <c r="C37" s="444" t="s">
        <v>335</v>
      </c>
      <c r="D37" s="444"/>
      <c r="E37" s="444"/>
      <c r="F37" s="444"/>
      <c r="G37" s="444"/>
      <c r="H37" s="444"/>
      <c r="I37" s="444"/>
      <c r="J37" s="444"/>
      <c r="K37" s="444"/>
      <c r="L37" s="444"/>
      <c r="M37" s="444"/>
      <c r="N37" s="445"/>
    </row>
    <row r="38" spans="1:14" x14ac:dyDescent="0.2">
      <c r="A38" s="105"/>
      <c r="B38" s="107"/>
      <c r="C38" s="444"/>
      <c r="D38" s="444"/>
      <c r="E38" s="444"/>
      <c r="F38" s="444"/>
      <c r="G38" s="444"/>
      <c r="H38" s="444"/>
      <c r="I38" s="444"/>
      <c r="J38" s="444"/>
      <c r="K38" s="444"/>
      <c r="L38" s="444"/>
      <c r="M38" s="444"/>
      <c r="N38" s="445"/>
    </row>
    <row r="39" spans="1:14" ht="13.5" thickBot="1" x14ac:dyDescent="0.25">
      <c r="A39" s="105"/>
      <c r="B39" s="98"/>
      <c r="C39" s="444"/>
      <c r="D39" s="444"/>
      <c r="E39" s="444"/>
      <c r="F39" s="444"/>
      <c r="G39" s="444"/>
      <c r="H39" s="444"/>
      <c r="I39" s="444"/>
      <c r="J39" s="444"/>
      <c r="K39" s="444"/>
      <c r="L39" s="444"/>
      <c r="M39" s="444"/>
      <c r="N39" s="445"/>
    </row>
    <row r="40" spans="1:14" ht="13.5" thickBot="1" x14ac:dyDescent="0.25">
      <c r="A40" s="101"/>
      <c r="B40" s="102" t="s">
        <v>263</v>
      </c>
      <c r="C40" s="102"/>
      <c r="D40" s="102"/>
      <c r="E40" s="103"/>
      <c r="F40" s="103"/>
      <c r="G40" s="103"/>
      <c r="H40" s="103"/>
      <c r="I40" s="103"/>
      <c r="J40" s="114" t="s">
        <v>758</v>
      </c>
      <c r="K40" s="94" t="s">
        <v>279</v>
      </c>
      <c r="L40" s="113"/>
      <c r="M40" s="113"/>
      <c r="N40" s="113"/>
    </row>
    <row r="41" spans="1:14" ht="13.5" thickBot="1" x14ac:dyDescent="0.25">
      <c r="A41" s="108"/>
      <c r="B41" s="109"/>
      <c r="C41" s="109"/>
      <c r="D41" s="109"/>
      <c r="E41" s="110"/>
      <c r="F41" s="110"/>
      <c r="G41" s="110"/>
      <c r="H41" s="110"/>
      <c r="I41" s="110"/>
      <c r="J41" s="112" t="s">
        <v>481</v>
      </c>
      <c r="K41" s="125" t="s">
        <v>832</v>
      </c>
      <c r="L41" s="94" t="s">
        <v>1341</v>
      </c>
      <c r="M41" s="94" t="s">
        <v>123</v>
      </c>
      <c r="N41" s="94"/>
    </row>
    <row r="42" spans="1:14" x14ac:dyDescent="0.2">
      <c r="A42" s="101"/>
      <c r="B42" s="448" t="s">
        <v>67</v>
      </c>
      <c r="C42" s="448"/>
      <c r="D42" s="448"/>
      <c r="E42" s="103"/>
      <c r="F42" s="103" t="s">
        <v>1181</v>
      </c>
      <c r="G42" s="103" t="s">
        <v>1487</v>
      </c>
      <c r="H42" s="103" t="s">
        <v>702</v>
      </c>
      <c r="I42" s="103"/>
      <c r="J42" s="89">
        <f>34.7/ATHENS!O1*ATHENS!O2</f>
        <v>70.816326530612258</v>
      </c>
      <c r="K42" s="89">
        <f>56.7/ATHENS!O1*ATHENS!O2</f>
        <v>115.71428571428572</v>
      </c>
      <c r="L42" s="89">
        <f>67.5/ATHENS!O1*ATHENS!O2</f>
        <v>137.75510204081633</v>
      </c>
      <c r="M42" s="89">
        <f>79.9/ATHENS!O1*ATHENS!O2</f>
        <v>163.06122448979593</v>
      </c>
      <c r="N42" s="113"/>
    </row>
    <row r="43" spans="1:14" ht="13.5" thickBot="1" x14ac:dyDescent="0.25">
      <c r="A43" s="108"/>
      <c r="B43" s="436" t="s">
        <v>67</v>
      </c>
      <c r="C43" s="436"/>
      <c r="D43" s="436"/>
      <c r="E43" s="110"/>
      <c r="F43" s="110" t="s">
        <v>1182</v>
      </c>
      <c r="G43" s="110" t="s">
        <v>1487</v>
      </c>
      <c r="H43" s="110" t="s">
        <v>702</v>
      </c>
      <c r="I43" s="110"/>
      <c r="J43" s="94">
        <f>31.5/ATHENS!O1*ATHENS!O2</f>
        <v>64.285714285714292</v>
      </c>
      <c r="K43" s="94">
        <f>51.5/ATHENS!O1*ATHENS!O2</f>
        <v>105.10204081632654</v>
      </c>
      <c r="L43" s="94">
        <f>60.8/ATHENS!O1*ATHENS!O2</f>
        <v>124.08163265306122</v>
      </c>
      <c r="M43" s="94">
        <f>71.9/ATHENS!O1*ATHENS!O2</f>
        <v>146.73469387755102</v>
      </c>
      <c r="N43" s="94"/>
    </row>
    <row r="44" spans="1:14" ht="14.25" customHeight="1" x14ac:dyDescent="0.2">
      <c r="A44" s="97"/>
      <c r="B44" s="98"/>
      <c r="C44" s="98"/>
      <c r="D44" s="98"/>
      <c r="E44" s="99"/>
      <c r="F44" s="99"/>
      <c r="G44" s="99"/>
      <c r="H44" s="99"/>
      <c r="I44" s="99"/>
      <c r="J44" s="99"/>
      <c r="K44" s="99"/>
      <c r="L44" s="99"/>
      <c r="M44" s="99"/>
      <c r="N44" s="99"/>
    </row>
    <row r="45" spans="1:14" ht="14.25" customHeight="1" x14ac:dyDescent="0.2">
      <c r="A45" s="97"/>
      <c r="B45" s="98"/>
      <c r="C45" s="98"/>
      <c r="D45" s="98"/>
      <c r="E45" s="99"/>
      <c r="F45" s="99"/>
      <c r="G45" s="99"/>
      <c r="H45" s="99"/>
      <c r="I45" s="99"/>
      <c r="J45" s="99"/>
      <c r="K45" s="99"/>
      <c r="L45" s="99"/>
      <c r="M45" s="99"/>
      <c r="N45" s="99"/>
    </row>
    <row r="46" spans="1:14" ht="14.25" customHeight="1" x14ac:dyDescent="0.2">
      <c r="A46" s="97"/>
      <c r="B46" s="98"/>
      <c r="C46" s="98"/>
      <c r="D46" s="98"/>
      <c r="E46" s="99"/>
      <c r="F46" s="99"/>
      <c r="G46" s="99"/>
      <c r="H46" s="99"/>
      <c r="I46" s="99"/>
      <c r="J46" s="99"/>
      <c r="K46" s="99"/>
      <c r="L46" s="99"/>
      <c r="M46" s="99"/>
      <c r="N46" s="99"/>
    </row>
    <row r="47" spans="1:14" ht="14.25" customHeight="1" x14ac:dyDescent="0.2">
      <c r="A47" s="97"/>
      <c r="B47" s="98"/>
      <c r="C47" s="98"/>
      <c r="D47" s="98"/>
      <c r="E47" s="99"/>
      <c r="F47" s="99"/>
      <c r="G47" s="99"/>
      <c r="H47" s="99"/>
      <c r="I47" s="99"/>
      <c r="J47" s="99"/>
      <c r="K47" s="99"/>
      <c r="L47" s="99"/>
      <c r="M47" s="99"/>
      <c r="N47" s="99"/>
    </row>
    <row r="48" spans="1:14" ht="14.25" customHeight="1" x14ac:dyDescent="0.2">
      <c r="A48" s="97"/>
      <c r="B48" s="98"/>
      <c r="C48" s="98"/>
      <c r="D48" s="98"/>
      <c r="E48" s="99"/>
      <c r="F48" s="99"/>
      <c r="G48" s="99"/>
      <c r="H48" s="99"/>
      <c r="I48" s="99"/>
      <c r="J48" s="99"/>
      <c r="K48" s="99"/>
      <c r="L48" s="99"/>
      <c r="M48" s="99"/>
      <c r="N48" s="99"/>
    </row>
    <row r="49" spans="1:14" ht="14.25" customHeight="1" x14ac:dyDescent="0.2">
      <c r="A49" s="97"/>
      <c r="B49" s="98"/>
      <c r="C49" s="98"/>
      <c r="D49" s="98"/>
      <c r="E49" s="99"/>
      <c r="F49" s="99"/>
      <c r="G49" s="99"/>
      <c r="H49" s="99"/>
      <c r="I49" s="99"/>
      <c r="J49" s="99"/>
      <c r="K49" s="99"/>
      <c r="L49" s="99"/>
      <c r="M49" s="99"/>
      <c r="N49" s="99"/>
    </row>
    <row r="50" spans="1:14" ht="14.25" customHeight="1" x14ac:dyDescent="0.2">
      <c r="A50" s="97"/>
      <c r="B50" s="98"/>
      <c r="C50" s="98"/>
      <c r="D50" s="98"/>
      <c r="E50" s="99"/>
      <c r="F50" s="99"/>
      <c r="G50" s="99"/>
      <c r="H50" s="99"/>
      <c r="I50" s="99"/>
      <c r="J50" s="99"/>
      <c r="K50" s="99"/>
      <c r="L50" s="99"/>
      <c r="M50" s="99"/>
      <c r="N50" s="99"/>
    </row>
    <row r="51" spans="1:14" ht="14.25" customHeight="1" x14ac:dyDescent="0.2">
      <c r="A51" s="97"/>
      <c r="B51" s="98"/>
      <c r="C51" s="98"/>
      <c r="D51" s="98"/>
      <c r="E51" s="99"/>
      <c r="F51" s="99"/>
      <c r="G51" s="99"/>
      <c r="H51" s="99"/>
      <c r="I51" s="99"/>
      <c r="J51" s="99"/>
      <c r="K51" s="99"/>
      <c r="L51" s="99"/>
      <c r="M51" s="99"/>
      <c r="N51" s="99"/>
    </row>
    <row r="52" spans="1:14" ht="14.25" customHeight="1" x14ac:dyDescent="0.2">
      <c r="A52" s="97"/>
      <c r="B52" s="98"/>
      <c r="C52" s="98"/>
      <c r="D52" s="98"/>
      <c r="E52" s="99"/>
      <c r="F52" s="99"/>
      <c r="G52" s="99"/>
      <c r="H52" s="99"/>
      <c r="I52" s="99"/>
      <c r="J52" s="99"/>
      <c r="K52" s="99"/>
      <c r="L52" s="99"/>
      <c r="M52" s="99"/>
      <c r="N52" s="99"/>
    </row>
    <row r="53" spans="1:14" ht="14.25" customHeight="1" x14ac:dyDescent="0.2">
      <c r="A53" s="97"/>
      <c r="B53" s="98"/>
      <c r="C53" s="98"/>
      <c r="D53" s="98"/>
      <c r="E53" s="99"/>
      <c r="F53" s="99"/>
      <c r="G53" s="99"/>
      <c r="H53" s="99"/>
      <c r="I53" s="99"/>
      <c r="J53" s="99"/>
      <c r="K53" s="99"/>
      <c r="L53" s="99"/>
      <c r="M53" s="99"/>
      <c r="N53" s="99"/>
    </row>
    <row r="54" spans="1:14" ht="14.25" customHeight="1" x14ac:dyDescent="0.2">
      <c r="A54" s="97"/>
      <c r="B54" s="98"/>
      <c r="C54" s="98"/>
      <c r="D54" s="98"/>
      <c r="E54" s="99"/>
      <c r="F54" s="99"/>
      <c r="G54" s="99"/>
      <c r="H54" s="99"/>
      <c r="I54" s="99"/>
      <c r="J54" s="99"/>
      <c r="K54" s="99"/>
      <c r="L54" s="99"/>
      <c r="M54" s="99"/>
      <c r="N54" s="99"/>
    </row>
    <row r="55" spans="1:14" ht="14.25" customHeight="1" x14ac:dyDescent="0.2">
      <c r="A55" s="97"/>
      <c r="B55" s="98"/>
      <c r="C55" s="98"/>
      <c r="D55" s="98"/>
      <c r="E55" s="99"/>
      <c r="F55" s="99"/>
      <c r="G55" s="99"/>
      <c r="H55" s="99"/>
      <c r="I55" s="99"/>
      <c r="J55" s="99"/>
      <c r="K55" s="99"/>
      <c r="L55" s="99"/>
      <c r="M55" s="99"/>
      <c r="N55" s="99"/>
    </row>
    <row r="56" spans="1:14" ht="14.25" customHeight="1" x14ac:dyDescent="0.2">
      <c r="A56" s="97"/>
      <c r="B56" s="98"/>
      <c r="C56" s="98"/>
      <c r="D56" s="98"/>
      <c r="E56" s="99"/>
      <c r="F56" s="99"/>
      <c r="G56" s="99"/>
      <c r="H56" s="99"/>
      <c r="I56" s="99"/>
      <c r="J56" s="99"/>
      <c r="K56" s="99"/>
      <c r="L56" s="99"/>
      <c r="M56" s="99"/>
      <c r="N56" s="99"/>
    </row>
    <row r="57" spans="1:14" ht="14.25" customHeight="1" x14ac:dyDescent="0.2">
      <c r="A57" s="97"/>
      <c r="B57" s="98"/>
      <c r="C57" s="98"/>
      <c r="D57" s="98"/>
      <c r="E57" s="99"/>
      <c r="F57" s="99"/>
      <c r="G57" s="99"/>
      <c r="H57" s="99"/>
      <c r="I57" s="99"/>
      <c r="J57" s="99"/>
      <c r="K57" s="99"/>
      <c r="L57" s="99"/>
      <c r="M57" s="99"/>
      <c r="N57" s="99"/>
    </row>
    <row r="58" spans="1:14" x14ac:dyDescent="0.2">
      <c r="A58" s="97"/>
      <c r="B58" s="98"/>
      <c r="C58" s="98"/>
      <c r="D58" s="98"/>
      <c r="E58" s="99"/>
      <c r="F58" s="99"/>
      <c r="G58" s="99"/>
      <c r="H58" s="99"/>
      <c r="I58" s="99"/>
      <c r="J58" s="99"/>
      <c r="K58" s="99"/>
      <c r="L58" s="99"/>
      <c r="M58" s="99"/>
      <c r="N58" s="99"/>
    </row>
    <row r="59" spans="1:14" ht="13.5" thickBot="1" x14ac:dyDescent="0.25">
      <c r="A59" s="97"/>
      <c r="B59" s="98"/>
      <c r="C59" s="98"/>
      <c r="D59" s="98"/>
      <c r="E59" s="99"/>
      <c r="F59" s="99"/>
      <c r="G59" s="99"/>
      <c r="H59" s="99"/>
      <c r="I59" s="99"/>
      <c r="J59" s="99"/>
      <c r="K59" s="99"/>
      <c r="L59" s="99"/>
      <c r="M59" s="99"/>
      <c r="N59" s="99"/>
    </row>
    <row r="60" spans="1:14" x14ac:dyDescent="0.2">
      <c r="A60" s="20"/>
      <c r="B60" s="21"/>
      <c r="C60" s="21"/>
      <c r="D60" s="21"/>
      <c r="E60" s="22"/>
      <c r="F60" s="22"/>
      <c r="G60" s="22"/>
      <c r="H60" s="22"/>
      <c r="I60" s="22"/>
      <c r="J60" s="22"/>
      <c r="K60" s="22"/>
      <c r="L60" s="22"/>
      <c r="M60" s="22"/>
      <c r="N60" s="23"/>
    </row>
    <row r="61" spans="1:14" ht="15" x14ac:dyDescent="0.2">
      <c r="A61" s="24"/>
      <c r="B61" s="413" t="s">
        <v>1741</v>
      </c>
      <c r="C61" s="414"/>
      <c r="D61" s="414"/>
      <c r="E61" s="414"/>
      <c r="F61" s="414"/>
      <c r="G61" s="414"/>
      <c r="H61" s="414"/>
      <c r="I61" s="414"/>
      <c r="J61" s="414"/>
      <c r="K61" s="414"/>
      <c r="L61" s="414"/>
      <c r="M61" s="415"/>
      <c r="N61" s="25" t="s">
        <v>96</v>
      </c>
    </row>
    <row r="62" spans="1:14" x14ac:dyDescent="0.2">
      <c r="A62" s="24"/>
      <c r="B62" s="26" t="s">
        <v>428</v>
      </c>
      <c r="C62" s="15" t="s">
        <v>1744</v>
      </c>
      <c r="D62" s="15"/>
      <c r="E62" s="16"/>
      <c r="F62" s="16"/>
      <c r="G62" s="16"/>
      <c r="H62" s="16"/>
      <c r="I62" s="16"/>
      <c r="J62" s="16"/>
      <c r="K62" s="16"/>
      <c r="L62" s="16"/>
      <c r="M62" s="16"/>
      <c r="N62" s="27"/>
    </row>
    <row r="63" spans="1:14" x14ac:dyDescent="0.2">
      <c r="A63" s="24"/>
      <c r="B63" s="26" t="s">
        <v>429</v>
      </c>
      <c r="C63" s="15" t="s">
        <v>1742</v>
      </c>
      <c r="D63" s="15"/>
      <c r="E63" s="16"/>
      <c r="F63" s="16"/>
      <c r="G63" s="16"/>
      <c r="H63" s="16"/>
      <c r="I63" s="16"/>
      <c r="J63" s="16"/>
      <c r="K63" s="16"/>
      <c r="L63" s="16"/>
      <c r="M63" s="16"/>
      <c r="N63" s="27"/>
    </row>
    <row r="64" spans="1:14" x14ac:dyDescent="0.2">
      <c r="A64" s="24"/>
      <c r="B64" s="26" t="s">
        <v>427</v>
      </c>
      <c r="C64" s="416" t="s">
        <v>1743</v>
      </c>
      <c r="D64" s="416"/>
      <c r="E64" s="416"/>
      <c r="F64" s="416"/>
      <c r="G64" s="416"/>
      <c r="H64" s="416"/>
      <c r="I64" s="416"/>
      <c r="J64" s="416"/>
      <c r="K64" s="416"/>
      <c r="L64" s="416"/>
      <c r="M64" s="416"/>
      <c r="N64" s="417"/>
    </row>
    <row r="65" spans="1:14" x14ac:dyDescent="0.2">
      <c r="A65" s="24"/>
      <c r="B65" s="15"/>
      <c r="C65" s="416"/>
      <c r="D65" s="416"/>
      <c r="E65" s="416"/>
      <c r="F65" s="416"/>
      <c r="G65" s="416"/>
      <c r="H65" s="416"/>
      <c r="I65" s="416"/>
      <c r="J65" s="416"/>
      <c r="K65" s="416"/>
      <c r="L65" s="416"/>
      <c r="M65" s="416"/>
      <c r="N65" s="417"/>
    </row>
    <row r="66" spans="1:14" x14ac:dyDescent="0.2">
      <c r="A66" s="24"/>
      <c r="B66" s="26" t="s">
        <v>426</v>
      </c>
      <c r="C66" s="15"/>
      <c r="D66" s="15"/>
      <c r="E66" s="16"/>
      <c r="F66" s="16"/>
      <c r="G66" s="16"/>
      <c r="H66" s="16"/>
      <c r="I66" s="16"/>
      <c r="J66" s="16"/>
      <c r="K66" s="16"/>
      <c r="L66" s="16"/>
      <c r="M66" s="16"/>
      <c r="N66" s="27"/>
    </row>
    <row r="67" spans="1:14" ht="13.5" thickBot="1" x14ac:dyDescent="0.25">
      <c r="A67" s="28"/>
      <c r="B67" s="26" t="s">
        <v>430</v>
      </c>
      <c r="C67" s="29"/>
      <c r="D67" s="29"/>
      <c r="E67" s="30"/>
      <c r="F67" s="30"/>
      <c r="G67" s="30"/>
      <c r="H67" s="30"/>
      <c r="I67" s="30"/>
      <c r="J67" s="30"/>
      <c r="K67" s="30"/>
      <c r="L67" s="30"/>
      <c r="M67" s="30"/>
      <c r="N67" s="31"/>
    </row>
    <row r="68" spans="1:14" x14ac:dyDescent="0.2">
      <c r="A68" s="24"/>
      <c r="B68" s="21" t="s">
        <v>263</v>
      </c>
      <c r="C68" s="15"/>
      <c r="D68" s="15"/>
      <c r="E68" s="16"/>
      <c r="F68" s="16"/>
      <c r="G68" s="16"/>
      <c r="H68" s="16"/>
      <c r="I68" s="16"/>
      <c r="J68" s="58" t="s">
        <v>397</v>
      </c>
      <c r="K68" s="55" t="s">
        <v>1965</v>
      </c>
      <c r="L68" s="55" t="s">
        <v>279</v>
      </c>
      <c r="M68" s="55" t="s">
        <v>1341</v>
      </c>
      <c r="N68" s="55"/>
    </row>
    <row r="69" spans="1:14" ht="13.5" thickBot="1" x14ac:dyDescent="0.25">
      <c r="A69" s="28"/>
      <c r="B69" s="29"/>
      <c r="C69" s="29"/>
      <c r="D69" s="29"/>
      <c r="E69" s="30"/>
      <c r="F69" s="30"/>
      <c r="G69" s="30"/>
      <c r="H69" s="30"/>
      <c r="I69" s="30"/>
      <c r="J69" s="44" t="s">
        <v>756</v>
      </c>
      <c r="K69" s="36" t="s">
        <v>282</v>
      </c>
      <c r="L69" s="36" t="s">
        <v>1223</v>
      </c>
      <c r="M69" s="36" t="s">
        <v>1588</v>
      </c>
      <c r="N69" s="36" t="s">
        <v>757</v>
      </c>
    </row>
    <row r="70" spans="1:14" x14ac:dyDescent="0.2">
      <c r="A70" s="20"/>
      <c r="B70" s="412" t="s">
        <v>67</v>
      </c>
      <c r="C70" s="412"/>
      <c r="D70" s="412"/>
      <c r="E70" s="22"/>
      <c r="F70" s="22" t="s">
        <v>1180</v>
      </c>
      <c r="G70" s="22" t="s">
        <v>1964</v>
      </c>
      <c r="H70" s="22" t="s">
        <v>702</v>
      </c>
      <c r="I70" s="16"/>
      <c r="J70" s="66">
        <f>120/ATHENS!O1*ATHENS!O2</f>
        <v>244.89795918367346</v>
      </c>
      <c r="K70" s="66">
        <f>150/ATHENS!O1*ATHENS!O2</f>
        <v>306.12244897959187</v>
      </c>
      <c r="L70" s="40">
        <f>200/ATHENS!O1*ATHENS!O2</f>
        <v>408.16326530612247</v>
      </c>
      <c r="M70" s="38">
        <f>220/ATHENS!O1*ATHENS!O2</f>
        <v>448.9795918367347</v>
      </c>
      <c r="N70" s="38">
        <f>240/ATHENS!O1*ATHENS!O2</f>
        <v>489.79591836734693</v>
      </c>
    </row>
    <row r="71" spans="1:14" x14ac:dyDescent="0.2">
      <c r="A71" s="24"/>
      <c r="B71" s="411" t="s">
        <v>67</v>
      </c>
      <c r="C71" s="411"/>
      <c r="D71" s="411"/>
      <c r="E71" s="16"/>
      <c r="F71" s="16" t="s">
        <v>1181</v>
      </c>
      <c r="G71" s="16" t="s">
        <v>1964</v>
      </c>
      <c r="H71" s="16" t="s">
        <v>702</v>
      </c>
      <c r="I71" s="16"/>
      <c r="J71" s="66">
        <f>60/ATHENS!O1*ATHENS!O2</f>
        <v>122.44897959183673</v>
      </c>
      <c r="K71" s="66">
        <f>75/ATHENS!O1*ATHENS!O2</f>
        <v>153.06122448979593</v>
      </c>
      <c r="L71" s="40">
        <f>100/ATHENS!O1*ATHENS!O2</f>
        <v>204.08163265306123</v>
      </c>
      <c r="M71" s="40">
        <f>110/ATHENS!O1*ATHENS!O2</f>
        <v>224.48979591836735</v>
      </c>
      <c r="N71" s="40">
        <f>120/ATHENS!O1*ATHENS!O2</f>
        <v>244.89795918367346</v>
      </c>
    </row>
    <row r="72" spans="1:14" ht="13.5" thickBot="1" x14ac:dyDescent="0.25">
      <c r="A72" s="28"/>
      <c r="B72" s="418" t="s">
        <v>67</v>
      </c>
      <c r="C72" s="418"/>
      <c r="D72" s="418"/>
      <c r="E72" s="30"/>
      <c r="F72" s="80" t="s">
        <v>1182</v>
      </c>
      <c r="G72" s="80" t="s">
        <v>1964</v>
      </c>
      <c r="H72" s="30" t="s">
        <v>702</v>
      </c>
      <c r="I72" s="30"/>
      <c r="J72" s="67">
        <f>55/ATHENS!O1*ATHENS!O2</f>
        <v>112.24489795918367</v>
      </c>
      <c r="K72" s="67">
        <f>69/ATHENS!O1*ATHENS!O2</f>
        <v>140.81632653061226</v>
      </c>
      <c r="L72" s="42">
        <f>92/ATHENS!O1*ATHENS!O2</f>
        <v>187.75510204081633</v>
      </c>
      <c r="M72" s="42">
        <f>101/ATHENS!O1*ATHENS!O2</f>
        <v>206.12244897959184</v>
      </c>
      <c r="N72" s="42">
        <f>110/ATHENS!O1*ATHENS!O2</f>
        <v>224.48979591836735</v>
      </c>
    </row>
    <row r="73" spans="1:14" x14ac:dyDescent="0.2">
      <c r="A73" s="97"/>
      <c r="B73" s="98"/>
      <c r="C73" s="98"/>
      <c r="D73" s="98"/>
      <c r="E73" s="99"/>
      <c r="F73" s="99"/>
      <c r="G73" s="99"/>
      <c r="H73" s="99"/>
      <c r="I73" s="99"/>
      <c r="J73" s="99"/>
      <c r="K73" s="99"/>
      <c r="L73" s="99"/>
      <c r="M73" s="99"/>
      <c r="N73" s="99"/>
    </row>
  </sheetData>
  <customSheetViews>
    <customSheetView guid="{3C76061C-A85D-4390-B9DB-73E13038638C}" showPageBreaks="1" showGridLines="0" view="pageLayout">
      <selection activeCell="M51" sqref="M51"/>
      <pageMargins left="0.28125" right="0.25" top="0.6692913385826772" bottom="0.70866141732283472" header="0.23622047244094491" footer="0.47244094488188981"/>
      <printOptions horizontalCentered="1"/>
      <pageSetup paperSize="9" firstPageNumber="116" orientation="portrait" useFirstPageNumber="1" horizontalDpi="300" verticalDpi="300" r:id="rId1"/>
      <headerFooter scaleWithDoc="0" alignWithMargins="0">
        <oddHeader>&amp;C TARIFF 2019
 (EURO)
Accommodation in &amp;A</oddHeader>
        <oddFooter>&amp;LAll rates are in EURO&amp;C
TARIFF 2019
&amp;RPage &amp;P</oddFooter>
      </headerFooter>
    </customSheetView>
  </customSheetViews>
  <mergeCells count="19">
    <mergeCell ref="B30:D30"/>
    <mergeCell ref="B14:D14"/>
    <mergeCell ref="B15:D15"/>
    <mergeCell ref="B61:M61"/>
    <mergeCell ref="C64:N65"/>
    <mergeCell ref="C37:N39"/>
    <mergeCell ref="B42:D42"/>
    <mergeCell ref="B4:M4"/>
    <mergeCell ref="C7:N8"/>
    <mergeCell ref="B13:D13"/>
    <mergeCell ref="B29:D29"/>
    <mergeCell ref="B19:M19"/>
    <mergeCell ref="C22:N25"/>
    <mergeCell ref="B28:D28"/>
    <mergeCell ref="B43:D43"/>
    <mergeCell ref="B34:M34"/>
    <mergeCell ref="B70:D70"/>
    <mergeCell ref="B71:D71"/>
    <mergeCell ref="B72:D72"/>
  </mergeCells>
  <phoneticPr fontId="17" type="noConversion"/>
  <hyperlinks>
    <hyperlink ref="B19:M19" r:id="rId2" display="Mediterranean Beach Resort" xr:uid="{00000000-0004-0000-2800-000000000000}"/>
    <hyperlink ref="B34:M34" r:id="rId3" display="Diana Palace" xr:uid="{00000000-0004-0000-2800-000001000000}"/>
    <hyperlink ref="B4:M4" r:id="rId4" display="Galaxy" xr:uid="{00000000-0004-0000-2800-000002000000}"/>
    <hyperlink ref="B61:M61" r:id="rId5" display="Miro Zante Royal Resort " xr:uid="{00000000-0004-0000-2800-000003000000}"/>
  </hyperlinks>
  <printOptions horizontalCentered="1"/>
  <pageMargins left="0.28125" right="0.25" top="0.6692913385826772" bottom="0.70866141732283472" header="0.23622047244094491" footer="0.47244094488188981"/>
  <pageSetup paperSize="9" firstPageNumber="116" orientation="portrait" useFirstPageNumber="1" horizontalDpi="300" verticalDpi="300" r:id="rId6"/>
  <headerFooter scaleWithDoc="0" alignWithMargins="0">
    <oddHeader xml:space="preserve">&amp;C TARIFF 2026
 (EURO)
</oddHeader>
    <oddFooter>&amp;LAll rates are in EURO&amp;C
TARIFF 2026
&amp;RPage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4"/>
  <dimension ref="C2:J54"/>
  <sheetViews>
    <sheetView showGridLines="0" view="pageLayout" topLeftCell="A8" workbookViewId="0">
      <selection activeCell="L114" sqref="L114"/>
    </sheetView>
  </sheetViews>
  <sheetFormatPr defaultRowHeight="12.75" x14ac:dyDescent="0.2"/>
  <cols>
    <col min="1" max="1" width="5" customWidth="1"/>
    <col min="2" max="2" width="4.5703125" customWidth="1"/>
    <col min="4" max="5" width="5.85546875" customWidth="1"/>
  </cols>
  <sheetData>
    <row r="2" spans="3:8" x14ac:dyDescent="0.2">
      <c r="C2" s="362" t="s">
        <v>688</v>
      </c>
      <c r="D2" s="362"/>
      <c r="E2" s="362"/>
      <c r="F2" s="362"/>
      <c r="G2" s="362"/>
      <c r="H2" s="362"/>
    </row>
    <row r="3" spans="3:8" x14ac:dyDescent="0.2">
      <c r="C3" s="362"/>
      <c r="D3" s="362"/>
      <c r="E3" s="362"/>
      <c r="F3" s="362"/>
      <c r="G3" s="362"/>
      <c r="H3" s="362"/>
    </row>
    <row r="6" spans="3:8" ht="15" x14ac:dyDescent="0.2">
      <c r="E6" s="7" t="s">
        <v>689</v>
      </c>
    </row>
    <row r="8" spans="3:8" x14ac:dyDescent="0.2">
      <c r="E8" s="1" t="s">
        <v>692</v>
      </c>
      <c r="F8" s="8" t="s">
        <v>697</v>
      </c>
    </row>
    <row r="9" spans="3:8" x14ac:dyDescent="0.2">
      <c r="E9" s="1" t="s">
        <v>693</v>
      </c>
      <c r="F9" s="8" t="s">
        <v>698</v>
      </c>
    </row>
    <row r="10" spans="3:8" x14ac:dyDescent="0.2">
      <c r="E10" s="1" t="s">
        <v>694</v>
      </c>
      <c r="F10" s="8" t="s">
        <v>699</v>
      </c>
    </row>
    <row r="11" spans="3:8" x14ac:dyDescent="0.2">
      <c r="E11" s="1" t="s">
        <v>695</v>
      </c>
      <c r="F11" s="8" t="s">
        <v>700</v>
      </c>
    </row>
    <row r="12" spans="3:8" ht="13.5" customHeight="1" x14ac:dyDescent="0.2">
      <c r="E12" s="1" t="s">
        <v>696</v>
      </c>
      <c r="F12" s="8" t="s">
        <v>701</v>
      </c>
    </row>
    <row r="13" spans="3:8" ht="13.5" customHeight="1" x14ac:dyDescent="0.2"/>
    <row r="14" spans="3:8" s="5" customFormat="1" ht="15" x14ac:dyDescent="0.2">
      <c r="E14" s="7" t="s">
        <v>690</v>
      </c>
    </row>
    <row r="15" spans="3:8" s="5" customFormat="1" x14ac:dyDescent="0.2">
      <c r="E15" s="6"/>
    </row>
    <row r="16" spans="3:8" x14ac:dyDescent="0.2">
      <c r="E16" s="1" t="s">
        <v>702</v>
      </c>
      <c r="F16" s="8" t="s">
        <v>1185</v>
      </c>
    </row>
    <row r="17" spans="5:8" x14ac:dyDescent="0.2">
      <c r="E17" s="1" t="s">
        <v>1184</v>
      </c>
      <c r="F17" s="8" t="s">
        <v>1186</v>
      </c>
    </row>
    <row r="19" spans="5:8" ht="15" x14ac:dyDescent="0.2">
      <c r="E19" s="7" t="s">
        <v>691</v>
      </c>
    </row>
    <row r="20" spans="5:8" x14ac:dyDescent="0.2">
      <c r="E20" s="6"/>
    </row>
    <row r="21" spans="5:8" x14ac:dyDescent="0.2">
      <c r="E21" s="1" t="s">
        <v>1180</v>
      </c>
      <c r="F21" s="8" t="s">
        <v>1187</v>
      </c>
    </row>
    <row r="22" spans="5:8" x14ac:dyDescent="0.2">
      <c r="E22" s="1" t="s">
        <v>1181</v>
      </c>
      <c r="F22" s="8" t="s">
        <v>1188</v>
      </c>
    </row>
    <row r="23" spans="5:8" x14ac:dyDescent="0.2">
      <c r="E23" s="1" t="s">
        <v>1182</v>
      </c>
      <c r="F23" s="8" t="s">
        <v>1189</v>
      </c>
    </row>
    <row r="24" spans="5:8" x14ac:dyDescent="0.2">
      <c r="E24" s="1" t="s">
        <v>1183</v>
      </c>
      <c r="F24" s="8" t="s">
        <v>1190</v>
      </c>
      <c r="H24" s="8"/>
    </row>
    <row r="26" spans="5:8" x14ac:dyDescent="0.2">
      <c r="E26" s="1" t="s">
        <v>703</v>
      </c>
      <c r="F26" s="8" t="s">
        <v>1191</v>
      </c>
    </row>
    <row r="27" spans="5:8" x14ac:dyDescent="0.2">
      <c r="E27" s="1" t="s">
        <v>704</v>
      </c>
      <c r="F27" s="8" t="s">
        <v>1192</v>
      </c>
    </row>
    <row r="28" spans="5:8" x14ac:dyDescent="0.2">
      <c r="E28" s="1" t="s">
        <v>705</v>
      </c>
      <c r="F28" s="8" t="s">
        <v>1193</v>
      </c>
    </row>
    <row r="29" spans="5:8" x14ac:dyDescent="0.2">
      <c r="E29" s="1" t="s">
        <v>706</v>
      </c>
      <c r="F29" s="8" t="s">
        <v>1194</v>
      </c>
      <c r="H29" s="8"/>
    </row>
    <row r="30" spans="5:8" x14ac:dyDescent="0.2">
      <c r="E30" s="1" t="s">
        <v>707</v>
      </c>
      <c r="F30" s="8" t="s">
        <v>1195</v>
      </c>
    </row>
    <row r="32" spans="5:8" x14ac:dyDescent="0.2">
      <c r="E32" s="1" t="s">
        <v>1196</v>
      </c>
      <c r="F32" s="8" t="s">
        <v>103</v>
      </c>
    </row>
    <row r="33" spans="5:6" x14ac:dyDescent="0.2">
      <c r="E33" s="1" t="s">
        <v>1197</v>
      </c>
      <c r="F33" s="8" t="s">
        <v>104</v>
      </c>
    </row>
    <row r="34" spans="5:6" x14ac:dyDescent="0.2">
      <c r="E34" s="1" t="s">
        <v>1198</v>
      </c>
      <c r="F34" s="8" t="s">
        <v>105</v>
      </c>
    </row>
    <row r="35" spans="5:6" x14ac:dyDescent="0.2">
      <c r="E35" s="1" t="s">
        <v>97</v>
      </c>
      <c r="F35" s="8" t="s">
        <v>106</v>
      </c>
    </row>
    <row r="37" spans="5:6" x14ac:dyDescent="0.2">
      <c r="E37" s="1" t="s">
        <v>98</v>
      </c>
      <c r="F37" s="8" t="s">
        <v>107</v>
      </c>
    </row>
    <row r="38" spans="5:6" x14ac:dyDescent="0.2">
      <c r="E38" s="1" t="s">
        <v>99</v>
      </c>
      <c r="F38" s="8" t="s">
        <v>108</v>
      </c>
    </row>
    <row r="39" spans="5:6" x14ac:dyDescent="0.2">
      <c r="E39" s="1" t="s">
        <v>100</v>
      </c>
      <c r="F39" s="8" t="s">
        <v>109</v>
      </c>
    </row>
    <row r="40" spans="5:6" x14ac:dyDescent="0.2">
      <c r="E40" s="1" t="s">
        <v>101</v>
      </c>
      <c r="F40" s="8" t="s">
        <v>110</v>
      </c>
    </row>
    <row r="54" spans="10:10" x14ac:dyDescent="0.2">
      <c r="J54" t="s">
        <v>676</v>
      </c>
    </row>
  </sheetData>
  <sheetProtection algorithmName="SHA-512" hashValue="4RFWhpdw8kNb0KA0Cthpov3+kFMGno7KzvpMEIQEdRVoPPtjICelnuPhb8TOedIO2/xjdDP89SIcivJitz6v8Q==" saltValue="0X08vzGlrtFkuZni0ZpwjQ==" spinCount="100000" sheet="1" objects="1" scenarios="1"/>
  <customSheetViews>
    <customSheetView guid="{95D45CB7-1E39-11D6-AFD7-008048E20DDD}" showRuler="0">
      <pageMargins left="0.75" right="0.75" top="1" bottom="1" header="0.5" footer="0.5"/>
      <pageSetup paperSize="9" orientation="portrait" horizontalDpi="4294967293" verticalDpi="0" r:id="rId1"/>
      <headerFooter alignWithMargins="0"/>
    </customSheetView>
    <customSheetView guid="{777CFE61-6F99-11D9-974B-0050BFD074B6}" showRuler="0" topLeftCell="A4">
      <selection activeCell="L11" sqref="L11"/>
      <pageMargins left="0.75" right="0.75" top="1" bottom="1" header="0.5" footer="0.5"/>
      <pageSetup paperSize="9" orientation="portrait" horizontalDpi="4294967293" verticalDpi="300" r:id="rId2"/>
      <headerFooter alignWithMargins="0"/>
    </customSheetView>
    <customSheetView guid="{3C76061C-A85D-4390-B9DB-73E13038638C}" showPageBreaks="1" showGridLines="0" view="pageLayout" topLeftCell="A37">
      <selection activeCell="H45" sqref="H45"/>
      <pageMargins left="0.28125" right="0.25" top="0.6692913385826772" bottom="0.70866141732283472" header="0.23622047244094491" footer="0.47244094488188981"/>
      <pageSetup paperSize="9" orientation="portrait" horizontalDpi="300" verticalDpi="300" r:id="rId3"/>
      <headerFooter scaleWithDoc="0" alignWithMargins="0">
        <oddHeader>&amp;C TARIFF 2019
 (EURO)
Accommodation in &amp;A</oddHeader>
        <oddFooter>&amp;LAll rates are in EURO&amp;C
TARIFF 2019
&amp;RPage &amp;P</oddFooter>
      </headerFooter>
    </customSheetView>
  </customSheetViews>
  <mergeCells count="1">
    <mergeCell ref="C2:H3"/>
  </mergeCells>
  <phoneticPr fontId="0" type="noConversion"/>
  <pageMargins left="0.28125" right="0.25" top="0.6692913385826772" bottom="0.70866141732283472" header="0.23622047244094491" footer="0.47244094488188981"/>
  <pageSetup paperSize="9" orientation="portrait" horizontalDpi="300" verticalDpi="300" r:id="rId4"/>
  <headerFooter scaleWithDoc="0" alignWithMargins="0">
    <oddHeader xml:space="preserve">&amp;C TARIFF 2026
 (EURO)
</oddHeader>
    <oddFooter>&amp;LAll rates are in EURO&amp;C
TARIFF 2026
&amp;RPage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1"/>
  <sheetViews>
    <sheetView showGridLines="0" view="pageLayout" zoomScaleSheetLayoutView="100" workbookViewId="0">
      <selection activeCell="L114" sqref="L114"/>
    </sheetView>
  </sheetViews>
  <sheetFormatPr defaultRowHeight="15.75" x14ac:dyDescent="0.25"/>
  <cols>
    <col min="1" max="1" width="18.7109375" style="245" customWidth="1"/>
    <col min="2" max="2" width="63.85546875" style="245" customWidth="1"/>
    <col min="3" max="3" width="8" style="245" customWidth="1"/>
    <col min="4" max="4" width="5.42578125" style="245" hidden="1" customWidth="1"/>
    <col min="5" max="5" width="6.42578125" style="245" customWidth="1"/>
    <col min="6" max="6" width="9.140625" style="245"/>
    <col min="7" max="7" width="8.7109375" style="245" customWidth="1"/>
    <col min="8" max="9" width="9.140625" style="245"/>
    <col min="10" max="10" width="7.28515625" style="245" customWidth="1"/>
    <col min="11" max="11" width="9.5703125" style="245" customWidth="1"/>
    <col min="12" max="16384" width="9.140625" style="245"/>
  </cols>
  <sheetData>
    <row r="1" spans="1:9" x14ac:dyDescent="0.25">
      <c r="A1" s="391" t="s">
        <v>1120</v>
      </c>
      <c r="B1" s="392"/>
      <c r="C1" s="392"/>
    </row>
    <row r="2" spans="1:9" ht="15.75" customHeight="1" thickBot="1" x14ac:dyDescent="0.3">
      <c r="A2" s="392"/>
      <c r="B2" s="392"/>
      <c r="C2" s="392"/>
      <c r="D2" s="140"/>
      <c r="E2" s="140"/>
      <c r="F2" s="140"/>
      <c r="G2" s="140"/>
      <c r="I2" s="141"/>
    </row>
    <row r="3" spans="1:9" ht="16.5" thickBot="1" x14ac:dyDescent="0.3">
      <c r="A3" s="363" t="s">
        <v>2238</v>
      </c>
      <c r="B3" s="364"/>
      <c r="C3" s="365"/>
      <c r="D3" s="290"/>
      <c r="E3" s="290"/>
      <c r="F3" s="290"/>
      <c r="G3" s="290"/>
      <c r="H3" s="290"/>
      <c r="I3" s="290"/>
    </row>
    <row r="4" spans="1:9" ht="16.5" thickBot="1" x14ac:dyDescent="0.3">
      <c r="A4" s="142" t="s">
        <v>23</v>
      </c>
      <c r="B4" s="143" t="s">
        <v>24</v>
      </c>
      <c r="C4" s="143" t="s">
        <v>1024</v>
      </c>
      <c r="D4" s="13">
        <v>0.68</v>
      </c>
    </row>
    <row r="5" spans="1:9" x14ac:dyDescent="0.25">
      <c r="A5" s="399" t="s">
        <v>25</v>
      </c>
      <c r="B5" s="144" t="s">
        <v>26</v>
      </c>
      <c r="C5" s="145">
        <v>30</v>
      </c>
    </row>
    <row r="6" spans="1:9" ht="16.5" thickBot="1" x14ac:dyDescent="0.3">
      <c r="A6" s="400"/>
      <c r="B6" s="146" t="s">
        <v>27</v>
      </c>
      <c r="C6" s="147">
        <v>65</v>
      </c>
    </row>
    <row r="7" spans="1:9" ht="16.5" thickBot="1" x14ac:dyDescent="0.3">
      <c r="A7" s="401" t="s">
        <v>1055</v>
      </c>
      <c r="B7" s="402"/>
      <c r="C7" s="403"/>
    </row>
    <row r="8" spans="1:9" ht="16.5" thickBot="1" x14ac:dyDescent="0.3">
      <c r="A8" s="140"/>
    </row>
    <row r="9" spans="1:9" ht="16.5" thickBot="1" x14ac:dyDescent="0.3">
      <c r="A9" s="366" t="s">
        <v>2239</v>
      </c>
      <c r="B9" s="367"/>
      <c r="C9" s="368"/>
    </row>
    <row r="10" spans="1:9" ht="16.5" thickBot="1" x14ac:dyDescent="0.3">
      <c r="A10" s="289" t="s">
        <v>23</v>
      </c>
      <c r="B10" s="288" t="s">
        <v>24</v>
      </c>
      <c r="C10" s="282" t="s">
        <v>1024</v>
      </c>
    </row>
    <row r="11" spans="1:9" x14ac:dyDescent="0.25">
      <c r="A11" s="378" t="s">
        <v>28</v>
      </c>
      <c r="B11" s="251" t="s">
        <v>29</v>
      </c>
      <c r="C11" s="250">
        <f>55/D4*[1]ATHENS!O2</f>
        <v>112.42647058823528</v>
      </c>
    </row>
    <row r="12" spans="1:9" x14ac:dyDescent="0.25">
      <c r="A12" s="379"/>
      <c r="B12" s="249" t="s">
        <v>30</v>
      </c>
      <c r="C12" s="248">
        <f>65/D4*[1]ATHENS!O2</f>
        <v>132.86764705882351</v>
      </c>
    </row>
    <row r="13" spans="1:9" x14ac:dyDescent="0.25">
      <c r="A13" s="389"/>
      <c r="B13" s="249" t="s">
        <v>31</v>
      </c>
      <c r="C13" s="248">
        <f>60/D4*[1]ATHENS!O2</f>
        <v>122.64705882352941</v>
      </c>
    </row>
    <row r="14" spans="1:9" x14ac:dyDescent="0.25">
      <c r="A14" s="287" t="s">
        <v>32</v>
      </c>
      <c r="B14" s="249" t="s">
        <v>29</v>
      </c>
      <c r="C14" s="248">
        <f>33/D4*[1]ATHENS!O2</f>
        <v>67.45588235294116</v>
      </c>
    </row>
    <row r="15" spans="1:9" ht="16.5" thickBot="1" x14ac:dyDescent="0.3">
      <c r="A15" s="286" t="s">
        <v>33</v>
      </c>
      <c r="B15" s="279" t="s">
        <v>29</v>
      </c>
      <c r="C15" s="278">
        <f>48/D4*[1]ATHENS!O2</f>
        <v>98.117647058823508</v>
      </c>
    </row>
    <row r="16" spans="1:9" x14ac:dyDescent="0.25">
      <c r="A16" s="378" t="s">
        <v>34</v>
      </c>
      <c r="B16" s="251" t="s">
        <v>35</v>
      </c>
      <c r="C16" s="250">
        <f>33/D4*[1]ATHENS!O2</f>
        <v>67.45588235294116</v>
      </c>
    </row>
    <row r="17" spans="1:3" x14ac:dyDescent="0.25">
      <c r="A17" s="379"/>
      <c r="B17" s="249" t="s">
        <v>36</v>
      </c>
      <c r="C17" s="248">
        <f>38/D4*[1]ATHENS!O2</f>
        <v>77.676470588235276</v>
      </c>
    </row>
    <row r="18" spans="1:3" x14ac:dyDescent="0.25">
      <c r="A18" s="379"/>
      <c r="B18" s="249" t="s">
        <v>37</v>
      </c>
      <c r="C18" s="248">
        <f>58/D4*[1]ATHENS!O2</f>
        <v>118.55882352941174</v>
      </c>
    </row>
    <row r="19" spans="1:3" x14ac:dyDescent="0.25">
      <c r="A19" s="379"/>
      <c r="B19" s="249" t="s">
        <v>38</v>
      </c>
      <c r="C19" s="248">
        <f>95/D4*[1]ATHENS!O2</f>
        <v>194.1911764705882</v>
      </c>
    </row>
    <row r="20" spans="1:3" ht="16.5" thickBot="1" x14ac:dyDescent="0.3">
      <c r="A20" s="380"/>
      <c r="B20" s="256" t="s">
        <v>39</v>
      </c>
      <c r="C20" s="255">
        <f>70/D4*[1]ATHENS!O2</f>
        <v>143.08823529411762</v>
      </c>
    </row>
    <row r="21" spans="1:3" s="285" customFormat="1" ht="15.75" customHeight="1" x14ac:dyDescent="0.25">
      <c r="A21" s="231" t="s">
        <v>320</v>
      </c>
      <c r="B21" s="230"/>
      <c r="C21" s="230"/>
    </row>
    <row r="22" spans="1:3" s="285" customFormat="1" ht="15.75" customHeight="1" x14ac:dyDescent="0.25">
      <c r="A22" s="229" t="s">
        <v>319</v>
      </c>
      <c r="B22" s="243"/>
      <c r="C22" s="243"/>
    </row>
    <row r="23" spans="1:3" ht="16.5" thickBot="1" x14ac:dyDescent="0.3"/>
    <row r="24" spans="1:3" ht="16.5" thickBot="1" x14ac:dyDescent="0.3">
      <c r="A24" s="363" t="s">
        <v>2240</v>
      </c>
      <c r="B24" s="364"/>
      <c r="C24" s="365"/>
    </row>
    <row r="25" spans="1:3" ht="16.5" thickBot="1" x14ac:dyDescent="0.3">
      <c r="A25" s="284" t="s">
        <v>23</v>
      </c>
      <c r="B25" s="283" t="s">
        <v>24</v>
      </c>
      <c r="C25" s="282" t="s">
        <v>1024</v>
      </c>
    </row>
    <row r="26" spans="1:3" x14ac:dyDescent="0.25">
      <c r="A26" s="378" t="s">
        <v>28</v>
      </c>
      <c r="B26" s="281" t="s">
        <v>35</v>
      </c>
      <c r="C26" s="280">
        <f>61/D4*[1]ATHENS!O2</f>
        <v>124.69117647058822</v>
      </c>
    </row>
    <row r="27" spans="1:3" x14ac:dyDescent="0.25">
      <c r="A27" s="379"/>
      <c r="B27" s="249" t="s">
        <v>36</v>
      </c>
      <c r="C27" s="248">
        <f>68/D4*[1]ATHENS!O2</f>
        <v>138.99999999999997</v>
      </c>
    </row>
    <row r="28" spans="1:3" x14ac:dyDescent="0.25">
      <c r="A28" s="379"/>
      <c r="B28" s="249" t="s">
        <v>37</v>
      </c>
      <c r="C28" s="248">
        <f>73/D4*[1]ATHENS!O2</f>
        <v>149.22058823529409</v>
      </c>
    </row>
    <row r="29" spans="1:3" ht="16.5" thickBot="1" x14ac:dyDescent="0.3">
      <c r="A29" s="379"/>
      <c r="B29" s="279" t="s">
        <v>39</v>
      </c>
      <c r="C29" s="278">
        <f>78/D4*[1]ATHENS!O2</f>
        <v>159.44117647058823</v>
      </c>
    </row>
    <row r="30" spans="1:3" x14ac:dyDescent="0.25">
      <c r="A30" s="378" t="s">
        <v>40</v>
      </c>
      <c r="B30" s="251" t="s">
        <v>35</v>
      </c>
      <c r="C30" s="250">
        <f>35/D4*[1]ATHENS!O2</f>
        <v>71.544117647058812</v>
      </c>
    </row>
    <row r="31" spans="1:3" x14ac:dyDescent="0.25">
      <c r="A31" s="379"/>
      <c r="B31" s="249" t="s">
        <v>36</v>
      </c>
      <c r="C31" s="248">
        <f>38/D4*[1]ATHENS!O2</f>
        <v>77.676470588235276</v>
      </c>
    </row>
    <row r="32" spans="1:3" x14ac:dyDescent="0.25">
      <c r="A32" s="379"/>
      <c r="B32" s="249" t="s">
        <v>37</v>
      </c>
      <c r="C32" s="248">
        <f>68/D4*[1]ATHENS!O2</f>
        <v>138.99999999999997</v>
      </c>
    </row>
    <row r="33" spans="1:4" ht="16.5" thickBot="1" x14ac:dyDescent="0.3">
      <c r="A33" s="380"/>
      <c r="B33" s="256" t="s">
        <v>39</v>
      </c>
      <c r="C33" s="255">
        <f>78/D4*[1]ATHENS!O2</f>
        <v>159.44117647058823</v>
      </c>
    </row>
    <row r="34" spans="1:4" x14ac:dyDescent="0.25">
      <c r="A34" s="369" t="s">
        <v>323</v>
      </c>
      <c r="B34" s="369"/>
      <c r="C34" s="369"/>
    </row>
    <row r="35" spans="1:4" x14ac:dyDescent="0.25">
      <c r="A35" s="229" t="s">
        <v>324</v>
      </c>
      <c r="B35" s="243"/>
      <c r="C35" s="243"/>
    </row>
    <row r="36" spans="1:4" ht="16.5" thickBot="1" x14ac:dyDescent="0.3"/>
    <row r="37" spans="1:4" ht="16.5" thickBot="1" x14ac:dyDescent="0.3">
      <c r="A37" s="363" t="s">
        <v>2241</v>
      </c>
      <c r="B37" s="364"/>
      <c r="C37" s="365"/>
    </row>
    <row r="38" spans="1:4" ht="16.5" thickBot="1" x14ac:dyDescent="0.3">
      <c r="A38" s="148" t="s">
        <v>23</v>
      </c>
      <c r="B38" s="149" t="s">
        <v>24</v>
      </c>
      <c r="C38" s="150" t="s">
        <v>1024</v>
      </c>
    </row>
    <row r="39" spans="1:4" x14ac:dyDescent="0.25">
      <c r="A39" s="375" t="s">
        <v>41</v>
      </c>
      <c r="B39" s="151" t="s">
        <v>42</v>
      </c>
      <c r="C39" s="152">
        <f>28/D4*[1]ATHENS!O2</f>
        <v>57.235294117647051</v>
      </c>
    </row>
    <row r="40" spans="1:4" x14ac:dyDescent="0.25">
      <c r="A40" s="404"/>
      <c r="B40" s="153" t="s">
        <v>43</v>
      </c>
      <c r="C40" s="154">
        <f>30/D4*[1]ATHENS!O2</f>
        <v>61.323529411764703</v>
      </c>
    </row>
    <row r="41" spans="1:4" x14ac:dyDescent="0.25">
      <c r="A41" s="404"/>
      <c r="B41" s="153" t="s">
        <v>58</v>
      </c>
      <c r="C41" s="154">
        <f>61.5/D4*[1]ATHENS!O2</f>
        <v>125.71323529411764</v>
      </c>
    </row>
    <row r="42" spans="1:4" ht="16.5" thickBot="1" x14ac:dyDescent="0.3">
      <c r="A42" s="405"/>
      <c r="B42" s="155" t="s">
        <v>44</v>
      </c>
      <c r="C42" s="156">
        <f>76/D4*[1]ATHENS!O2</f>
        <v>155.35294117647055</v>
      </c>
    </row>
    <row r="43" spans="1:4" x14ac:dyDescent="0.25">
      <c r="A43" s="375" t="s">
        <v>45</v>
      </c>
      <c r="B43" s="151" t="s">
        <v>46</v>
      </c>
      <c r="C43" s="152">
        <f>28/D4*[1]ATHENS!O2</f>
        <v>57.235294117647051</v>
      </c>
    </row>
    <row r="44" spans="1:4" ht="24" x14ac:dyDescent="0.25">
      <c r="A44" s="376"/>
      <c r="B44" s="157" t="s">
        <v>59</v>
      </c>
      <c r="C44" s="154">
        <f>55/D4*[1]ATHENS!O2</f>
        <v>112.42647058823528</v>
      </c>
    </row>
    <row r="45" spans="1:4" ht="16.5" thickBot="1" x14ac:dyDescent="0.3">
      <c r="A45" s="377"/>
      <c r="B45" s="155" t="s">
        <v>47</v>
      </c>
      <c r="C45" s="156">
        <f>75/D4*[1]ATHENS!O2</f>
        <v>153.30882352941174</v>
      </c>
      <c r="D45" s="277"/>
    </row>
    <row r="46" spans="1:4" ht="15.75" customHeight="1" x14ac:dyDescent="0.25">
      <c r="A46" s="229" t="s">
        <v>320</v>
      </c>
      <c r="B46" s="243"/>
      <c r="C46" s="243"/>
    </row>
    <row r="47" spans="1:4" ht="15.75" customHeight="1" x14ac:dyDescent="0.25">
      <c r="A47" s="229" t="s">
        <v>319</v>
      </c>
      <c r="B47" s="243"/>
    </row>
    <row r="48" spans="1:4" ht="16.5" thickBot="1" x14ac:dyDescent="0.3">
      <c r="A48" s="396" t="s">
        <v>2241</v>
      </c>
      <c r="B48" s="397"/>
      <c r="C48" s="398"/>
    </row>
    <row r="49" spans="1:3" ht="16.5" thickBot="1" x14ac:dyDescent="0.3">
      <c r="A49" s="148" t="s">
        <v>23</v>
      </c>
      <c r="B49" s="149" t="s">
        <v>24</v>
      </c>
      <c r="C49" s="150" t="s">
        <v>1024</v>
      </c>
    </row>
    <row r="50" spans="1:3" x14ac:dyDescent="0.25">
      <c r="A50" s="375" t="s">
        <v>48</v>
      </c>
      <c r="B50" s="151" t="s">
        <v>49</v>
      </c>
      <c r="C50" s="152">
        <f>32/D4*[1]ATHENS!O2</f>
        <v>65.411764705882348</v>
      </c>
    </row>
    <row r="51" spans="1:3" x14ac:dyDescent="0.25">
      <c r="A51" s="376"/>
      <c r="B51" s="153" t="s">
        <v>50</v>
      </c>
      <c r="C51" s="154">
        <f>60/D4*[1]ATHENS!O2</f>
        <v>122.64705882352941</v>
      </c>
    </row>
    <row r="52" spans="1:3" ht="16.5" thickBot="1" x14ac:dyDescent="0.3">
      <c r="A52" s="377"/>
      <c r="B52" s="155" t="s">
        <v>51</v>
      </c>
      <c r="C52" s="156">
        <f>70/D4*[1]ATHENS!O2</f>
        <v>143.08823529411762</v>
      </c>
    </row>
    <row r="53" spans="1:3" x14ac:dyDescent="0.25">
      <c r="A53" s="375" t="s">
        <v>52</v>
      </c>
      <c r="B53" s="158" t="s">
        <v>53</v>
      </c>
      <c r="C53" s="152">
        <f>65/D4*[1]ATHENS!O2</f>
        <v>132.86764705882351</v>
      </c>
    </row>
    <row r="54" spans="1:3" ht="16.5" thickBot="1" x14ac:dyDescent="0.3">
      <c r="A54" s="377"/>
      <c r="B54" s="159" t="s">
        <v>54</v>
      </c>
      <c r="C54" s="156">
        <f>62/D4*[1]ATHENS!O2</f>
        <v>126.73529411764704</v>
      </c>
    </row>
    <row r="55" spans="1:3" x14ac:dyDescent="0.25">
      <c r="A55" s="375" t="s">
        <v>55</v>
      </c>
      <c r="B55" s="151" t="s">
        <v>56</v>
      </c>
      <c r="C55" s="152">
        <f>28/D4*[1]ATHENS!O2</f>
        <v>57.235294117647051</v>
      </c>
    </row>
    <row r="56" spans="1:3" ht="24" x14ac:dyDescent="0.25">
      <c r="A56" s="376"/>
      <c r="B56" s="157" t="s">
        <v>60</v>
      </c>
      <c r="C56" s="154">
        <f>76/D4*[1]ATHENS!O2</f>
        <v>155.35294117647055</v>
      </c>
    </row>
    <row r="57" spans="1:3" ht="11.25" customHeight="1" thickBot="1" x14ac:dyDescent="0.3">
      <c r="A57" s="377"/>
      <c r="B57" s="155" t="s">
        <v>57</v>
      </c>
      <c r="C57" s="156">
        <f>80/D4*[1]ATHENS!O2</f>
        <v>163.52941176470586</v>
      </c>
    </row>
    <row r="58" spans="1:3" ht="16.5" customHeight="1" x14ac:dyDescent="0.25">
      <c r="A58" s="369" t="s">
        <v>320</v>
      </c>
      <c r="B58" s="369"/>
      <c r="C58" s="369"/>
    </row>
    <row r="59" spans="1:3" ht="16.5" customHeight="1" thickBot="1" x14ac:dyDescent="0.3">
      <c r="A59" s="240" t="s">
        <v>319</v>
      </c>
      <c r="B59" s="241"/>
      <c r="C59" s="242" t="s">
        <v>322</v>
      </c>
    </row>
    <row r="60" spans="1:3" ht="16.5" thickBot="1" x14ac:dyDescent="0.3">
      <c r="A60" s="396" t="s">
        <v>2242</v>
      </c>
      <c r="B60" s="397"/>
      <c r="C60" s="398"/>
    </row>
    <row r="61" spans="1:3" ht="16.5" thickBot="1" x14ac:dyDescent="0.3">
      <c r="A61" s="148" t="s">
        <v>23</v>
      </c>
      <c r="B61" s="149" t="s">
        <v>24</v>
      </c>
      <c r="C61" s="150" t="s">
        <v>1024</v>
      </c>
    </row>
    <row r="62" spans="1:3" x14ac:dyDescent="0.25">
      <c r="A62" s="375" t="s">
        <v>61</v>
      </c>
      <c r="B62" s="151" t="s">
        <v>954</v>
      </c>
      <c r="C62" s="152">
        <f>26/D4*[1]ATHENS!O2</f>
        <v>53.147058823529406</v>
      </c>
    </row>
    <row r="63" spans="1:3" ht="12" customHeight="1" x14ac:dyDescent="0.25">
      <c r="A63" s="376"/>
      <c r="B63" s="153" t="s">
        <v>955</v>
      </c>
      <c r="C63" s="154">
        <f>29/D4*[1]ATHENS!O2</f>
        <v>59.27941176470587</v>
      </c>
    </row>
    <row r="64" spans="1:3" ht="16.5" thickBot="1" x14ac:dyDescent="0.3">
      <c r="A64" s="377"/>
      <c r="B64" s="155" t="s">
        <v>956</v>
      </c>
      <c r="C64" s="156">
        <f>61/D4*[1]ATHENS!O2</f>
        <v>124.69117647058822</v>
      </c>
    </row>
    <row r="65" spans="1:9" x14ac:dyDescent="0.25">
      <c r="A65" s="369" t="s">
        <v>320</v>
      </c>
      <c r="B65" s="369"/>
      <c r="C65" s="369"/>
    </row>
    <row r="66" spans="1:9" ht="16.5" thickBot="1" x14ac:dyDescent="0.3">
      <c r="A66" s="229" t="s">
        <v>319</v>
      </c>
      <c r="B66" s="243"/>
      <c r="C66" s="243"/>
    </row>
    <row r="67" spans="1:9" ht="16.5" thickBot="1" x14ac:dyDescent="0.3">
      <c r="A67" s="363" t="s">
        <v>2243</v>
      </c>
      <c r="B67" s="364"/>
      <c r="C67" s="365"/>
    </row>
    <row r="68" spans="1:9" ht="16.5" thickBot="1" x14ac:dyDescent="0.3">
      <c r="A68" s="161" t="s">
        <v>23</v>
      </c>
      <c r="B68" s="162" t="s">
        <v>24</v>
      </c>
      <c r="C68" s="163" t="s">
        <v>1024</v>
      </c>
    </row>
    <row r="69" spans="1:9" x14ac:dyDescent="0.25">
      <c r="A69" s="375" t="s">
        <v>957</v>
      </c>
      <c r="B69" s="164" t="s">
        <v>958</v>
      </c>
      <c r="C69" s="165">
        <f>26/D4*[1]ATHENS!O2</f>
        <v>53.147058823529406</v>
      </c>
    </row>
    <row r="70" spans="1:9" ht="12.75" customHeight="1" x14ac:dyDescent="0.25">
      <c r="A70" s="376"/>
      <c r="B70" s="153" t="s">
        <v>959</v>
      </c>
      <c r="C70" s="154">
        <f>38/D4*[1]ATHENS!O2</f>
        <v>77.676470588235276</v>
      </c>
    </row>
    <row r="71" spans="1:9" x14ac:dyDescent="0.25">
      <c r="A71" s="376"/>
      <c r="B71" s="153" t="s">
        <v>960</v>
      </c>
      <c r="C71" s="154">
        <f>40/D4*[1]ATHENS!O2</f>
        <v>81.764705882352928</v>
      </c>
    </row>
    <row r="72" spans="1:9" x14ac:dyDescent="0.25">
      <c r="A72" s="376"/>
      <c r="B72" s="153" t="s">
        <v>961</v>
      </c>
      <c r="C72" s="154">
        <f>53/D4*[1]ATHENS!O2</f>
        <v>108.33823529411764</v>
      </c>
    </row>
    <row r="73" spans="1:9" ht="16.5" customHeight="1" x14ac:dyDescent="0.25">
      <c r="A73" s="376"/>
      <c r="B73" s="153" t="s">
        <v>962</v>
      </c>
      <c r="C73" s="154">
        <f>55/D4*[1]ATHENS!O2</f>
        <v>112.42647058823528</v>
      </c>
    </row>
    <row r="74" spans="1:9" ht="16.5" thickBot="1" x14ac:dyDescent="0.3">
      <c r="A74" s="377"/>
      <c r="B74" s="155" t="s">
        <v>963</v>
      </c>
      <c r="C74" s="156">
        <f>81/D4*[1]ATHENS!O2</f>
        <v>165.5735294117647</v>
      </c>
      <c r="D74" s="271"/>
      <c r="E74" s="271"/>
      <c r="F74" s="271"/>
      <c r="G74" s="271"/>
      <c r="H74" s="271"/>
      <c r="I74" s="271"/>
    </row>
    <row r="75" spans="1:9" x14ac:dyDescent="0.25">
      <c r="A75" s="369" t="s">
        <v>320</v>
      </c>
      <c r="B75" s="369"/>
      <c r="C75" s="369"/>
      <c r="D75" s="271"/>
      <c r="E75" s="271"/>
      <c r="F75" s="271"/>
      <c r="G75" s="271"/>
      <c r="H75" s="271"/>
      <c r="I75" s="271"/>
    </row>
    <row r="76" spans="1:9" ht="16.5" thickBot="1" x14ac:dyDescent="0.3">
      <c r="A76" s="229" t="s">
        <v>319</v>
      </c>
      <c r="B76" s="243"/>
      <c r="C76" s="243"/>
      <c r="G76" s="271"/>
      <c r="H76" s="271"/>
      <c r="I76" s="271"/>
    </row>
    <row r="77" spans="1:9" ht="16.5" thickBot="1" x14ac:dyDescent="0.3">
      <c r="A77" s="366" t="s">
        <v>2244</v>
      </c>
      <c r="B77" s="367"/>
      <c r="C77" s="368"/>
    </row>
    <row r="78" spans="1:9" ht="16.5" thickBot="1" x14ac:dyDescent="0.3">
      <c r="A78" s="276" t="s">
        <v>23</v>
      </c>
      <c r="B78" s="275" t="s">
        <v>24</v>
      </c>
      <c r="C78" s="274" t="s">
        <v>1024</v>
      </c>
      <c r="D78" s="271"/>
      <c r="E78" s="271"/>
      <c r="F78" s="271"/>
      <c r="G78" s="271"/>
      <c r="H78" s="271"/>
      <c r="I78" s="271"/>
    </row>
    <row r="79" spans="1:9" x14ac:dyDescent="0.25">
      <c r="A79" s="393" t="s">
        <v>964</v>
      </c>
      <c r="B79" s="273" t="s">
        <v>965</v>
      </c>
      <c r="C79" s="272">
        <f>24/D4*[1]ATHENS!O2</f>
        <v>49.058823529411754</v>
      </c>
      <c r="D79" s="271"/>
      <c r="E79" s="271"/>
      <c r="F79" s="271"/>
      <c r="G79" s="271"/>
      <c r="H79" s="271"/>
      <c r="I79" s="271"/>
    </row>
    <row r="80" spans="1:9" x14ac:dyDescent="0.25">
      <c r="A80" s="394"/>
      <c r="B80" s="267" t="s">
        <v>966</v>
      </c>
      <c r="C80" s="261">
        <f>31/D4*[1]ATHENS!O2</f>
        <v>63.367647058823522</v>
      </c>
      <c r="D80" s="271"/>
      <c r="E80" s="271"/>
      <c r="F80" s="271"/>
      <c r="G80" s="271"/>
      <c r="H80" s="271"/>
      <c r="I80" s="271"/>
    </row>
    <row r="81" spans="1:9" x14ac:dyDescent="0.25">
      <c r="A81" s="394"/>
      <c r="B81" s="267" t="s">
        <v>967</v>
      </c>
      <c r="C81" s="261">
        <f>47/D4*[1]ATHENS!O2</f>
        <v>96.073529411764682</v>
      </c>
      <c r="G81" s="271"/>
      <c r="H81" s="271"/>
      <c r="I81" s="271"/>
    </row>
    <row r="82" spans="1:9" x14ac:dyDescent="0.25">
      <c r="A82" s="394"/>
      <c r="B82" s="267" t="s">
        <v>968</v>
      </c>
      <c r="C82" s="261">
        <f>52/D4*[1]ATHENS!O2</f>
        <v>106.29411764705881</v>
      </c>
    </row>
    <row r="83" spans="1:9" x14ac:dyDescent="0.25">
      <c r="A83" s="394"/>
      <c r="B83" s="267" t="s">
        <v>969</v>
      </c>
      <c r="C83" s="261">
        <f>74/D4*[1]ATHENS!O2</f>
        <v>151.26470588235293</v>
      </c>
    </row>
    <row r="84" spans="1:9" x14ac:dyDescent="0.25">
      <c r="A84" s="394"/>
      <c r="B84" s="267" t="s">
        <v>970</v>
      </c>
      <c r="C84" s="261">
        <f>87/D4*[1]ATHENS!O2</f>
        <v>177.83823529411762</v>
      </c>
    </row>
    <row r="85" spans="1:9" x14ac:dyDescent="0.25">
      <c r="A85" s="394"/>
      <c r="B85" s="267" t="s">
        <v>971</v>
      </c>
      <c r="C85" s="261">
        <f>93/D4*[1]ATHENS!O2</f>
        <v>190.10294117647055</v>
      </c>
    </row>
    <row r="86" spans="1:9" x14ac:dyDescent="0.25">
      <c r="A86" s="394"/>
      <c r="B86" s="267" t="s">
        <v>972</v>
      </c>
      <c r="C86" s="261">
        <f>105/D4*[1]ATHENS!O2</f>
        <v>214.63235294117644</v>
      </c>
    </row>
    <row r="87" spans="1:9" x14ac:dyDescent="0.25">
      <c r="A87" s="394"/>
      <c r="B87" s="267" t="s">
        <v>973</v>
      </c>
      <c r="C87" s="261">
        <f>125/D4*[1]ATHENS!O2</f>
        <v>255.5147058823529</v>
      </c>
    </row>
    <row r="88" spans="1:9" x14ac:dyDescent="0.25">
      <c r="A88" s="394"/>
      <c r="B88" s="267" t="s">
        <v>974</v>
      </c>
      <c r="C88" s="261">
        <f>145/D4*[1]ATHENS!O2</f>
        <v>296.39705882352939</v>
      </c>
    </row>
    <row r="89" spans="1:9" x14ac:dyDescent="0.25">
      <c r="A89" s="394"/>
      <c r="B89" s="267" t="s">
        <v>975</v>
      </c>
      <c r="C89" s="261">
        <f>170/D4*[1]ATHENS!O2</f>
        <v>347.49999999999994</v>
      </c>
    </row>
    <row r="90" spans="1:9" ht="16.5" thickBot="1" x14ac:dyDescent="0.3">
      <c r="A90" s="395"/>
      <c r="B90" s="270" t="s">
        <v>976</v>
      </c>
      <c r="C90" s="259">
        <f>161/D4*[1]ATHENS!O2</f>
        <v>329.10294117647055</v>
      </c>
    </row>
    <row r="91" spans="1:9" x14ac:dyDescent="0.25">
      <c r="A91" s="393" t="s">
        <v>977</v>
      </c>
      <c r="B91" s="269" t="s">
        <v>978</v>
      </c>
      <c r="C91" s="268">
        <f>39/D4*[1]ATHENS!O2</f>
        <v>79.720588235294116</v>
      </c>
    </row>
    <row r="92" spans="1:9" x14ac:dyDescent="0.25">
      <c r="A92" s="394"/>
      <c r="B92" s="267" t="s">
        <v>979</v>
      </c>
      <c r="C92" s="261">
        <f>55/D4*[1]ATHENS!O2</f>
        <v>112.42647058823528</v>
      </c>
    </row>
    <row r="93" spans="1:9" x14ac:dyDescent="0.25">
      <c r="A93" s="394"/>
      <c r="B93" s="262" t="s">
        <v>980</v>
      </c>
      <c r="C93" s="261">
        <f>75/D4*[1]ATHENS!O2</f>
        <v>153.30882352941174</v>
      </c>
    </row>
    <row r="94" spans="1:9" ht="16.5" customHeight="1" x14ac:dyDescent="0.25">
      <c r="A94" s="394"/>
      <c r="B94" s="266" t="s">
        <v>981</v>
      </c>
      <c r="C94" s="265">
        <f>91/D4*[1]ATHENS!O2</f>
        <v>186.01470588235293</v>
      </c>
    </row>
    <row r="95" spans="1:9" x14ac:dyDescent="0.25">
      <c r="A95" s="394"/>
      <c r="B95" s="264" t="s">
        <v>982</v>
      </c>
      <c r="C95" s="263">
        <f>96/D4*[1]ATHENS!O2</f>
        <v>196.23529411764702</v>
      </c>
    </row>
    <row r="96" spans="1:9" x14ac:dyDescent="0.25">
      <c r="A96" s="394"/>
      <c r="B96" s="262" t="s">
        <v>983</v>
      </c>
      <c r="C96" s="261">
        <f>145/D4*[1]ATHENS!O2</f>
        <v>296.39705882352939</v>
      </c>
    </row>
    <row r="97" spans="1:3" ht="16.5" thickBot="1" x14ac:dyDescent="0.3">
      <c r="A97" s="395"/>
      <c r="B97" s="260" t="s">
        <v>984</v>
      </c>
      <c r="C97" s="259">
        <f>161/D4*[1]ATHENS!O2</f>
        <v>329.10294117647055</v>
      </c>
    </row>
    <row r="98" spans="1:3" x14ac:dyDescent="0.25">
      <c r="A98" s="369" t="s">
        <v>320</v>
      </c>
      <c r="B98" s="369"/>
      <c r="C98" s="369"/>
    </row>
    <row r="99" spans="1:3" ht="16.5" thickBot="1" x14ac:dyDescent="0.3">
      <c r="A99" s="229" t="s">
        <v>319</v>
      </c>
      <c r="B99" s="243"/>
    </row>
    <row r="100" spans="1:3" ht="16.5" thickBot="1" x14ac:dyDescent="0.3">
      <c r="A100" s="363" t="s">
        <v>2245</v>
      </c>
      <c r="B100" s="364"/>
      <c r="C100" s="390"/>
    </row>
    <row r="101" spans="1:3" ht="16.5" thickBot="1" x14ac:dyDescent="0.3">
      <c r="A101" s="161" t="s">
        <v>23</v>
      </c>
      <c r="B101" s="162" t="s">
        <v>24</v>
      </c>
      <c r="C101" s="163" t="s">
        <v>1024</v>
      </c>
    </row>
    <row r="102" spans="1:3" ht="15" customHeight="1" x14ac:dyDescent="0.25">
      <c r="A102" s="375" t="s">
        <v>985</v>
      </c>
      <c r="B102" s="166" t="s">
        <v>986</v>
      </c>
      <c r="C102" s="167">
        <v>40</v>
      </c>
    </row>
    <row r="103" spans="1:3" ht="16.5" thickBot="1" x14ac:dyDescent="0.3">
      <c r="A103" s="377"/>
      <c r="B103" s="146" t="s">
        <v>987</v>
      </c>
      <c r="C103" s="147">
        <v>51</v>
      </c>
    </row>
    <row r="104" spans="1:3" ht="16.5" thickBot="1" x14ac:dyDescent="0.3">
      <c r="A104" s="385" t="s">
        <v>991</v>
      </c>
      <c r="B104" s="386"/>
      <c r="C104" s="387"/>
    </row>
    <row r="105" spans="1:3" ht="16.5" customHeight="1" thickBot="1" x14ac:dyDescent="0.3"/>
    <row r="106" spans="1:3" ht="16.5" thickBot="1" x14ac:dyDescent="0.3">
      <c r="A106" s="363" t="s">
        <v>2246</v>
      </c>
      <c r="B106" s="364"/>
      <c r="C106" s="365"/>
    </row>
    <row r="107" spans="1:3" ht="16.5" thickBot="1" x14ac:dyDescent="0.3">
      <c r="A107" s="161" t="s">
        <v>23</v>
      </c>
      <c r="B107" s="162" t="s">
        <v>24</v>
      </c>
      <c r="C107" s="163" t="s">
        <v>1024</v>
      </c>
    </row>
    <row r="108" spans="1:3" x14ac:dyDescent="0.25">
      <c r="A108" s="244" t="s">
        <v>41</v>
      </c>
      <c r="B108" s="151" t="s">
        <v>988</v>
      </c>
      <c r="C108" s="152">
        <f>62/D4*[1]ATHENS!O2</f>
        <v>126.73529411764704</v>
      </c>
    </row>
    <row r="109" spans="1:3" ht="13.5" customHeight="1" x14ac:dyDescent="0.25">
      <c r="A109" s="388" t="s">
        <v>25</v>
      </c>
      <c r="B109" s="153" t="s">
        <v>989</v>
      </c>
      <c r="C109" s="154">
        <f>62/D4*[1]ATHENS!O2</f>
        <v>126.73529411764704</v>
      </c>
    </row>
    <row r="110" spans="1:3" ht="16.5" thickBot="1" x14ac:dyDescent="0.3">
      <c r="A110" s="377"/>
      <c r="B110" s="155" t="s">
        <v>990</v>
      </c>
      <c r="C110" s="156">
        <f>36/D4*[1]ATHENS!O2</f>
        <v>73.588235294117638</v>
      </c>
    </row>
    <row r="111" spans="1:3" x14ac:dyDescent="0.25">
      <c r="A111" s="369" t="s">
        <v>320</v>
      </c>
      <c r="B111" s="369"/>
      <c r="C111" s="369"/>
    </row>
    <row r="112" spans="1:3" x14ac:dyDescent="0.25">
      <c r="A112" s="229" t="s">
        <v>319</v>
      </c>
      <c r="B112" s="243"/>
    </row>
    <row r="113" spans="1:3" ht="16.5" thickBot="1" x14ac:dyDescent="0.3"/>
    <row r="114" spans="1:3" ht="16.5" thickBot="1" x14ac:dyDescent="0.3">
      <c r="A114" s="366" t="s">
        <v>2247</v>
      </c>
      <c r="B114" s="367"/>
      <c r="C114" s="368"/>
    </row>
    <row r="115" spans="1:3" ht="16.5" thickBot="1" x14ac:dyDescent="0.3">
      <c r="A115" s="254" t="s">
        <v>23</v>
      </c>
      <c r="B115" s="253" t="s">
        <v>24</v>
      </c>
      <c r="C115" s="252" t="s">
        <v>1024</v>
      </c>
    </row>
    <row r="116" spans="1:3" x14ac:dyDescent="0.25">
      <c r="A116" s="378" t="s">
        <v>957</v>
      </c>
      <c r="B116" s="251" t="s">
        <v>992</v>
      </c>
      <c r="C116" s="250">
        <v>48</v>
      </c>
    </row>
    <row r="117" spans="1:3" ht="16.5" thickBot="1" x14ac:dyDescent="0.3">
      <c r="A117" s="380"/>
      <c r="B117" s="256" t="s">
        <v>993</v>
      </c>
      <c r="C117" s="255">
        <v>58</v>
      </c>
    </row>
    <row r="118" spans="1:3" ht="16.5" customHeight="1" x14ac:dyDescent="0.25">
      <c r="A118" s="233" t="s">
        <v>994</v>
      </c>
      <c r="B118" s="234"/>
      <c r="C118" s="232" t="s">
        <v>321</v>
      </c>
    </row>
    <row r="119" spans="1:3" ht="16.5" thickBot="1" x14ac:dyDescent="0.3">
      <c r="A119" s="140"/>
      <c r="B119" s="258"/>
      <c r="C119" s="257"/>
    </row>
    <row r="120" spans="1:3" ht="16.5" thickBot="1" x14ac:dyDescent="0.3">
      <c r="A120" s="363" t="s">
        <v>2248</v>
      </c>
      <c r="B120" s="364"/>
      <c r="C120" s="365"/>
    </row>
    <row r="121" spans="1:3" ht="16.5" thickBot="1" x14ac:dyDescent="0.3">
      <c r="A121" s="161" t="s">
        <v>23</v>
      </c>
      <c r="B121" s="162" t="s">
        <v>24</v>
      </c>
      <c r="C121" s="163" t="s">
        <v>1024</v>
      </c>
    </row>
    <row r="122" spans="1:3" x14ac:dyDescent="0.25">
      <c r="A122" s="375" t="s">
        <v>957</v>
      </c>
      <c r="B122" s="168" t="s">
        <v>995</v>
      </c>
      <c r="C122" s="169">
        <v>34</v>
      </c>
    </row>
    <row r="123" spans="1:3" x14ac:dyDescent="0.25">
      <c r="A123" s="376"/>
      <c r="B123" s="170" t="s">
        <v>996</v>
      </c>
      <c r="C123" s="171">
        <v>45</v>
      </c>
    </row>
    <row r="124" spans="1:3" ht="16.5" thickBot="1" x14ac:dyDescent="0.3">
      <c r="A124" s="377"/>
      <c r="B124" s="146" t="s">
        <v>997</v>
      </c>
      <c r="C124" s="147">
        <v>60</v>
      </c>
    </row>
    <row r="125" spans="1:3" ht="13.5" customHeight="1" thickBot="1" x14ac:dyDescent="0.3">
      <c r="A125" s="385" t="s">
        <v>998</v>
      </c>
      <c r="B125" s="386"/>
      <c r="C125" s="387"/>
    </row>
    <row r="126" spans="1:3" ht="16.5" thickBot="1" x14ac:dyDescent="0.3">
      <c r="A126" s="140"/>
      <c r="B126" s="140"/>
      <c r="C126" s="160"/>
    </row>
    <row r="127" spans="1:3" ht="16.5" thickBot="1" x14ac:dyDescent="0.3">
      <c r="A127" s="366" t="s">
        <v>2249</v>
      </c>
      <c r="B127" s="367"/>
      <c r="C127" s="368"/>
    </row>
    <row r="128" spans="1:3" ht="16.5" thickBot="1" x14ac:dyDescent="0.3">
      <c r="A128" s="254" t="s">
        <v>23</v>
      </c>
      <c r="B128" s="253" t="s">
        <v>24</v>
      </c>
      <c r="C128" s="252" t="s">
        <v>1024</v>
      </c>
    </row>
    <row r="129" spans="1:3" x14ac:dyDescent="0.25">
      <c r="A129" s="378" t="s">
        <v>999</v>
      </c>
      <c r="B129" s="251" t="s">
        <v>1000</v>
      </c>
      <c r="C129" s="250">
        <v>43</v>
      </c>
    </row>
    <row r="130" spans="1:3" x14ac:dyDescent="0.25">
      <c r="A130" s="389"/>
      <c r="B130" s="249" t="s">
        <v>1001</v>
      </c>
      <c r="C130" s="248">
        <v>63</v>
      </c>
    </row>
    <row r="131" spans="1:3" x14ac:dyDescent="0.25">
      <c r="A131" s="408" t="s">
        <v>985</v>
      </c>
      <c r="B131" s="249" t="s">
        <v>1002</v>
      </c>
      <c r="C131" s="248">
        <v>31</v>
      </c>
    </row>
    <row r="132" spans="1:3" x14ac:dyDescent="0.25">
      <c r="A132" s="379"/>
      <c r="B132" s="249" t="s">
        <v>1018</v>
      </c>
      <c r="C132" s="248">
        <v>40</v>
      </c>
    </row>
    <row r="133" spans="1:3" x14ac:dyDescent="0.25">
      <c r="A133" s="379"/>
      <c r="B133" s="249" t="s">
        <v>1019</v>
      </c>
      <c r="C133" s="248">
        <v>51</v>
      </c>
    </row>
    <row r="134" spans="1:3" ht="16.5" thickBot="1" x14ac:dyDescent="0.3">
      <c r="A134" s="380"/>
      <c r="B134" s="256" t="s">
        <v>1020</v>
      </c>
      <c r="C134" s="255">
        <v>47</v>
      </c>
    </row>
    <row r="135" spans="1:3" ht="16.5" thickBot="1" x14ac:dyDescent="0.3">
      <c r="A135" s="385" t="s">
        <v>998</v>
      </c>
      <c r="B135" s="386"/>
      <c r="C135" s="387"/>
    </row>
    <row r="136" spans="1:3" ht="16.5" thickBot="1" x14ac:dyDescent="0.3"/>
    <row r="137" spans="1:3" ht="16.5" thickBot="1" x14ac:dyDescent="0.3">
      <c r="A137" s="363" t="s">
        <v>2250</v>
      </c>
      <c r="B137" s="364"/>
      <c r="C137" s="365"/>
    </row>
    <row r="138" spans="1:3" ht="16.5" thickBot="1" x14ac:dyDescent="0.3">
      <c r="A138" s="161" t="s">
        <v>23</v>
      </c>
      <c r="B138" s="162" t="s">
        <v>24</v>
      </c>
      <c r="C138" s="163" t="s">
        <v>1024</v>
      </c>
    </row>
    <row r="139" spans="1:3" x14ac:dyDescent="0.25">
      <c r="A139" s="375" t="s">
        <v>1021</v>
      </c>
      <c r="B139" s="168" t="s">
        <v>1022</v>
      </c>
      <c r="C139" s="169">
        <v>40</v>
      </c>
    </row>
    <row r="140" spans="1:3" ht="16.5" thickBot="1" x14ac:dyDescent="0.3">
      <c r="A140" s="377"/>
      <c r="B140" s="155" t="s">
        <v>1023</v>
      </c>
      <c r="C140" s="156">
        <v>50</v>
      </c>
    </row>
    <row r="141" spans="1:3" ht="16.5" thickBot="1" x14ac:dyDescent="0.3">
      <c r="A141" s="385" t="s">
        <v>998</v>
      </c>
      <c r="B141" s="386"/>
      <c r="C141" s="387"/>
    </row>
    <row r="142" spans="1:3" ht="9" customHeight="1" thickBot="1" x14ac:dyDescent="0.3"/>
    <row r="143" spans="1:3" ht="15.75" customHeight="1" thickBot="1" x14ac:dyDescent="0.3">
      <c r="A143" s="363" t="s">
        <v>2251</v>
      </c>
      <c r="B143" s="364"/>
      <c r="C143" s="365"/>
    </row>
    <row r="144" spans="1:3" ht="16.5" thickBot="1" x14ac:dyDescent="0.3">
      <c r="A144" s="161" t="s">
        <v>23</v>
      </c>
      <c r="B144" s="163" t="s">
        <v>24</v>
      </c>
      <c r="C144" s="236" t="s">
        <v>1024</v>
      </c>
    </row>
    <row r="145" spans="1:3" ht="16.5" thickBot="1" x14ac:dyDescent="0.3">
      <c r="A145" s="172" t="s">
        <v>985</v>
      </c>
      <c r="B145" s="237" t="s">
        <v>680</v>
      </c>
      <c r="C145" s="238">
        <v>19</v>
      </c>
    </row>
    <row r="146" spans="1:3" ht="16.5" customHeight="1" x14ac:dyDescent="0.25">
      <c r="A146" s="233" t="s">
        <v>998</v>
      </c>
      <c r="B146" s="234"/>
    </row>
    <row r="147" spans="1:3" ht="16.5" thickBot="1" x14ac:dyDescent="0.3"/>
    <row r="148" spans="1:3" ht="16.5" thickBot="1" x14ac:dyDescent="0.3">
      <c r="A148" s="370" t="s">
        <v>2252</v>
      </c>
      <c r="B148" s="371"/>
      <c r="C148" s="372"/>
    </row>
    <row r="149" spans="1:3" x14ac:dyDescent="0.25">
      <c r="A149" s="173" t="s">
        <v>23</v>
      </c>
      <c r="B149" s="174" t="s">
        <v>24</v>
      </c>
      <c r="C149" s="175" t="s">
        <v>1024</v>
      </c>
    </row>
    <row r="150" spans="1:3" x14ac:dyDescent="0.25">
      <c r="A150" s="406" t="s">
        <v>957</v>
      </c>
      <c r="B150" s="176" t="s">
        <v>1025</v>
      </c>
      <c r="C150" s="177">
        <f>35/D4*[1]ATHENS!O2</f>
        <v>71.544117647058812</v>
      </c>
    </row>
    <row r="151" spans="1:3" x14ac:dyDescent="0.25">
      <c r="A151" s="407"/>
      <c r="B151" s="176" t="s">
        <v>1026</v>
      </c>
      <c r="C151" s="177">
        <f>42/D4*[1]ATHENS!O2</f>
        <v>85.85294117647058</v>
      </c>
    </row>
    <row r="152" spans="1:3" x14ac:dyDescent="0.25">
      <c r="A152" s="407"/>
      <c r="B152" s="176" t="s">
        <v>1027</v>
      </c>
      <c r="C152" s="177">
        <f>50/D4*[1]ATHENS!O2</f>
        <v>102.20588235294117</v>
      </c>
    </row>
    <row r="153" spans="1:3" ht="16.5" thickBot="1" x14ac:dyDescent="0.3">
      <c r="A153" s="382"/>
      <c r="B153" s="178" t="s">
        <v>1028</v>
      </c>
      <c r="C153" s="179">
        <f>74/D4*[1]ATHENS!O2</f>
        <v>151.26470588235293</v>
      </c>
    </row>
    <row r="154" spans="1:3" x14ac:dyDescent="0.25">
      <c r="A154" s="369" t="s">
        <v>320</v>
      </c>
      <c r="B154" s="369"/>
      <c r="C154" s="369"/>
    </row>
    <row r="155" spans="1:3" ht="16.5" thickBot="1" x14ac:dyDescent="0.3">
      <c r="A155" s="229" t="s">
        <v>319</v>
      </c>
      <c r="B155" s="243"/>
    </row>
    <row r="156" spans="1:3" ht="16.5" thickBot="1" x14ac:dyDescent="0.3">
      <c r="A156" s="363" t="s">
        <v>2253</v>
      </c>
      <c r="B156" s="364"/>
      <c r="C156" s="365"/>
    </row>
    <row r="157" spans="1:3" x14ac:dyDescent="0.25">
      <c r="A157" s="180" t="s">
        <v>23</v>
      </c>
      <c r="B157" s="180" t="s">
        <v>24</v>
      </c>
      <c r="C157" s="180" t="s">
        <v>1024</v>
      </c>
    </row>
    <row r="158" spans="1:3" ht="16.5" customHeight="1" x14ac:dyDescent="0.25">
      <c r="A158" s="373" t="s">
        <v>41</v>
      </c>
      <c r="B158" s="153" t="s">
        <v>1029</v>
      </c>
      <c r="C158" s="181">
        <f>34/D4*[1]ATHENS!O2</f>
        <v>69.499999999999986</v>
      </c>
    </row>
    <row r="159" spans="1:3" x14ac:dyDescent="0.25">
      <c r="A159" s="383"/>
      <c r="B159" s="153" t="s">
        <v>1030</v>
      </c>
      <c r="C159" s="181">
        <f>51/D4*[1]ATHENS!O2</f>
        <v>104.24999999999999</v>
      </c>
    </row>
    <row r="160" spans="1:3" x14ac:dyDescent="0.25">
      <c r="A160" s="384"/>
      <c r="B160" s="153" t="s">
        <v>1031</v>
      </c>
      <c r="C160" s="181">
        <f>65/D4*[1]ATHENS!O2</f>
        <v>132.86764705882351</v>
      </c>
    </row>
    <row r="161" spans="1:3" x14ac:dyDescent="0.25">
      <c r="A161" s="373" t="s">
        <v>1032</v>
      </c>
      <c r="B161" s="153" t="s">
        <v>1033</v>
      </c>
      <c r="C161" s="181">
        <f>34/D4*[1]ATHENS!O2</f>
        <v>69.499999999999986</v>
      </c>
    </row>
    <row r="162" spans="1:3" ht="16.5" customHeight="1" x14ac:dyDescent="0.25">
      <c r="A162" s="383"/>
      <c r="B162" s="153" t="s">
        <v>1034</v>
      </c>
      <c r="C162" s="181">
        <f>54/D4*[1]ATHENS!O2</f>
        <v>110.38235294117645</v>
      </c>
    </row>
    <row r="163" spans="1:3" ht="14.25" customHeight="1" x14ac:dyDescent="0.25">
      <c r="A163" s="384"/>
      <c r="B163" s="153" t="s">
        <v>1035</v>
      </c>
      <c r="C163" s="181">
        <f>70/D4*[1]ATHENS!O2</f>
        <v>143.08823529411762</v>
      </c>
    </row>
    <row r="164" spans="1:3" x14ac:dyDescent="0.25">
      <c r="A164" s="373" t="s">
        <v>1036</v>
      </c>
      <c r="B164" s="153" t="s">
        <v>1037</v>
      </c>
      <c r="C164" s="181">
        <f>34/D4*[1]ATHENS!O2</f>
        <v>69.499999999999986</v>
      </c>
    </row>
    <row r="165" spans="1:3" x14ac:dyDescent="0.25">
      <c r="A165" s="384"/>
      <c r="B165" s="153" t="s">
        <v>1038</v>
      </c>
      <c r="C165" s="181">
        <f>51/D4*[1]ATHENS!O2</f>
        <v>104.24999999999999</v>
      </c>
    </row>
    <row r="166" spans="1:3" x14ac:dyDescent="0.25">
      <c r="A166" s="373" t="s">
        <v>1039</v>
      </c>
      <c r="B166" s="153" t="s">
        <v>1040</v>
      </c>
      <c r="C166" s="181">
        <f>34/D4*[1]ATHENS!O2</f>
        <v>69.499999999999986</v>
      </c>
    </row>
    <row r="167" spans="1:3" ht="16.5" thickBot="1" x14ac:dyDescent="0.3">
      <c r="A167" s="374"/>
      <c r="B167" s="155" t="s">
        <v>1041</v>
      </c>
      <c r="C167" s="182">
        <f>51/D4*[1]ATHENS!O2</f>
        <v>104.24999999999999</v>
      </c>
    </row>
    <row r="168" spans="1:3" x14ac:dyDescent="0.25">
      <c r="A168" s="369" t="s">
        <v>320</v>
      </c>
      <c r="B168" s="369"/>
      <c r="C168" s="369"/>
    </row>
    <row r="169" spans="1:3" ht="12.75" customHeight="1" thickBot="1" x14ac:dyDescent="0.3">
      <c r="A169" s="229" t="s">
        <v>319</v>
      </c>
      <c r="B169" s="243"/>
      <c r="C169" s="243"/>
    </row>
    <row r="170" spans="1:3" ht="16.5" thickBot="1" x14ac:dyDescent="0.3">
      <c r="A170" s="366" t="s">
        <v>2254</v>
      </c>
      <c r="B170" s="367"/>
      <c r="C170" s="368"/>
    </row>
    <row r="171" spans="1:3" ht="16.5" thickBot="1" x14ac:dyDescent="0.3">
      <c r="A171" s="254" t="s">
        <v>23</v>
      </c>
      <c r="B171" s="253" t="s">
        <v>24</v>
      </c>
      <c r="C171" s="252" t="s">
        <v>1024</v>
      </c>
    </row>
    <row r="172" spans="1:3" x14ac:dyDescent="0.25">
      <c r="A172" s="378" t="s">
        <v>1042</v>
      </c>
      <c r="B172" s="251" t="s">
        <v>1043</v>
      </c>
      <c r="C172" s="250">
        <v>50</v>
      </c>
    </row>
    <row r="173" spans="1:3" x14ac:dyDescent="0.25">
      <c r="A173" s="379"/>
      <c r="B173" s="249" t="s">
        <v>1044</v>
      </c>
      <c r="C173" s="248">
        <v>63</v>
      </c>
    </row>
    <row r="174" spans="1:3" ht="16.5" customHeight="1" thickBot="1" x14ac:dyDescent="0.3">
      <c r="A174" s="380"/>
      <c r="B174" s="247" t="s">
        <v>1045</v>
      </c>
      <c r="C174" s="246">
        <v>58</v>
      </c>
    </row>
    <row r="175" spans="1:3" ht="16.5" customHeight="1" x14ac:dyDescent="0.25">
      <c r="A175" s="233" t="s">
        <v>998</v>
      </c>
      <c r="B175" s="234"/>
      <c r="C175" s="235" t="s">
        <v>325</v>
      </c>
    </row>
    <row r="176" spans="1:3" ht="16.5" thickBot="1" x14ac:dyDescent="0.3"/>
    <row r="177" spans="1:3" ht="16.5" thickBot="1" x14ac:dyDescent="0.3">
      <c r="A177" s="370" t="s">
        <v>2255</v>
      </c>
      <c r="B177" s="371"/>
      <c r="C177" s="372"/>
    </row>
    <row r="178" spans="1:3" ht="15.75" customHeight="1" thickBot="1" x14ac:dyDescent="0.3">
      <c r="A178" s="183" t="s">
        <v>23</v>
      </c>
      <c r="B178" s="184" t="s">
        <v>24</v>
      </c>
      <c r="C178" s="185" t="s">
        <v>1024</v>
      </c>
    </row>
    <row r="179" spans="1:3" x14ac:dyDescent="0.25">
      <c r="A179" s="381" t="s">
        <v>957</v>
      </c>
      <c r="B179" s="186" t="s">
        <v>1046</v>
      </c>
      <c r="C179" s="187">
        <v>45</v>
      </c>
    </row>
    <row r="180" spans="1:3" ht="16.5" thickBot="1" x14ac:dyDescent="0.3">
      <c r="A180" s="382"/>
      <c r="B180" s="178" t="s">
        <v>1047</v>
      </c>
      <c r="C180" s="188">
        <v>62</v>
      </c>
    </row>
    <row r="181" spans="1:3" ht="16.5" customHeight="1" thickBot="1" x14ac:dyDescent="0.3">
      <c r="A181" s="385" t="s">
        <v>998</v>
      </c>
      <c r="B181" s="386"/>
      <c r="C181" s="387"/>
    </row>
    <row r="182" spans="1:3" ht="16.5" thickBot="1" x14ac:dyDescent="0.3"/>
    <row r="183" spans="1:3" ht="16.5" thickBot="1" x14ac:dyDescent="0.3">
      <c r="A183" s="363" t="s">
        <v>2256</v>
      </c>
      <c r="B183" s="364"/>
      <c r="C183" s="365"/>
    </row>
    <row r="184" spans="1:3" ht="16.5" thickBot="1" x14ac:dyDescent="0.3">
      <c r="A184" s="189" t="s">
        <v>23</v>
      </c>
      <c r="B184" s="190" t="s">
        <v>24</v>
      </c>
      <c r="C184" s="191" t="s">
        <v>1024</v>
      </c>
    </row>
    <row r="185" spans="1:3" x14ac:dyDescent="0.25">
      <c r="A185" s="375" t="s">
        <v>1021</v>
      </c>
      <c r="B185" s="168" t="s">
        <v>1048</v>
      </c>
      <c r="C185" s="169">
        <v>43</v>
      </c>
    </row>
    <row r="186" spans="1:3" x14ac:dyDescent="0.25">
      <c r="A186" s="376"/>
      <c r="B186" s="170" t="s">
        <v>1049</v>
      </c>
      <c r="C186" s="171">
        <v>53</v>
      </c>
    </row>
    <row r="187" spans="1:3" ht="16.5" thickBot="1" x14ac:dyDescent="0.3">
      <c r="A187" s="377"/>
      <c r="B187" s="146" t="s">
        <v>1050</v>
      </c>
      <c r="C187" s="147">
        <v>60</v>
      </c>
    </row>
    <row r="188" spans="1:3" ht="16.5" customHeight="1" thickBot="1" x14ac:dyDescent="0.3">
      <c r="A188" s="385" t="s">
        <v>998</v>
      </c>
      <c r="B188" s="386"/>
      <c r="C188" s="387"/>
    </row>
    <row r="189" spans="1:3" ht="16.5" thickBot="1" x14ac:dyDescent="0.3"/>
    <row r="190" spans="1:3" ht="16.5" thickBot="1" x14ac:dyDescent="0.3">
      <c r="A190" s="363" t="s">
        <v>2257</v>
      </c>
      <c r="B190" s="364"/>
      <c r="C190" s="365"/>
    </row>
    <row r="191" spans="1:3" x14ac:dyDescent="0.25">
      <c r="A191" s="192" t="s">
        <v>23</v>
      </c>
      <c r="B191" s="193" t="s">
        <v>24</v>
      </c>
      <c r="C191" s="194" t="s">
        <v>1024</v>
      </c>
    </row>
    <row r="192" spans="1:3" ht="16.5" thickBot="1" x14ac:dyDescent="0.3">
      <c r="A192" s="195" t="s">
        <v>41</v>
      </c>
      <c r="B192" s="155" t="s">
        <v>1051</v>
      </c>
      <c r="C192" s="156">
        <f>45.5/D4*[1]ATHENS!O2</f>
        <v>93.007352941176464</v>
      </c>
    </row>
    <row r="193" spans="1:3" x14ac:dyDescent="0.25">
      <c r="A193" s="369" t="s">
        <v>320</v>
      </c>
      <c r="B193" s="369"/>
      <c r="C193" s="369"/>
    </row>
    <row r="194" spans="1:3" ht="16.5" thickBot="1" x14ac:dyDescent="0.3">
      <c r="A194" s="229" t="s">
        <v>319</v>
      </c>
      <c r="B194" s="243"/>
      <c r="C194" s="243"/>
    </row>
    <row r="195" spans="1:3" ht="16.5" thickBot="1" x14ac:dyDescent="0.3">
      <c r="A195" s="363" t="s">
        <v>2258</v>
      </c>
      <c r="B195" s="364"/>
      <c r="C195" s="365"/>
    </row>
    <row r="196" spans="1:3" ht="16.5" thickBot="1" x14ac:dyDescent="0.3">
      <c r="A196" s="161" t="s">
        <v>23</v>
      </c>
      <c r="B196" s="162" t="s">
        <v>24</v>
      </c>
      <c r="C196" s="163" t="s">
        <v>1024</v>
      </c>
    </row>
    <row r="197" spans="1:3" x14ac:dyDescent="0.25">
      <c r="A197" s="375" t="s">
        <v>957</v>
      </c>
      <c r="B197" s="151" t="s">
        <v>1052</v>
      </c>
      <c r="C197" s="152">
        <f>30/D4*[1]ATHENS!O2</f>
        <v>61.323529411764703</v>
      </c>
    </row>
    <row r="198" spans="1:3" x14ac:dyDescent="0.25">
      <c r="A198" s="376"/>
      <c r="B198" s="153" t="s">
        <v>1053</v>
      </c>
      <c r="C198" s="154">
        <f>39/D4*[1]ATHENS!O2</f>
        <v>79.720588235294116</v>
      </c>
    </row>
    <row r="199" spans="1:3" ht="16.5" thickBot="1" x14ac:dyDescent="0.3">
      <c r="A199" s="377"/>
      <c r="B199" s="155" t="s">
        <v>1054</v>
      </c>
      <c r="C199" s="156">
        <f>63/D4*[1]ATHENS!O2</f>
        <v>128.77941176470586</v>
      </c>
    </row>
    <row r="200" spans="1:3" x14ac:dyDescent="0.25">
      <c r="A200" s="369" t="s">
        <v>320</v>
      </c>
      <c r="B200" s="369"/>
      <c r="C200" s="369"/>
    </row>
    <row r="201" spans="1:3" x14ac:dyDescent="0.25">
      <c r="A201" s="229" t="s">
        <v>319</v>
      </c>
      <c r="B201" s="243"/>
      <c r="C201" s="232" t="s">
        <v>326</v>
      </c>
    </row>
  </sheetData>
  <sheetProtection formatCells="0" formatColumns="0" formatRows="0" insertColumns="0" insertRows="0" insertHyperlinks="0" deleteColumns="0" deleteRows="0"/>
  <customSheetViews>
    <customSheetView guid="{3C76061C-A85D-4390-B9DB-73E13038638C}" showPageBreaks="1" showGridLines="0" hiddenColumns="1" view="pageLayout">
      <selection activeCell="A7" sqref="A7:C7"/>
      <rowBreaks count="3" manualBreakCount="3">
        <brk id="59" max="16383" man="1"/>
        <brk id="118" max="16383" man="1"/>
        <brk id="175" max="16383" man="1"/>
      </rowBreaks>
      <pageMargins left="0.28125" right="0.25" top="0.6692913385826772" bottom="0.70866141732283472" header="0.23622047244094491" footer="0.47244094488188981"/>
      <printOptions horizontalCentered="1"/>
      <pageSetup paperSize="9" orientation="portrait" useFirstPageNumber="1" horizontalDpi="300" verticalDpi="300" r:id="rId1"/>
      <headerFooter scaleWithDoc="0" alignWithMargins="0">
        <oddHeader xml:space="preserve">&amp;C TARIFF 2019
 (EURO)
TRANSFERS 
</oddHeader>
        <oddFooter>&amp;LAll rates are in EURO&amp;C
TARIFF 2019
&amp;RPage &amp;P</oddFooter>
      </headerFooter>
    </customSheetView>
  </customSheetViews>
  <mergeCells count="70">
    <mergeCell ref="A116:A117"/>
    <mergeCell ref="A102:A103"/>
    <mergeCell ref="A161:A163"/>
    <mergeCell ref="A154:C154"/>
    <mergeCell ref="A143:C143"/>
    <mergeCell ref="A148:C148"/>
    <mergeCell ref="A150:A153"/>
    <mergeCell ref="A120:C120"/>
    <mergeCell ref="A131:A134"/>
    <mergeCell ref="A111:C111"/>
    <mergeCell ref="A106:C106"/>
    <mergeCell ref="A1:C2"/>
    <mergeCell ref="A79:A90"/>
    <mergeCell ref="A91:A97"/>
    <mergeCell ref="A48:C48"/>
    <mergeCell ref="A55:A57"/>
    <mergeCell ref="A30:A33"/>
    <mergeCell ref="A60:C60"/>
    <mergeCell ref="A58:C58"/>
    <mergeCell ref="A3:C3"/>
    <mergeCell ref="A43:A45"/>
    <mergeCell ref="A5:A6"/>
    <mergeCell ref="A7:C7"/>
    <mergeCell ref="A9:C9"/>
    <mergeCell ref="A39:A42"/>
    <mergeCell ref="A11:A13"/>
    <mergeCell ref="A16:A20"/>
    <mergeCell ref="A26:A29"/>
    <mergeCell ref="A100:C100"/>
    <mergeCell ref="A77:C77"/>
    <mergeCell ref="A65:C65"/>
    <mergeCell ref="A62:A64"/>
    <mergeCell ref="A75:C75"/>
    <mergeCell ref="A67:C67"/>
    <mergeCell ref="A50:A52"/>
    <mergeCell ref="A37:C37"/>
    <mergeCell ref="A98:C98"/>
    <mergeCell ref="A53:A54"/>
    <mergeCell ref="A24:C24"/>
    <mergeCell ref="A170:C170"/>
    <mergeCell ref="A188:C188"/>
    <mergeCell ref="A193:C193"/>
    <mergeCell ref="A181:C181"/>
    <mergeCell ref="A168:C168"/>
    <mergeCell ref="A69:A74"/>
    <mergeCell ref="A109:A110"/>
    <mergeCell ref="A104:C104"/>
    <mergeCell ref="A34:C34"/>
    <mergeCell ref="A122:A124"/>
    <mergeCell ref="A125:C125"/>
    <mergeCell ref="A129:A130"/>
    <mergeCell ref="A127:C127"/>
    <mergeCell ref="A164:A165"/>
    <mergeCell ref="A137:C137"/>
    <mergeCell ref="A195:C195"/>
    <mergeCell ref="A114:C114"/>
    <mergeCell ref="A200:C200"/>
    <mergeCell ref="A177:C177"/>
    <mergeCell ref="A166:A167"/>
    <mergeCell ref="A197:A199"/>
    <mergeCell ref="A172:A174"/>
    <mergeCell ref="A179:A180"/>
    <mergeCell ref="A185:A187"/>
    <mergeCell ref="A190:C190"/>
    <mergeCell ref="A183:C183"/>
    <mergeCell ref="A156:C156"/>
    <mergeCell ref="A158:A160"/>
    <mergeCell ref="A141:C141"/>
    <mergeCell ref="A135:C135"/>
    <mergeCell ref="A139:A140"/>
  </mergeCells>
  <printOptions horizontalCentered="1"/>
  <pageMargins left="0.28125" right="0.25" top="0.6692913385826772" bottom="0.70866141732283472" header="0.23622047244094491" footer="0.47244094488188981"/>
  <pageSetup paperSize="9" orientation="portrait" useFirstPageNumber="1" horizontalDpi="300" verticalDpi="300" r:id="rId2"/>
  <headerFooter scaleWithDoc="0" alignWithMargins="0">
    <oddHeader xml:space="preserve">&amp;C TARIFF 2026
 (EURO)
</oddHeader>
    <oddFooter>&amp;LAll rates are in EURO&amp;C
TARIFF 2026
&amp;RPage &amp;P</oddFooter>
  </headerFooter>
  <rowBreaks count="3" manualBreakCount="3">
    <brk id="59" max="16383" man="1"/>
    <brk id="118" max="16383" man="1"/>
    <brk id="175"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Φύλλο9"/>
  <dimension ref="A1:AI982"/>
  <sheetViews>
    <sheetView showGridLines="0" view="pageLayout" zoomScaleNormal="100" zoomScaleSheetLayoutView="100" workbookViewId="0">
      <selection activeCell="L114" sqref="L114"/>
    </sheetView>
  </sheetViews>
  <sheetFormatPr defaultRowHeight="12.75" x14ac:dyDescent="0.2"/>
  <cols>
    <col min="1" max="1" width="1.85546875" style="14" customWidth="1"/>
    <col min="2" max="3" width="10.7109375" style="15" customWidth="1"/>
    <col min="4" max="4" width="3.7109375" style="15" customWidth="1"/>
    <col min="5" max="9" width="3.7109375" style="16" customWidth="1"/>
    <col min="10" max="13" width="10.7109375" style="16" bestFit="1" customWidth="1"/>
    <col min="14" max="14" width="8.5703125" style="16" customWidth="1"/>
    <col min="15" max="15" width="0.5703125" style="17" customWidth="1"/>
    <col min="16" max="16" width="5.85546875" style="17" customWidth="1"/>
    <col min="17" max="27" width="2.7109375" style="17" customWidth="1"/>
    <col min="28" max="16384" width="9.140625" style="17"/>
  </cols>
  <sheetData>
    <row r="1" spans="1:35" x14ac:dyDescent="0.2">
      <c r="O1" s="203">
        <v>0.49</v>
      </c>
      <c r="P1"/>
      <c r="Q1"/>
      <c r="R1"/>
      <c r="S1"/>
      <c r="T1"/>
      <c r="U1"/>
      <c r="V1"/>
      <c r="W1"/>
      <c r="X1"/>
      <c r="Y1"/>
      <c r="Z1"/>
      <c r="AA1"/>
      <c r="AB1"/>
      <c r="AC1"/>
      <c r="AD1"/>
      <c r="AE1"/>
      <c r="AF1"/>
      <c r="AG1"/>
      <c r="AH1"/>
      <c r="AI1"/>
    </row>
    <row r="2" spans="1:35" ht="15" x14ac:dyDescent="0.2">
      <c r="B2" s="428"/>
      <c r="C2" s="428"/>
      <c r="D2" s="428"/>
      <c r="E2" s="428"/>
      <c r="F2" s="428"/>
      <c r="G2" s="428"/>
      <c r="H2" s="428"/>
      <c r="I2" s="428"/>
      <c r="J2" s="428"/>
      <c r="K2" s="428"/>
      <c r="L2" s="428"/>
      <c r="M2" s="428"/>
      <c r="N2" s="300"/>
      <c r="O2" s="140">
        <v>1</v>
      </c>
      <c r="P2"/>
      <c r="Q2"/>
      <c r="R2"/>
      <c r="S2"/>
      <c r="T2"/>
      <c r="U2"/>
      <c r="V2"/>
      <c r="W2"/>
      <c r="X2"/>
      <c r="Y2"/>
      <c r="Z2"/>
      <c r="AA2"/>
      <c r="AB2"/>
      <c r="AC2"/>
      <c r="AD2"/>
      <c r="AE2"/>
      <c r="AF2"/>
      <c r="AG2"/>
      <c r="AH2"/>
      <c r="AI2"/>
    </row>
    <row r="3" spans="1:35" ht="13.5" thickBot="1" x14ac:dyDescent="0.25">
      <c r="P3"/>
      <c r="Q3"/>
      <c r="R3"/>
      <c r="S3"/>
      <c r="T3"/>
      <c r="U3"/>
      <c r="V3"/>
      <c r="W3"/>
      <c r="X3"/>
      <c r="Y3"/>
      <c r="Z3"/>
      <c r="AA3"/>
      <c r="AB3"/>
      <c r="AC3"/>
      <c r="AD3"/>
      <c r="AE3"/>
      <c r="AF3"/>
      <c r="AG3"/>
      <c r="AH3"/>
      <c r="AI3"/>
    </row>
    <row r="4" spans="1:35" x14ac:dyDescent="0.2">
      <c r="A4" s="20"/>
      <c r="B4" s="21"/>
      <c r="C4" s="21"/>
      <c r="D4" s="21"/>
      <c r="E4" s="22"/>
      <c r="F4" s="22"/>
      <c r="G4" s="22"/>
      <c r="H4" s="22"/>
      <c r="I4" s="22"/>
      <c r="J4" s="22"/>
      <c r="K4" s="22"/>
      <c r="L4" s="22"/>
      <c r="M4" s="22"/>
      <c r="N4" s="23"/>
      <c r="P4"/>
      <c r="Q4"/>
      <c r="R4"/>
      <c r="S4"/>
      <c r="T4"/>
      <c r="U4"/>
      <c r="V4"/>
      <c r="W4"/>
      <c r="X4"/>
      <c r="Y4"/>
      <c r="Z4"/>
      <c r="AA4"/>
      <c r="AB4"/>
      <c r="AC4"/>
      <c r="AD4"/>
      <c r="AE4"/>
      <c r="AF4"/>
      <c r="AG4"/>
      <c r="AH4"/>
      <c r="AI4"/>
    </row>
    <row r="5" spans="1:35" ht="15" x14ac:dyDescent="0.2">
      <c r="A5" s="24"/>
      <c r="B5" s="413" t="s">
        <v>1146</v>
      </c>
      <c r="C5" s="414"/>
      <c r="D5" s="414"/>
      <c r="E5" s="414"/>
      <c r="F5" s="414"/>
      <c r="G5" s="414"/>
      <c r="H5" s="414"/>
      <c r="I5" s="414"/>
      <c r="J5" s="414"/>
      <c r="K5" s="414"/>
      <c r="L5" s="414"/>
      <c r="M5" s="415"/>
      <c r="N5" s="25" t="s">
        <v>904</v>
      </c>
      <c r="P5"/>
      <c r="Q5"/>
      <c r="R5"/>
      <c r="S5"/>
      <c r="T5"/>
      <c r="U5"/>
      <c r="V5"/>
      <c r="W5"/>
      <c r="X5"/>
      <c r="Y5"/>
      <c r="Z5"/>
      <c r="AA5"/>
      <c r="AB5"/>
      <c r="AC5"/>
      <c r="AD5"/>
      <c r="AE5"/>
      <c r="AF5"/>
      <c r="AG5"/>
      <c r="AH5"/>
      <c r="AI5"/>
    </row>
    <row r="6" spans="1:35" x14ac:dyDescent="0.2">
      <c r="A6" s="24"/>
      <c r="B6" s="26" t="s">
        <v>428</v>
      </c>
      <c r="C6" s="15" t="s">
        <v>66</v>
      </c>
      <c r="N6" s="27"/>
      <c r="P6"/>
      <c r="Q6"/>
      <c r="R6"/>
      <c r="S6"/>
      <c r="T6"/>
      <c r="U6"/>
      <c r="V6"/>
      <c r="W6"/>
      <c r="X6"/>
      <c r="Y6"/>
      <c r="Z6"/>
      <c r="AA6"/>
      <c r="AB6"/>
      <c r="AC6"/>
      <c r="AD6"/>
      <c r="AE6"/>
      <c r="AF6"/>
      <c r="AG6"/>
      <c r="AH6"/>
      <c r="AI6"/>
    </row>
    <row r="7" spans="1:35" x14ac:dyDescent="0.2">
      <c r="A7" s="24"/>
      <c r="B7" s="26" t="s">
        <v>429</v>
      </c>
      <c r="C7" s="15" t="s">
        <v>1354</v>
      </c>
      <c r="N7" s="27"/>
      <c r="P7"/>
      <c r="Q7"/>
      <c r="R7"/>
      <c r="S7"/>
      <c r="T7"/>
      <c r="U7"/>
      <c r="V7"/>
      <c r="W7"/>
      <c r="X7"/>
      <c r="Y7"/>
      <c r="Z7"/>
      <c r="AA7"/>
      <c r="AB7"/>
      <c r="AC7"/>
      <c r="AD7"/>
      <c r="AE7"/>
      <c r="AF7"/>
      <c r="AG7"/>
      <c r="AH7"/>
      <c r="AI7"/>
    </row>
    <row r="8" spans="1:35" x14ac:dyDescent="0.2">
      <c r="A8" s="24"/>
      <c r="B8" s="26" t="s">
        <v>427</v>
      </c>
      <c r="C8" s="416" t="s">
        <v>1539</v>
      </c>
      <c r="D8" s="416"/>
      <c r="E8" s="416"/>
      <c r="F8" s="416"/>
      <c r="G8" s="416"/>
      <c r="H8" s="416"/>
      <c r="I8" s="416"/>
      <c r="J8" s="416"/>
      <c r="K8" s="416"/>
      <c r="L8" s="416"/>
      <c r="M8" s="416"/>
      <c r="N8" s="417"/>
      <c r="P8"/>
      <c r="Q8"/>
      <c r="R8"/>
      <c r="S8"/>
      <c r="T8"/>
      <c r="U8"/>
      <c r="V8"/>
      <c r="W8"/>
      <c r="X8"/>
      <c r="Y8"/>
      <c r="Z8"/>
      <c r="AA8"/>
      <c r="AB8"/>
      <c r="AC8"/>
      <c r="AD8"/>
      <c r="AE8"/>
      <c r="AF8"/>
      <c r="AG8"/>
      <c r="AH8"/>
      <c r="AI8"/>
    </row>
    <row r="9" spans="1:35" x14ac:dyDescent="0.2">
      <c r="A9" s="24"/>
      <c r="C9" s="421"/>
      <c r="D9" s="421"/>
      <c r="E9" s="421"/>
      <c r="F9" s="421"/>
      <c r="G9" s="421"/>
      <c r="H9" s="421"/>
      <c r="I9" s="421"/>
      <c r="J9" s="421"/>
      <c r="K9" s="421"/>
      <c r="L9" s="421"/>
      <c r="M9" s="421"/>
      <c r="N9" s="422"/>
      <c r="P9"/>
      <c r="Q9"/>
      <c r="R9"/>
      <c r="S9"/>
      <c r="T9"/>
      <c r="U9"/>
      <c r="V9"/>
      <c r="W9"/>
      <c r="X9"/>
      <c r="Y9"/>
      <c r="Z9"/>
      <c r="AA9"/>
      <c r="AB9"/>
      <c r="AC9"/>
      <c r="AD9"/>
      <c r="AE9"/>
      <c r="AF9"/>
      <c r="AG9"/>
      <c r="AH9"/>
      <c r="AI9"/>
    </row>
    <row r="10" spans="1:35" x14ac:dyDescent="0.2">
      <c r="A10" s="24"/>
      <c r="B10" s="26" t="s">
        <v>426</v>
      </c>
      <c r="C10" s="15" t="s">
        <v>1353</v>
      </c>
      <c r="N10" s="27"/>
      <c r="P10"/>
      <c r="Q10"/>
      <c r="R10"/>
      <c r="S10"/>
      <c r="T10"/>
      <c r="U10"/>
      <c r="V10"/>
      <c r="W10"/>
      <c r="X10"/>
      <c r="Y10"/>
      <c r="Z10"/>
      <c r="AA10"/>
      <c r="AB10"/>
      <c r="AC10"/>
      <c r="AD10"/>
      <c r="AE10"/>
      <c r="AF10"/>
      <c r="AG10"/>
      <c r="AH10"/>
      <c r="AI10"/>
    </row>
    <row r="11" spans="1:35" ht="13.5" thickBot="1" x14ac:dyDescent="0.25">
      <c r="A11" s="28"/>
      <c r="B11" s="26" t="s">
        <v>430</v>
      </c>
      <c r="D11" s="29"/>
      <c r="E11" s="30"/>
      <c r="F11" s="30"/>
      <c r="G11" s="30"/>
      <c r="H11" s="30"/>
      <c r="I11" s="30"/>
      <c r="J11" s="30"/>
      <c r="K11" s="30"/>
      <c r="L11" s="30"/>
      <c r="M11" s="30"/>
      <c r="N11" s="31"/>
      <c r="P11"/>
      <c r="Q11"/>
      <c r="R11"/>
      <c r="S11"/>
      <c r="T11"/>
      <c r="U11"/>
      <c r="V11"/>
      <c r="W11"/>
      <c r="X11"/>
      <c r="Y11"/>
      <c r="Z11"/>
      <c r="AA11"/>
      <c r="AB11"/>
      <c r="AC11"/>
      <c r="AD11"/>
      <c r="AE11"/>
      <c r="AF11"/>
      <c r="AG11"/>
      <c r="AH11"/>
      <c r="AI11"/>
    </row>
    <row r="12" spans="1:35" x14ac:dyDescent="0.2">
      <c r="A12" s="20"/>
      <c r="B12" s="21" t="s">
        <v>263</v>
      </c>
      <c r="C12" s="21"/>
      <c r="D12" s="21"/>
      <c r="E12" s="22"/>
      <c r="F12" s="22"/>
      <c r="G12" s="22"/>
      <c r="H12" s="22"/>
      <c r="I12" s="22"/>
      <c r="J12" s="32" t="s">
        <v>1556</v>
      </c>
      <c r="K12" s="33" t="s">
        <v>1557</v>
      </c>
      <c r="L12" s="34"/>
      <c r="M12" s="33"/>
      <c r="N12" s="33"/>
      <c r="P12"/>
      <c r="Q12"/>
      <c r="R12"/>
      <c r="S12"/>
      <c r="T12"/>
      <c r="U12"/>
      <c r="V12"/>
      <c r="W12"/>
      <c r="X12"/>
      <c r="Y12"/>
      <c r="Z12"/>
      <c r="AA12"/>
      <c r="AB12"/>
      <c r="AC12"/>
      <c r="AD12"/>
      <c r="AE12"/>
      <c r="AF12"/>
      <c r="AG12"/>
      <c r="AH12"/>
      <c r="AI12"/>
    </row>
    <row r="13" spans="1:35" ht="13.5" thickBot="1" x14ac:dyDescent="0.25">
      <c r="A13" s="28"/>
      <c r="B13" s="29"/>
      <c r="C13" s="29"/>
      <c r="D13" s="29"/>
      <c r="E13" s="30"/>
      <c r="F13" s="30"/>
      <c r="G13" s="30"/>
      <c r="H13" s="30"/>
      <c r="I13" s="30"/>
      <c r="J13" s="35" t="s">
        <v>271</v>
      </c>
      <c r="K13" s="36"/>
      <c r="L13" s="36"/>
      <c r="M13" s="36"/>
      <c r="N13" s="36"/>
      <c r="P13"/>
      <c r="Q13"/>
      <c r="R13"/>
      <c r="S13"/>
      <c r="T13"/>
      <c r="U13"/>
      <c r="V13"/>
      <c r="W13"/>
      <c r="X13"/>
      <c r="Y13"/>
      <c r="Z13"/>
      <c r="AA13"/>
      <c r="AB13"/>
      <c r="AC13"/>
      <c r="AD13"/>
      <c r="AE13"/>
      <c r="AF13"/>
      <c r="AG13"/>
      <c r="AH13"/>
      <c r="AI13"/>
    </row>
    <row r="14" spans="1:35" x14ac:dyDescent="0.2">
      <c r="A14" s="20"/>
      <c r="B14" s="412" t="s">
        <v>67</v>
      </c>
      <c r="C14" s="412"/>
      <c r="D14" s="412"/>
      <c r="E14" s="22"/>
      <c r="F14" s="22" t="s">
        <v>1180</v>
      </c>
      <c r="G14" s="22" t="s">
        <v>68</v>
      </c>
      <c r="H14" s="22" t="s">
        <v>702</v>
      </c>
      <c r="I14" s="22"/>
      <c r="J14" s="62">
        <f>160.92/O1*O2</f>
        <v>328.40816326530609</v>
      </c>
      <c r="K14" s="62">
        <f>274.5/O1*O2</f>
        <v>560.20408163265301</v>
      </c>
      <c r="L14" s="62"/>
      <c r="M14" s="62"/>
      <c r="N14" s="38"/>
      <c r="P14"/>
      <c r="Q14"/>
      <c r="R14"/>
      <c r="S14"/>
      <c r="T14"/>
      <c r="U14"/>
      <c r="V14"/>
      <c r="W14"/>
      <c r="X14"/>
      <c r="Y14"/>
      <c r="Z14"/>
      <c r="AA14"/>
      <c r="AB14"/>
      <c r="AC14"/>
      <c r="AD14"/>
      <c r="AE14"/>
      <c r="AF14"/>
      <c r="AG14"/>
      <c r="AH14"/>
      <c r="AI14"/>
    </row>
    <row r="15" spans="1:35" x14ac:dyDescent="0.2">
      <c r="A15" s="24"/>
      <c r="B15" s="411" t="s">
        <v>67</v>
      </c>
      <c r="C15" s="411"/>
      <c r="D15" s="411"/>
      <c r="F15" s="16" t="s">
        <v>1181</v>
      </c>
      <c r="G15" s="16" t="s">
        <v>68</v>
      </c>
      <c r="H15" s="16" t="s">
        <v>702</v>
      </c>
      <c r="J15" s="63">
        <f>95.5/O1*O2</f>
        <v>194.89795918367346</v>
      </c>
      <c r="K15" s="63">
        <f>151.82/O1*O2</f>
        <v>309.83673469387753</v>
      </c>
      <c r="L15" s="63"/>
      <c r="M15" s="63"/>
      <c r="N15" s="40"/>
      <c r="P15"/>
      <c r="Q15"/>
      <c r="R15"/>
      <c r="S15"/>
      <c r="T15"/>
      <c r="U15"/>
      <c r="V15"/>
      <c r="W15"/>
      <c r="X15"/>
      <c r="Y15"/>
      <c r="Z15"/>
      <c r="AA15"/>
      <c r="AB15"/>
      <c r="AC15"/>
      <c r="AD15"/>
      <c r="AE15"/>
      <c r="AF15"/>
      <c r="AG15"/>
      <c r="AH15"/>
      <c r="AI15"/>
    </row>
    <row r="16" spans="1:35" ht="13.5" thickBot="1" x14ac:dyDescent="0.25">
      <c r="A16" s="28"/>
      <c r="B16" s="418"/>
      <c r="C16" s="418"/>
      <c r="D16" s="418"/>
      <c r="E16" s="30"/>
      <c r="F16" s="30"/>
      <c r="G16" s="30"/>
      <c r="H16" s="30"/>
      <c r="I16" s="30"/>
      <c r="J16" s="64"/>
      <c r="K16" s="64"/>
      <c r="L16" s="64"/>
      <c r="M16" s="64"/>
      <c r="N16" s="42"/>
      <c r="P16"/>
      <c r="Q16"/>
      <c r="R16"/>
      <c r="S16"/>
      <c r="T16"/>
      <c r="U16"/>
      <c r="V16"/>
      <c r="W16"/>
      <c r="X16"/>
      <c r="Y16"/>
      <c r="Z16"/>
      <c r="AA16"/>
      <c r="AB16"/>
      <c r="AC16"/>
      <c r="AD16"/>
      <c r="AE16"/>
      <c r="AF16"/>
      <c r="AG16"/>
      <c r="AH16"/>
      <c r="AI16"/>
    </row>
    <row r="17" spans="1:35" ht="13.5" thickBot="1" x14ac:dyDescent="0.25">
      <c r="A17" s="75"/>
      <c r="B17" s="49" t="s">
        <v>572</v>
      </c>
      <c r="C17" s="49"/>
      <c r="D17" s="49"/>
      <c r="E17" s="56"/>
      <c r="F17" s="56"/>
      <c r="G17" s="56"/>
      <c r="H17" s="56"/>
      <c r="I17" s="56"/>
      <c r="J17" s="56"/>
      <c r="K17" s="56"/>
      <c r="L17" s="56"/>
      <c r="M17" s="56"/>
      <c r="N17" s="57"/>
      <c r="P17"/>
      <c r="Q17"/>
      <c r="R17"/>
      <c r="S17"/>
      <c r="T17"/>
      <c r="U17"/>
      <c r="V17"/>
      <c r="W17"/>
      <c r="X17"/>
      <c r="Y17"/>
      <c r="Z17"/>
      <c r="AA17"/>
      <c r="AB17"/>
      <c r="AC17"/>
      <c r="AD17"/>
      <c r="AE17"/>
      <c r="AF17"/>
      <c r="AG17"/>
      <c r="AH17"/>
      <c r="AI17"/>
    </row>
    <row r="18" spans="1:35" ht="13.5" thickBot="1" x14ac:dyDescent="0.25">
      <c r="P18"/>
      <c r="Q18"/>
      <c r="R18"/>
      <c r="S18"/>
      <c r="T18"/>
      <c r="U18"/>
      <c r="V18"/>
      <c r="W18"/>
      <c r="X18"/>
      <c r="Y18"/>
      <c r="Z18"/>
      <c r="AA18"/>
      <c r="AB18"/>
      <c r="AC18"/>
      <c r="AD18"/>
      <c r="AE18"/>
      <c r="AF18"/>
      <c r="AG18"/>
      <c r="AH18"/>
      <c r="AI18"/>
    </row>
    <row r="19" spans="1:35" x14ac:dyDescent="0.2">
      <c r="A19" s="20"/>
      <c r="B19" s="21"/>
      <c r="C19" s="21"/>
      <c r="D19" s="21"/>
      <c r="E19" s="22"/>
      <c r="F19" s="22"/>
      <c r="G19" s="22"/>
      <c r="H19" s="22"/>
      <c r="I19" s="22"/>
      <c r="J19" s="22"/>
      <c r="K19" s="22"/>
      <c r="L19" s="22"/>
      <c r="M19" s="22"/>
      <c r="N19" s="23"/>
    </row>
    <row r="20" spans="1:35" ht="15" x14ac:dyDescent="0.2">
      <c r="A20" s="24"/>
      <c r="B20" s="413" t="s">
        <v>812</v>
      </c>
      <c r="C20" s="414"/>
      <c r="D20" s="414"/>
      <c r="E20" s="414"/>
      <c r="F20" s="414"/>
      <c r="G20" s="414"/>
      <c r="H20" s="414"/>
      <c r="I20" s="414"/>
      <c r="J20" s="414"/>
      <c r="K20" s="414"/>
      <c r="L20" s="414"/>
      <c r="M20" s="415"/>
      <c r="N20" s="25" t="s">
        <v>904</v>
      </c>
    </row>
    <row r="21" spans="1:35" x14ac:dyDescent="0.2">
      <c r="A21" s="24"/>
      <c r="B21" s="26" t="s">
        <v>428</v>
      </c>
      <c r="C21" s="15" t="s">
        <v>813</v>
      </c>
      <c r="N21" s="27"/>
    </row>
    <row r="22" spans="1:35" x14ac:dyDescent="0.2">
      <c r="A22" s="24"/>
      <c r="B22" s="26" t="s">
        <v>429</v>
      </c>
      <c r="C22" s="15" t="s">
        <v>814</v>
      </c>
      <c r="N22" s="27"/>
    </row>
    <row r="23" spans="1:35" x14ac:dyDescent="0.2">
      <c r="A23" s="24"/>
      <c r="B23" s="26" t="s">
        <v>427</v>
      </c>
      <c r="C23" s="416" t="s">
        <v>1540</v>
      </c>
      <c r="D23" s="416"/>
      <c r="E23" s="416"/>
      <c r="F23" s="416"/>
      <c r="G23" s="416"/>
      <c r="H23" s="416"/>
      <c r="I23" s="416"/>
      <c r="J23" s="416"/>
      <c r="K23" s="416"/>
      <c r="L23" s="416"/>
      <c r="M23" s="416"/>
      <c r="N23" s="417"/>
    </row>
    <row r="24" spans="1:35" x14ac:dyDescent="0.2">
      <c r="A24" s="24"/>
      <c r="C24" s="416"/>
      <c r="D24" s="416"/>
      <c r="E24" s="416"/>
      <c r="F24" s="416"/>
      <c r="G24" s="416"/>
      <c r="H24" s="416"/>
      <c r="I24" s="416"/>
      <c r="J24" s="416"/>
      <c r="K24" s="416"/>
      <c r="L24" s="416"/>
      <c r="M24" s="416"/>
      <c r="N24" s="417"/>
    </row>
    <row r="25" spans="1:35" ht="13.5" thickBot="1" x14ac:dyDescent="0.25">
      <c r="A25" s="24"/>
      <c r="C25" s="419"/>
      <c r="D25" s="419"/>
      <c r="E25" s="419"/>
      <c r="F25" s="419"/>
      <c r="G25" s="419"/>
      <c r="H25" s="419"/>
      <c r="I25" s="419"/>
      <c r="J25" s="419"/>
      <c r="K25" s="419"/>
      <c r="L25" s="419"/>
      <c r="M25" s="419"/>
      <c r="N25" s="420"/>
    </row>
    <row r="26" spans="1:35" ht="13.5" thickBot="1" x14ac:dyDescent="0.25">
      <c r="A26" s="75"/>
      <c r="B26" s="49" t="s">
        <v>263</v>
      </c>
      <c r="C26" s="49"/>
      <c r="D26" s="49"/>
      <c r="E26" s="56"/>
      <c r="F26" s="56"/>
      <c r="G26" s="56"/>
      <c r="H26" s="56"/>
      <c r="I26" s="57"/>
      <c r="J26" s="50" t="s">
        <v>907</v>
      </c>
      <c r="K26" s="50" t="s">
        <v>753</v>
      </c>
      <c r="L26" s="50"/>
      <c r="M26" s="50"/>
      <c r="N26" s="57"/>
    </row>
    <row r="27" spans="1:35" ht="13.5" thickBot="1" x14ac:dyDescent="0.25">
      <c r="A27" s="28"/>
      <c r="B27" s="26"/>
      <c r="C27" s="29"/>
      <c r="D27" s="29"/>
      <c r="E27" s="30"/>
      <c r="F27" s="30"/>
      <c r="G27" s="30"/>
      <c r="H27" s="30"/>
      <c r="I27" s="31"/>
      <c r="J27" s="36" t="s">
        <v>76</v>
      </c>
      <c r="K27" s="36" t="s">
        <v>1920</v>
      </c>
      <c r="L27" s="36" t="s">
        <v>1619</v>
      </c>
      <c r="M27" s="36"/>
      <c r="N27" s="31"/>
    </row>
    <row r="28" spans="1:35" x14ac:dyDescent="0.2">
      <c r="A28" s="20"/>
      <c r="B28" s="412" t="s">
        <v>67</v>
      </c>
      <c r="C28" s="412"/>
      <c r="D28" s="412"/>
      <c r="E28" s="22"/>
      <c r="F28" s="22" t="s">
        <v>1180</v>
      </c>
      <c r="G28" s="22" t="s">
        <v>68</v>
      </c>
      <c r="H28" s="22" t="s">
        <v>702</v>
      </c>
      <c r="I28" s="22"/>
      <c r="J28" s="65">
        <f>109/O1*O2</f>
        <v>222.44897959183675</v>
      </c>
      <c r="K28" s="65">
        <f>120/O1*O2</f>
        <v>244.89795918367346</v>
      </c>
      <c r="L28" s="38">
        <f>146/O1*O2</f>
        <v>297.9591836734694</v>
      </c>
      <c r="M28" s="38"/>
      <c r="N28" s="70"/>
    </row>
    <row r="29" spans="1:35" x14ac:dyDescent="0.2">
      <c r="A29" s="24"/>
      <c r="B29" s="411" t="s">
        <v>67</v>
      </c>
      <c r="C29" s="411"/>
      <c r="D29" s="411"/>
      <c r="F29" s="16" t="s">
        <v>1181</v>
      </c>
      <c r="G29" s="16" t="s">
        <v>68</v>
      </c>
      <c r="H29" s="16" t="s">
        <v>702</v>
      </c>
      <c r="J29" s="66">
        <f>60/O1*O2</f>
        <v>122.44897959183673</v>
      </c>
      <c r="K29" s="66">
        <f>65/O1*O2</f>
        <v>132.65306122448979</v>
      </c>
      <c r="L29" s="40">
        <f>78/O1*O2</f>
        <v>159.18367346938777</v>
      </c>
      <c r="M29" s="39"/>
      <c r="N29" s="40"/>
    </row>
    <row r="30" spans="1:35" x14ac:dyDescent="0.2">
      <c r="A30" s="24"/>
      <c r="B30" s="15" t="s">
        <v>67</v>
      </c>
      <c r="F30" s="16" t="s">
        <v>1182</v>
      </c>
      <c r="G30" s="16" t="s">
        <v>68</v>
      </c>
      <c r="H30" s="16" t="s">
        <v>702</v>
      </c>
      <c r="J30" s="66">
        <f>47.5/O1*O2</f>
        <v>96.938775510204081</v>
      </c>
      <c r="K30" s="66">
        <f>50.6/O1*O2</f>
        <v>103.26530612244899</v>
      </c>
      <c r="L30" s="40">
        <f>59/O1*O2</f>
        <v>120.40816326530613</v>
      </c>
      <c r="M30" s="39"/>
      <c r="N30" s="40"/>
    </row>
    <row r="31" spans="1:35" ht="13.5" thickBot="1" x14ac:dyDescent="0.25">
      <c r="A31" s="28"/>
      <c r="B31" s="418" t="s">
        <v>902</v>
      </c>
      <c r="C31" s="418"/>
      <c r="D31" s="418"/>
      <c r="E31" s="30"/>
      <c r="F31" s="30"/>
      <c r="G31" s="30"/>
      <c r="H31" s="30"/>
      <c r="I31" s="30"/>
      <c r="J31" s="67">
        <f>26/O1*O2</f>
        <v>53.061224489795919</v>
      </c>
      <c r="K31" s="67">
        <f>26/O1*O2</f>
        <v>53.061224489795919</v>
      </c>
      <c r="L31" s="42">
        <f>26/O1*O2</f>
        <v>53.061224489795919</v>
      </c>
      <c r="M31" s="41"/>
      <c r="N31" s="42"/>
    </row>
    <row r="38" spans="1:14" ht="13.5" thickBot="1" x14ac:dyDescent="0.25"/>
    <row r="39" spans="1:14" x14ac:dyDescent="0.2">
      <c r="A39" s="20"/>
      <c r="B39" s="21"/>
      <c r="C39" s="21"/>
      <c r="D39" s="21"/>
      <c r="E39" s="22"/>
      <c r="F39" s="22"/>
      <c r="G39" s="22"/>
      <c r="H39" s="22"/>
      <c r="I39" s="22"/>
      <c r="J39" s="22"/>
      <c r="K39" s="22"/>
      <c r="L39" s="22"/>
      <c r="M39" s="22"/>
      <c r="N39" s="23"/>
    </row>
    <row r="40" spans="1:14" ht="15" x14ac:dyDescent="0.2">
      <c r="A40" s="24"/>
      <c r="B40" s="413" t="s">
        <v>358</v>
      </c>
      <c r="C40" s="414"/>
      <c r="D40" s="414"/>
      <c r="E40" s="414"/>
      <c r="F40" s="414"/>
      <c r="G40" s="414"/>
      <c r="H40" s="414"/>
      <c r="I40" s="414"/>
      <c r="J40" s="414"/>
      <c r="K40" s="414"/>
      <c r="L40" s="414"/>
      <c r="M40" s="415"/>
      <c r="N40" s="25" t="s">
        <v>904</v>
      </c>
    </row>
    <row r="41" spans="1:14" x14ac:dyDescent="0.2">
      <c r="A41" s="24"/>
      <c r="B41" s="26" t="s">
        <v>428</v>
      </c>
      <c r="C41" s="15" t="s">
        <v>766</v>
      </c>
      <c r="N41" s="27"/>
    </row>
    <row r="42" spans="1:14" x14ac:dyDescent="0.2">
      <c r="A42" s="24"/>
      <c r="B42" s="26" t="s">
        <v>429</v>
      </c>
      <c r="C42" s="15" t="s">
        <v>882</v>
      </c>
      <c r="N42" s="27"/>
    </row>
    <row r="43" spans="1:14" x14ac:dyDescent="0.2">
      <c r="A43" s="24"/>
      <c r="B43" s="26" t="s">
        <v>427</v>
      </c>
      <c r="C43" s="416" t="s">
        <v>1542</v>
      </c>
      <c r="D43" s="416"/>
      <c r="E43" s="416"/>
      <c r="F43" s="416"/>
      <c r="G43" s="416"/>
      <c r="H43" s="416"/>
      <c r="I43" s="416"/>
      <c r="J43" s="416"/>
      <c r="K43" s="416"/>
      <c r="L43" s="416"/>
      <c r="M43" s="416"/>
      <c r="N43" s="417"/>
    </row>
    <row r="44" spans="1:14" x14ac:dyDescent="0.2">
      <c r="A44" s="24"/>
      <c r="C44" s="416"/>
      <c r="D44" s="416"/>
      <c r="E44" s="416"/>
      <c r="F44" s="416"/>
      <c r="G44" s="416"/>
      <c r="H44" s="416"/>
      <c r="I44" s="416"/>
      <c r="J44" s="416"/>
      <c r="K44" s="416"/>
      <c r="L44" s="416"/>
      <c r="M44" s="416"/>
      <c r="N44" s="417"/>
    </row>
    <row r="45" spans="1:14" x14ac:dyDescent="0.2">
      <c r="A45" s="24"/>
      <c r="C45" s="416"/>
      <c r="D45" s="416"/>
      <c r="E45" s="416"/>
      <c r="F45" s="416"/>
      <c r="G45" s="416"/>
      <c r="H45" s="416"/>
      <c r="I45" s="416"/>
      <c r="J45" s="416"/>
      <c r="K45" s="416"/>
      <c r="L45" s="416"/>
      <c r="M45" s="416"/>
      <c r="N45" s="417"/>
    </row>
    <row r="46" spans="1:14" x14ac:dyDescent="0.2">
      <c r="A46" s="24"/>
      <c r="C46" s="419"/>
      <c r="D46" s="419"/>
      <c r="E46" s="419"/>
      <c r="F46" s="419"/>
      <c r="G46" s="419"/>
      <c r="H46" s="419"/>
      <c r="I46" s="419"/>
      <c r="J46" s="419"/>
      <c r="K46" s="419"/>
      <c r="L46" s="419"/>
      <c r="M46" s="419"/>
      <c r="N46" s="420"/>
    </row>
    <row r="47" spans="1:14" ht="13.5" thickBot="1" x14ac:dyDescent="0.25">
      <c r="A47" s="28"/>
      <c r="B47" s="43" t="s">
        <v>426</v>
      </c>
      <c r="C47" s="29" t="s">
        <v>1355</v>
      </c>
      <c r="D47" s="29"/>
      <c r="E47" s="30"/>
      <c r="F47" s="30"/>
      <c r="G47" s="30"/>
      <c r="H47" s="30"/>
      <c r="I47" s="30"/>
      <c r="J47" s="30"/>
      <c r="L47" s="30"/>
      <c r="M47" s="30"/>
      <c r="N47" s="31"/>
    </row>
    <row r="48" spans="1:14" x14ac:dyDescent="0.2">
      <c r="A48" s="24"/>
      <c r="B48" s="15" t="s">
        <v>263</v>
      </c>
      <c r="I48" s="27"/>
      <c r="J48" s="55" t="s">
        <v>1928</v>
      </c>
      <c r="K48" s="33" t="s">
        <v>753</v>
      </c>
      <c r="L48" s="27"/>
      <c r="M48" s="33"/>
      <c r="N48" s="27"/>
    </row>
    <row r="49" spans="1:14" ht="13.5" thickBot="1" x14ac:dyDescent="0.25">
      <c r="A49" s="24"/>
      <c r="B49" s="26"/>
      <c r="I49" s="31"/>
      <c r="J49" s="36" t="s">
        <v>123</v>
      </c>
      <c r="K49" s="36" t="s">
        <v>1341</v>
      </c>
      <c r="L49" s="31" t="s">
        <v>513</v>
      </c>
      <c r="M49" s="36"/>
      <c r="N49" s="27"/>
    </row>
    <row r="50" spans="1:14" ht="13.5" thickBot="1" x14ac:dyDescent="0.25">
      <c r="A50" s="20"/>
      <c r="B50" s="21"/>
      <c r="C50" s="21"/>
      <c r="D50" s="21"/>
      <c r="E50" s="22"/>
      <c r="F50" s="22"/>
      <c r="G50" s="22"/>
      <c r="H50" s="22"/>
      <c r="I50" s="22"/>
      <c r="J50" s="32" t="s">
        <v>76</v>
      </c>
      <c r="K50" s="33" t="s">
        <v>1929</v>
      </c>
      <c r="L50" s="33" t="s">
        <v>494</v>
      </c>
      <c r="M50" s="33"/>
      <c r="N50" s="33"/>
    </row>
    <row r="51" spans="1:14" x14ac:dyDescent="0.2">
      <c r="A51" s="20"/>
      <c r="B51" s="412" t="s">
        <v>67</v>
      </c>
      <c r="C51" s="412"/>
      <c r="D51" s="412"/>
      <c r="E51" s="22"/>
      <c r="F51" s="22" t="s">
        <v>1180</v>
      </c>
      <c r="G51" s="22" t="s">
        <v>68</v>
      </c>
      <c r="H51" s="22" t="s">
        <v>702</v>
      </c>
      <c r="I51" s="22"/>
      <c r="J51" s="65">
        <f>109/O1*O2</f>
        <v>222.44897959183675</v>
      </c>
      <c r="K51" s="65">
        <f>124/O1*O2</f>
        <v>253.06122448979593</v>
      </c>
      <c r="L51" s="65">
        <f>144/O1*O2</f>
        <v>293.87755102040819</v>
      </c>
      <c r="M51" s="65"/>
      <c r="N51" s="38"/>
    </row>
    <row r="52" spans="1:14" x14ac:dyDescent="0.2">
      <c r="A52" s="24"/>
      <c r="B52" s="411" t="s">
        <v>67</v>
      </c>
      <c r="C52" s="411"/>
      <c r="D52" s="411"/>
      <c r="F52" s="16" t="s">
        <v>1181</v>
      </c>
      <c r="G52" s="16" t="s">
        <v>68</v>
      </c>
      <c r="H52" s="16" t="s">
        <v>702</v>
      </c>
      <c r="J52" s="66">
        <f>59.5/O1*O2</f>
        <v>121.42857142857143</v>
      </c>
      <c r="K52" s="66">
        <f>67/O1*O2</f>
        <v>136.73469387755102</v>
      </c>
      <c r="L52" s="66">
        <f>77/O1*O2</f>
        <v>157.14285714285714</v>
      </c>
      <c r="M52" s="66"/>
      <c r="N52" s="40"/>
    </row>
    <row r="53" spans="1:14" x14ac:dyDescent="0.2">
      <c r="A53" s="24"/>
      <c r="B53" s="411" t="s">
        <v>67</v>
      </c>
      <c r="C53" s="411"/>
      <c r="D53" s="411"/>
      <c r="F53" s="16" t="s">
        <v>1182</v>
      </c>
      <c r="G53" s="16" t="s">
        <v>68</v>
      </c>
      <c r="H53" s="16" t="s">
        <v>702</v>
      </c>
      <c r="J53" s="66">
        <f>46.5/O1*O2</f>
        <v>94.897959183673464</v>
      </c>
      <c r="K53" s="66">
        <f>51.5/O1*O2</f>
        <v>105.10204081632654</v>
      </c>
      <c r="L53" s="66">
        <f>58/O1*O2</f>
        <v>118.36734693877551</v>
      </c>
      <c r="M53" s="66"/>
      <c r="N53" s="40"/>
    </row>
    <row r="54" spans="1:14" ht="13.5" thickBot="1" x14ac:dyDescent="0.25">
      <c r="A54" s="28"/>
      <c r="B54" s="418" t="s">
        <v>902</v>
      </c>
      <c r="C54" s="418"/>
      <c r="D54" s="418"/>
      <c r="E54" s="30"/>
      <c r="F54" s="30"/>
      <c r="G54" s="30"/>
      <c r="H54" s="30"/>
      <c r="I54" s="30"/>
      <c r="J54" s="67">
        <f>26/O1*O2</f>
        <v>53.061224489795919</v>
      </c>
      <c r="K54" s="67">
        <f>26/O1*O2</f>
        <v>53.061224489795919</v>
      </c>
      <c r="L54" s="67">
        <f>26/O1*O2</f>
        <v>53.061224489795919</v>
      </c>
      <c r="M54" s="67"/>
      <c r="N54" s="42"/>
    </row>
    <row r="55" spans="1:14" ht="13.5" thickBot="1" x14ac:dyDescent="0.25">
      <c r="A55" s="45"/>
    </row>
    <row r="56" spans="1:14" x14ac:dyDescent="0.2">
      <c r="A56" s="20"/>
      <c r="B56" s="21"/>
      <c r="C56" s="21"/>
      <c r="D56" s="21"/>
      <c r="E56" s="22"/>
      <c r="F56" s="22"/>
      <c r="G56" s="22"/>
      <c r="H56" s="22"/>
      <c r="I56" s="22"/>
      <c r="J56" s="22"/>
      <c r="K56" s="22"/>
      <c r="L56" s="22"/>
      <c r="M56" s="22"/>
      <c r="N56" s="23"/>
    </row>
    <row r="57" spans="1:14" ht="15" x14ac:dyDescent="0.2">
      <c r="A57" s="24"/>
      <c r="B57" s="413" t="s">
        <v>764</v>
      </c>
      <c r="C57" s="414"/>
      <c r="D57" s="414"/>
      <c r="E57" s="414"/>
      <c r="F57" s="414"/>
      <c r="G57" s="414"/>
      <c r="H57" s="414"/>
      <c r="I57" s="414"/>
      <c r="J57" s="414"/>
      <c r="K57" s="414"/>
      <c r="L57" s="414"/>
      <c r="M57" s="415"/>
      <c r="N57" s="25" t="s">
        <v>904</v>
      </c>
    </row>
    <row r="58" spans="1:14" x14ac:dyDescent="0.2">
      <c r="A58" s="24"/>
      <c r="B58" s="26" t="s">
        <v>428</v>
      </c>
      <c r="C58" s="15" t="s">
        <v>220</v>
      </c>
      <c r="N58" s="27"/>
    </row>
    <row r="59" spans="1:14" x14ac:dyDescent="0.2">
      <c r="A59" s="24"/>
      <c r="B59" s="26" t="s">
        <v>429</v>
      </c>
      <c r="C59" s="15" t="s">
        <v>765</v>
      </c>
      <c r="N59" s="27"/>
    </row>
    <row r="60" spans="1:14" x14ac:dyDescent="0.2">
      <c r="A60" s="24"/>
      <c r="B60" s="26" t="s">
        <v>427</v>
      </c>
      <c r="C60" s="416" t="s">
        <v>1543</v>
      </c>
      <c r="D60" s="416"/>
      <c r="E60" s="416"/>
      <c r="F60" s="416"/>
      <c r="G60" s="416"/>
      <c r="H60" s="416"/>
      <c r="I60" s="416"/>
      <c r="J60" s="416"/>
      <c r="K60" s="416"/>
      <c r="L60" s="416"/>
      <c r="M60" s="416"/>
      <c r="N60" s="417"/>
    </row>
    <row r="61" spans="1:14" x14ac:dyDescent="0.2">
      <c r="A61" s="24"/>
      <c r="C61" s="416"/>
      <c r="D61" s="416"/>
      <c r="E61" s="416"/>
      <c r="F61" s="416"/>
      <c r="G61" s="416"/>
      <c r="H61" s="416"/>
      <c r="I61" s="416"/>
      <c r="J61" s="416"/>
      <c r="K61" s="416"/>
      <c r="L61" s="416"/>
      <c r="M61" s="416"/>
      <c r="N61" s="417"/>
    </row>
    <row r="62" spans="1:14" ht="13.5" thickBot="1" x14ac:dyDescent="0.25">
      <c r="A62" s="24"/>
      <c r="C62" s="419"/>
      <c r="D62" s="419"/>
      <c r="E62" s="419"/>
      <c r="F62" s="419"/>
      <c r="G62" s="419"/>
      <c r="H62" s="419"/>
      <c r="I62" s="419"/>
      <c r="J62" s="419"/>
      <c r="K62" s="419"/>
      <c r="L62" s="419"/>
      <c r="M62" s="419"/>
      <c r="N62" s="420"/>
    </row>
    <row r="63" spans="1:14" x14ac:dyDescent="0.2">
      <c r="A63" s="20"/>
      <c r="B63" s="21" t="s">
        <v>263</v>
      </c>
      <c r="C63" s="21"/>
      <c r="D63" s="21"/>
      <c r="E63" s="22"/>
      <c r="F63" s="22"/>
      <c r="G63" s="22"/>
      <c r="H63" s="22"/>
      <c r="I63" s="22"/>
      <c r="J63" s="46"/>
      <c r="K63" s="33" t="s">
        <v>513</v>
      </c>
      <c r="L63" s="33"/>
      <c r="M63" s="33"/>
      <c r="N63" s="33"/>
    </row>
    <row r="64" spans="1:14" ht="13.5" thickBot="1" x14ac:dyDescent="0.25">
      <c r="A64" s="28"/>
      <c r="C64" s="29"/>
      <c r="D64" s="29"/>
      <c r="E64" s="30"/>
      <c r="F64" s="30"/>
      <c r="G64" s="30"/>
      <c r="H64" s="30"/>
      <c r="I64" s="30"/>
      <c r="J64" s="44" t="s">
        <v>753</v>
      </c>
      <c r="K64" s="36" t="s">
        <v>612</v>
      </c>
      <c r="L64" s="36" t="s">
        <v>514</v>
      </c>
      <c r="N64" s="36"/>
    </row>
    <row r="65" spans="1:14" x14ac:dyDescent="0.2">
      <c r="A65" s="20"/>
      <c r="B65" s="412" t="s">
        <v>67</v>
      </c>
      <c r="C65" s="412"/>
      <c r="D65" s="412"/>
      <c r="E65" s="22"/>
      <c r="F65" s="22" t="s">
        <v>1180</v>
      </c>
      <c r="G65" s="22" t="s">
        <v>68</v>
      </c>
      <c r="H65" s="22" t="s">
        <v>702</v>
      </c>
      <c r="I65" s="22"/>
      <c r="J65" s="65">
        <f>112.5/O1*O2</f>
        <v>229.59183673469389</v>
      </c>
      <c r="K65" s="65">
        <f>151.7/O1*O2</f>
        <v>309.59183673469386</v>
      </c>
      <c r="L65" s="65">
        <f>123.5/O1*O2</f>
        <v>252.0408163265306</v>
      </c>
      <c r="M65" s="65"/>
      <c r="N65" s="38"/>
    </row>
    <row r="66" spans="1:14" x14ac:dyDescent="0.2">
      <c r="A66" s="24"/>
      <c r="B66" s="411" t="s">
        <v>67</v>
      </c>
      <c r="C66" s="411"/>
      <c r="D66" s="411"/>
      <c r="F66" s="16" t="s">
        <v>1181</v>
      </c>
      <c r="G66" s="16" t="s">
        <v>68</v>
      </c>
      <c r="H66" s="16" t="s">
        <v>702</v>
      </c>
      <c r="J66" s="66">
        <f>61.6/O1*O2</f>
        <v>125.71428571428572</v>
      </c>
      <c r="K66" s="66">
        <f>81.5/O1*O2</f>
        <v>166.32653061224491</v>
      </c>
      <c r="L66" s="66">
        <f>66.8/O1*O2</f>
        <v>136.32653061224488</v>
      </c>
      <c r="M66" s="66"/>
      <c r="N66" s="40"/>
    </row>
    <row r="67" spans="1:14" x14ac:dyDescent="0.2">
      <c r="A67" s="24"/>
      <c r="B67" s="411" t="s">
        <v>67</v>
      </c>
      <c r="C67" s="411"/>
      <c r="D67" s="411"/>
      <c r="F67" s="16" t="s">
        <v>1182</v>
      </c>
      <c r="G67" s="16" t="s">
        <v>68</v>
      </c>
      <c r="H67" s="16" t="s">
        <v>702</v>
      </c>
      <c r="J67" s="66">
        <f>49.5/O1*O2</f>
        <v>101.0204081632653</v>
      </c>
      <c r="K67" s="66">
        <f>62.8/O1*O2</f>
        <v>128.16326530612244</v>
      </c>
      <c r="L67" s="66">
        <f>52.5/O1*O2</f>
        <v>107.14285714285714</v>
      </c>
      <c r="M67" s="66"/>
      <c r="N67" s="40"/>
    </row>
    <row r="68" spans="1:14" ht="13.5" thickBot="1" x14ac:dyDescent="0.25">
      <c r="A68" s="28"/>
      <c r="B68" s="418" t="s">
        <v>902</v>
      </c>
      <c r="C68" s="418"/>
      <c r="D68" s="418"/>
      <c r="E68" s="30"/>
      <c r="F68" s="30"/>
      <c r="G68" s="30"/>
      <c r="H68" s="30"/>
      <c r="I68" s="30"/>
      <c r="J68" s="67">
        <f>32/O1*O2</f>
        <v>65.306122448979593</v>
      </c>
      <c r="K68" s="67">
        <f>32/O1*O2</f>
        <v>65.306122448979593</v>
      </c>
      <c r="L68" s="67">
        <f>32/O1*O2</f>
        <v>65.306122448979593</v>
      </c>
      <c r="M68" s="67"/>
      <c r="N68" s="42"/>
    </row>
    <row r="69" spans="1:14" ht="13.5" thickBot="1" x14ac:dyDescent="0.25">
      <c r="J69" s="47"/>
      <c r="K69" s="47"/>
      <c r="L69" s="47"/>
      <c r="M69" s="47"/>
      <c r="N69" s="47"/>
    </row>
    <row r="70" spans="1:14" x14ac:dyDescent="0.2">
      <c r="A70" s="20"/>
      <c r="B70" s="21"/>
      <c r="C70" s="21"/>
      <c r="D70" s="21"/>
      <c r="E70" s="22"/>
      <c r="F70" s="22"/>
      <c r="G70" s="22"/>
      <c r="H70" s="22"/>
      <c r="I70" s="22"/>
      <c r="J70" s="22"/>
      <c r="K70" s="22"/>
      <c r="L70" s="22"/>
      <c r="M70" s="22"/>
      <c r="N70" s="23"/>
    </row>
    <row r="71" spans="1:14" ht="15" x14ac:dyDescent="0.2">
      <c r="A71" s="24"/>
      <c r="B71" s="413" t="s">
        <v>266</v>
      </c>
      <c r="C71" s="414"/>
      <c r="D71" s="414"/>
      <c r="E71" s="414"/>
      <c r="F71" s="414"/>
      <c r="G71" s="414"/>
      <c r="H71" s="414"/>
      <c r="I71" s="414"/>
      <c r="J71" s="414"/>
      <c r="K71" s="414"/>
      <c r="L71" s="414"/>
      <c r="M71" s="415"/>
      <c r="N71" s="25" t="s">
        <v>904</v>
      </c>
    </row>
    <row r="72" spans="1:14" x14ac:dyDescent="0.2">
      <c r="A72" s="24"/>
      <c r="B72" s="26" t="s">
        <v>428</v>
      </c>
      <c r="C72" s="15" t="s">
        <v>264</v>
      </c>
      <c r="N72" s="27"/>
    </row>
    <row r="73" spans="1:14" x14ac:dyDescent="0.2">
      <c r="A73" s="24"/>
      <c r="B73" s="26" t="s">
        <v>429</v>
      </c>
      <c r="C73" s="15" t="s">
        <v>265</v>
      </c>
      <c r="N73" s="27"/>
    </row>
    <row r="74" spans="1:14" x14ac:dyDescent="0.2">
      <c r="A74" s="24"/>
      <c r="B74" s="26" t="s">
        <v>427</v>
      </c>
      <c r="C74" s="416" t="s">
        <v>1106</v>
      </c>
      <c r="D74" s="416"/>
      <c r="E74" s="416"/>
      <c r="F74" s="416"/>
      <c r="G74" s="416"/>
      <c r="H74" s="416"/>
      <c r="I74" s="416"/>
      <c r="J74" s="416"/>
      <c r="K74" s="416"/>
      <c r="L74" s="416"/>
      <c r="M74" s="416"/>
      <c r="N74" s="417"/>
    </row>
    <row r="75" spans="1:14" x14ac:dyDescent="0.2">
      <c r="A75" s="24"/>
      <c r="C75" s="416"/>
      <c r="D75" s="416"/>
      <c r="E75" s="416"/>
      <c r="F75" s="416"/>
      <c r="G75" s="416"/>
      <c r="H75" s="416"/>
      <c r="I75" s="416"/>
      <c r="J75" s="416"/>
      <c r="K75" s="416"/>
      <c r="L75" s="416"/>
      <c r="M75" s="416"/>
      <c r="N75" s="417"/>
    </row>
    <row r="76" spans="1:14" x14ac:dyDescent="0.2">
      <c r="A76" s="24"/>
      <c r="C76" s="419"/>
      <c r="D76" s="419"/>
      <c r="E76" s="419"/>
      <c r="F76" s="419"/>
      <c r="G76" s="419"/>
      <c r="H76" s="419"/>
      <c r="I76" s="419"/>
      <c r="J76" s="419"/>
      <c r="K76" s="419"/>
      <c r="L76" s="419"/>
      <c r="M76" s="419"/>
      <c r="N76" s="420"/>
    </row>
    <row r="77" spans="1:14" x14ac:dyDescent="0.2">
      <c r="A77" s="24"/>
      <c r="C77" s="419"/>
      <c r="D77" s="419"/>
      <c r="E77" s="419"/>
      <c r="F77" s="419"/>
      <c r="G77" s="419"/>
      <c r="H77" s="419"/>
      <c r="I77" s="419"/>
      <c r="J77" s="419"/>
      <c r="K77" s="419"/>
      <c r="L77" s="419"/>
      <c r="M77" s="419"/>
      <c r="N77" s="420"/>
    </row>
    <row r="78" spans="1:14" x14ac:dyDescent="0.2">
      <c r="A78" s="24"/>
      <c r="C78" s="419"/>
      <c r="D78" s="419"/>
      <c r="E78" s="419"/>
      <c r="F78" s="419"/>
      <c r="G78" s="419"/>
      <c r="H78" s="419"/>
      <c r="I78" s="419"/>
      <c r="J78" s="419"/>
      <c r="K78" s="419"/>
      <c r="L78" s="419"/>
      <c r="M78" s="419"/>
      <c r="N78" s="420"/>
    </row>
    <row r="79" spans="1:14" ht="13.5" thickBot="1" x14ac:dyDescent="0.25">
      <c r="A79" s="28"/>
      <c r="B79" s="43" t="s">
        <v>426</v>
      </c>
      <c r="C79" s="29" t="s">
        <v>1353</v>
      </c>
      <c r="D79" s="29"/>
      <c r="E79" s="30"/>
      <c r="F79" s="30"/>
      <c r="G79" s="30"/>
      <c r="H79" s="30"/>
      <c r="I79" s="30"/>
      <c r="N79" s="27"/>
    </row>
    <row r="80" spans="1:14" ht="13.5" thickBot="1" x14ac:dyDescent="0.25">
      <c r="A80" s="28"/>
      <c r="B80" s="15" t="s">
        <v>263</v>
      </c>
      <c r="C80" s="29"/>
      <c r="D80" s="29"/>
      <c r="E80" s="30"/>
      <c r="F80" s="30"/>
      <c r="G80" s="30"/>
      <c r="H80" s="30"/>
      <c r="I80" s="30"/>
      <c r="J80" s="239" t="s">
        <v>909</v>
      </c>
      <c r="K80" s="50" t="s">
        <v>758</v>
      </c>
      <c r="L80" s="50" t="s">
        <v>610</v>
      </c>
      <c r="M80" s="50"/>
      <c r="N80" s="50"/>
    </row>
    <row r="81" spans="1:14" ht="13.5" thickBot="1" x14ac:dyDescent="0.25">
      <c r="A81" s="24"/>
      <c r="B81" s="15" t="s">
        <v>263</v>
      </c>
      <c r="J81" s="46"/>
      <c r="K81" s="33" t="s">
        <v>481</v>
      </c>
      <c r="L81" s="33"/>
      <c r="M81" s="33"/>
      <c r="N81" s="33"/>
    </row>
    <row r="82" spans="1:14" x14ac:dyDescent="0.2">
      <c r="A82" s="20"/>
      <c r="B82" s="412" t="s">
        <v>67</v>
      </c>
      <c r="C82" s="412"/>
      <c r="D82" s="412"/>
      <c r="E82" s="22"/>
      <c r="F82" s="22" t="s">
        <v>1180</v>
      </c>
      <c r="G82" s="22" t="s">
        <v>68</v>
      </c>
      <c r="H82" s="22" t="s">
        <v>702</v>
      </c>
      <c r="I82" s="22"/>
      <c r="J82" s="65">
        <f>150.5/O1*O2</f>
        <v>307.14285714285717</v>
      </c>
      <c r="K82" s="65">
        <f>202.5/O1*O2</f>
        <v>413.26530612244898</v>
      </c>
      <c r="L82" s="38">
        <f>229/O1*O2</f>
        <v>467.34693877551024</v>
      </c>
      <c r="M82" s="38"/>
      <c r="N82" s="38"/>
    </row>
    <row r="83" spans="1:14" x14ac:dyDescent="0.2">
      <c r="A83" s="24"/>
      <c r="B83" s="411" t="s">
        <v>67</v>
      </c>
      <c r="C83" s="411"/>
      <c r="D83" s="411"/>
      <c r="F83" s="16" t="s">
        <v>1181</v>
      </c>
      <c r="G83" s="16" t="s">
        <v>68</v>
      </c>
      <c r="H83" s="16" t="s">
        <v>702</v>
      </c>
      <c r="J83" s="66">
        <f>85.7/O1*O2</f>
        <v>174.89795918367346</v>
      </c>
      <c r="K83" s="66">
        <f>111.7/O1*O2</f>
        <v>227.9591836734694</v>
      </c>
      <c r="L83" s="40">
        <f>126/O1*O2</f>
        <v>257.14285714285717</v>
      </c>
      <c r="M83" s="40"/>
      <c r="N83" s="40"/>
    </row>
    <row r="84" spans="1:14" ht="13.5" thickBot="1" x14ac:dyDescent="0.25">
      <c r="A84" s="28"/>
      <c r="B84" s="418" t="s">
        <v>902</v>
      </c>
      <c r="C84" s="418"/>
      <c r="D84" s="418"/>
      <c r="E84" s="30"/>
      <c r="F84" s="30"/>
      <c r="G84" s="30"/>
      <c r="H84" s="30" t="s">
        <v>702</v>
      </c>
      <c r="I84" s="30"/>
      <c r="J84" s="67">
        <f>36/O1*O2</f>
        <v>73.469387755102048</v>
      </c>
      <c r="K84" s="67">
        <f>36/O1*O2</f>
        <v>73.469387755102048</v>
      </c>
      <c r="L84" s="42">
        <f>36/O1*O2</f>
        <v>73.469387755102048</v>
      </c>
      <c r="M84" s="42"/>
      <c r="N84" s="42"/>
    </row>
    <row r="85" spans="1:14" ht="13.5" thickBot="1" x14ac:dyDescent="0.25">
      <c r="A85" s="48"/>
      <c r="B85" s="21"/>
      <c r="C85" s="21"/>
      <c r="D85" s="21"/>
      <c r="E85" s="22"/>
      <c r="F85" s="22"/>
      <c r="G85" s="22"/>
      <c r="H85" s="22"/>
      <c r="I85" s="22"/>
      <c r="J85" s="22"/>
      <c r="K85" s="22"/>
      <c r="L85" s="22"/>
      <c r="M85" s="22"/>
      <c r="N85" s="22"/>
    </row>
    <row r="86" spans="1:14" x14ac:dyDescent="0.2">
      <c r="A86" s="20"/>
      <c r="B86" s="21"/>
      <c r="C86" s="21"/>
      <c r="D86" s="21"/>
      <c r="E86" s="22"/>
      <c r="F86" s="22"/>
      <c r="G86" s="22"/>
      <c r="H86" s="22"/>
      <c r="I86" s="22"/>
      <c r="J86" s="22"/>
      <c r="K86" s="22"/>
      <c r="L86" s="22"/>
      <c r="M86" s="22"/>
      <c r="N86" s="23"/>
    </row>
    <row r="87" spans="1:14" ht="15" x14ac:dyDescent="0.2">
      <c r="A87" s="24"/>
      <c r="B87" s="413" t="s">
        <v>1147</v>
      </c>
      <c r="C87" s="414"/>
      <c r="D87" s="414"/>
      <c r="E87" s="414"/>
      <c r="F87" s="414"/>
      <c r="G87" s="414"/>
      <c r="H87" s="414"/>
      <c r="I87" s="414"/>
      <c r="J87" s="414"/>
      <c r="K87" s="414"/>
      <c r="L87" s="414"/>
      <c r="M87" s="415"/>
      <c r="N87" s="25" t="s">
        <v>904</v>
      </c>
    </row>
    <row r="88" spans="1:14" x14ac:dyDescent="0.2">
      <c r="A88" s="24"/>
      <c r="B88" s="26" t="s">
        <v>428</v>
      </c>
      <c r="C88" s="15" t="s">
        <v>1148</v>
      </c>
      <c r="N88" s="27"/>
    </row>
    <row r="89" spans="1:14" x14ac:dyDescent="0.2">
      <c r="A89" s="24"/>
      <c r="B89" s="26" t="s">
        <v>429</v>
      </c>
      <c r="C89" s="15" t="s">
        <v>1149</v>
      </c>
      <c r="N89" s="27"/>
    </row>
    <row r="90" spans="1:14" x14ac:dyDescent="0.2">
      <c r="A90" s="24"/>
      <c r="B90" s="26" t="s">
        <v>427</v>
      </c>
      <c r="C90" s="416" t="s">
        <v>1107</v>
      </c>
      <c r="D90" s="416"/>
      <c r="E90" s="416"/>
      <c r="F90" s="416"/>
      <c r="G90" s="416"/>
      <c r="H90" s="416"/>
      <c r="I90" s="416"/>
      <c r="J90" s="416"/>
      <c r="K90" s="416"/>
      <c r="L90" s="416"/>
      <c r="M90" s="416"/>
      <c r="N90" s="417"/>
    </row>
    <row r="91" spans="1:14" x14ac:dyDescent="0.2">
      <c r="A91" s="24"/>
      <c r="C91" s="416"/>
      <c r="D91" s="416"/>
      <c r="E91" s="416"/>
      <c r="F91" s="416"/>
      <c r="G91" s="416"/>
      <c r="H91" s="416"/>
      <c r="I91" s="416"/>
      <c r="J91" s="416"/>
      <c r="K91" s="416"/>
      <c r="L91" s="416"/>
      <c r="M91" s="416"/>
      <c r="N91" s="417"/>
    </row>
    <row r="92" spans="1:14" x14ac:dyDescent="0.2">
      <c r="A92" s="24"/>
      <c r="C92" s="416"/>
      <c r="D92" s="416"/>
      <c r="E92" s="416"/>
      <c r="F92" s="416"/>
      <c r="G92" s="416"/>
      <c r="H92" s="416"/>
      <c r="I92" s="416"/>
      <c r="J92" s="416"/>
      <c r="K92" s="416"/>
      <c r="L92" s="416"/>
      <c r="M92" s="416"/>
      <c r="N92" s="417"/>
    </row>
    <row r="93" spans="1:14" x14ac:dyDescent="0.2">
      <c r="A93" s="24"/>
      <c r="B93" s="26" t="s">
        <v>426</v>
      </c>
      <c r="N93" s="27"/>
    </row>
    <row r="94" spans="1:14" ht="13.5" thickBot="1" x14ac:dyDescent="0.25">
      <c r="A94" s="28"/>
      <c r="B94" s="26" t="s">
        <v>430</v>
      </c>
      <c r="C94" s="29"/>
      <c r="D94" s="29"/>
      <c r="E94" s="30"/>
      <c r="F94" s="30"/>
      <c r="G94" s="30"/>
      <c r="H94" s="30"/>
      <c r="I94" s="30"/>
      <c r="J94" s="30"/>
      <c r="K94" s="30"/>
      <c r="L94" s="30"/>
      <c r="M94" s="30"/>
      <c r="N94" s="31"/>
    </row>
    <row r="95" spans="1:14" x14ac:dyDescent="0.2">
      <c r="A95" s="20"/>
      <c r="B95" s="21" t="s">
        <v>263</v>
      </c>
      <c r="C95" s="21"/>
      <c r="D95" s="21"/>
      <c r="E95" s="22"/>
      <c r="F95" s="22"/>
      <c r="G95" s="22"/>
      <c r="H95" s="22"/>
      <c r="I95" s="22"/>
      <c r="J95" s="46" t="s">
        <v>753</v>
      </c>
      <c r="K95" s="33" t="s">
        <v>513</v>
      </c>
      <c r="L95" s="33"/>
      <c r="M95" s="33"/>
      <c r="N95" s="33"/>
    </row>
    <row r="96" spans="1:14" ht="13.5" thickBot="1" x14ac:dyDescent="0.25">
      <c r="A96" s="28"/>
      <c r="C96" s="29"/>
      <c r="D96" s="29"/>
      <c r="E96" s="30"/>
      <c r="F96" s="30"/>
      <c r="G96" s="30"/>
      <c r="H96" s="30"/>
      <c r="I96" s="30"/>
      <c r="J96" s="44" t="s">
        <v>514</v>
      </c>
      <c r="K96" s="36" t="s">
        <v>612</v>
      </c>
      <c r="L96" s="36"/>
      <c r="M96" s="36"/>
      <c r="N96" s="36"/>
    </row>
    <row r="97" spans="1:14" x14ac:dyDescent="0.2">
      <c r="A97" s="20"/>
      <c r="B97" s="412" t="s">
        <v>67</v>
      </c>
      <c r="C97" s="412"/>
      <c r="D97" s="412"/>
      <c r="E97" s="22"/>
      <c r="F97" s="22" t="s">
        <v>1180</v>
      </c>
      <c r="G97" s="22" t="s">
        <v>68</v>
      </c>
      <c r="H97" s="22" t="s">
        <v>702</v>
      </c>
      <c r="I97" s="22"/>
      <c r="J97" s="65">
        <f>127.5/O1*O2</f>
        <v>260.20408163265307</v>
      </c>
      <c r="K97" s="65">
        <f>164.5/O1*O2</f>
        <v>335.71428571428572</v>
      </c>
      <c r="L97" s="38"/>
      <c r="M97" s="38"/>
      <c r="N97" s="38"/>
    </row>
    <row r="98" spans="1:14" x14ac:dyDescent="0.2">
      <c r="A98" s="24"/>
      <c r="B98" s="411" t="s">
        <v>67</v>
      </c>
      <c r="C98" s="411"/>
      <c r="D98" s="411"/>
      <c r="F98" s="16" t="s">
        <v>1181</v>
      </c>
      <c r="G98" s="16" t="s">
        <v>68</v>
      </c>
      <c r="H98" s="16" t="s">
        <v>702</v>
      </c>
      <c r="J98" s="66">
        <f>68.8/O1*O2</f>
        <v>140.40816326530611</v>
      </c>
      <c r="K98" s="66">
        <f>87.5/O1*O2</f>
        <v>178.57142857142858</v>
      </c>
      <c r="L98" s="40"/>
      <c r="M98" s="40"/>
      <c r="N98" s="40"/>
    </row>
    <row r="99" spans="1:14" x14ac:dyDescent="0.2">
      <c r="A99" s="24"/>
      <c r="B99" s="411" t="s">
        <v>67</v>
      </c>
      <c r="C99" s="411"/>
      <c r="D99" s="411"/>
      <c r="F99" s="16" t="s">
        <v>1182</v>
      </c>
      <c r="G99" s="16" t="s">
        <v>68</v>
      </c>
      <c r="H99" s="16" t="s">
        <v>702</v>
      </c>
      <c r="J99" s="66">
        <f>55.5/O1*O2</f>
        <v>113.26530612244898</v>
      </c>
      <c r="K99" s="66">
        <f>70.5/O1*O2</f>
        <v>143.87755102040816</v>
      </c>
      <c r="L99" s="40"/>
      <c r="M99" s="40"/>
      <c r="N99" s="40"/>
    </row>
    <row r="100" spans="1:14" ht="13.5" thickBot="1" x14ac:dyDescent="0.25">
      <c r="A100" s="28"/>
      <c r="B100" s="418" t="s">
        <v>902</v>
      </c>
      <c r="C100" s="418"/>
      <c r="D100" s="418"/>
      <c r="E100" s="30"/>
      <c r="F100" s="30"/>
      <c r="G100" s="30"/>
      <c r="H100" s="30"/>
      <c r="I100" s="30"/>
      <c r="J100" s="67">
        <f>32/O1*O2</f>
        <v>65.306122448979593</v>
      </c>
      <c r="K100" s="67">
        <f>32/O1*O2</f>
        <v>65.306122448979593</v>
      </c>
      <c r="L100" s="42"/>
      <c r="M100" s="42"/>
      <c r="N100" s="42"/>
    </row>
    <row r="101" spans="1:14" ht="13.5" thickBot="1" x14ac:dyDescent="0.25">
      <c r="J101" s="68"/>
      <c r="K101" s="68"/>
      <c r="L101" s="47"/>
      <c r="M101" s="47"/>
      <c r="N101" s="47"/>
    </row>
    <row r="102" spans="1:14" x14ac:dyDescent="0.2">
      <c r="A102" s="20"/>
      <c r="B102" s="21"/>
      <c r="C102" s="21"/>
      <c r="D102" s="21"/>
      <c r="E102" s="22"/>
      <c r="F102" s="22"/>
      <c r="G102" s="22"/>
      <c r="H102" s="22"/>
      <c r="I102" s="22"/>
      <c r="J102" s="22"/>
      <c r="K102" s="22"/>
      <c r="L102" s="22"/>
      <c r="M102" s="22"/>
      <c r="N102" s="23"/>
    </row>
    <row r="103" spans="1:14" ht="15" x14ac:dyDescent="0.2">
      <c r="A103" s="24"/>
      <c r="B103" s="413" t="s">
        <v>1713</v>
      </c>
      <c r="C103" s="414"/>
      <c r="D103" s="414"/>
      <c r="E103" s="414"/>
      <c r="F103" s="414"/>
      <c r="G103" s="414"/>
      <c r="H103" s="414"/>
      <c r="I103" s="414"/>
      <c r="J103" s="414"/>
      <c r="K103" s="414"/>
      <c r="L103" s="414"/>
      <c r="M103" s="415"/>
      <c r="N103" s="25" t="s">
        <v>91</v>
      </c>
    </row>
    <row r="104" spans="1:14" x14ac:dyDescent="0.2">
      <c r="A104" s="24"/>
      <c r="B104" s="26" t="s">
        <v>428</v>
      </c>
      <c r="C104" s="15" t="s">
        <v>1714</v>
      </c>
      <c r="N104" s="27"/>
    </row>
    <row r="105" spans="1:14" x14ac:dyDescent="0.2">
      <c r="A105" s="24"/>
      <c r="B105" s="26" t="s">
        <v>429</v>
      </c>
      <c r="C105" s="15" t="s">
        <v>1715</v>
      </c>
      <c r="N105" s="27"/>
    </row>
    <row r="106" spans="1:14" x14ac:dyDescent="0.2">
      <c r="A106" s="24"/>
      <c r="B106" s="26" t="s">
        <v>427</v>
      </c>
      <c r="C106" s="416" t="s">
        <v>1716</v>
      </c>
      <c r="D106" s="416"/>
      <c r="E106" s="416"/>
      <c r="F106" s="416"/>
      <c r="G106" s="416"/>
      <c r="H106" s="416"/>
      <c r="I106" s="416"/>
      <c r="J106" s="416"/>
      <c r="K106" s="416"/>
      <c r="L106" s="416"/>
      <c r="M106" s="416"/>
      <c r="N106" s="417"/>
    </row>
    <row r="107" spans="1:14" x14ac:dyDescent="0.2">
      <c r="A107" s="24"/>
      <c r="C107" s="416"/>
      <c r="D107" s="416"/>
      <c r="E107" s="416"/>
      <c r="F107" s="416"/>
      <c r="G107" s="416"/>
      <c r="H107" s="416"/>
      <c r="I107" s="416"/>
      <c r="J107" s="416"/>
      <c r="K107" s="416"/>
      <c r="L107" s="416"/>
      <c r="M107" s="416"/>
      <c r="N107" s="417"/>
    </row>
    <row r="108" spans="1:14" x14ac:dyDescent="0.2">
      <c r="A108" s="24"/>
      <c r="B108" s="26" t="s">
        <v>426</v>
      </c>
      <c r="N108" s="27"/>
    </row>
    <row r="109" spans="1:14" ht="13.5" thickBot="1" x14ac:dyDescent="0.25">
      <c r="A109" s="28"/>
      <c r="B109" s="26" t="s">
        <v>430</v>
      </c>
      <c r="C109" s="29"/>
      <c r="D109" s="29"/>
      <c r="E109" s="30"/>
      <c r="F109" s="30"/>
      <c r="G109" s="30"/>
      <c r="H109" s="30"/>
      <c r="I109" s="30"/>
      <c r="J109" s="30"/>
      <c r="K109" s="30"/>
      <c r="L109" s="30"/>
      <c r="M109" s="30"/>
      <c r="N109" s="31"/>
    </row>
    <row r="110" spans="1:14" ht="13.5" thickBot="1" x14ac:dyDescent="0.25">
      <c r="A110" s="24"/>
      <c r="B110" s="21" t="s">
        <v>263</v>
      </c>
      <c r="J110" s="58" t="s">
        <v>909</v>
      </c>
      <c r="K110" s="55" t="s">
        <v>206</v>
      </c>
      <c r="L110" s="55"/>
      <c r="M110" s="55"/>
      <c r="N110" s="55"/>
    </row>
    <row r="111" spans="1:14" x14ac:dyDescent="0.2">
      <c r="A111" s="20"/>
      <c r="B111" s="412" t="s">
        <v>67</v>
      </c>
      <c r="C111" s="412"/>
      <c r="D111" s="412"/>
      <c r="E111" s="22"/>
      <c r="F111" s="22" t="s">
        <v>1180</v>
      </c>
      <c r="G111" s="22" t="s">
        <v>68</v>
      </c>
      <c r="H111" s="22" t="s">
        <v>702</v>
      </c>
      <c r="J111" s="66">
        <f>130/O1*O2</f>
        <v>265.30612244897958</v>
      </c>
      <c r="K111" s="66">
        <f>160/O1*O2</f>
        <v>326.53061224489795</v>
      </c>
      <c r="L111" s="40"/>
      <c r="M111" s="38"/>
      <c r="N111" s="38"/>
    </row>
    <row r="112" spans="1:14" x14ac:dyDescent="0.2">
      <c r="A112" s="24"/>
      <c r="B112" s="411" t="s">
        <v>67</v>
      </c>
      <c r="C112" s="411"/>
      <c r="D112" s="411"/>
      <c r="F112" s="16" t="s">
        <v>1181</v>
      </c>
      <c r="G112" s="16" t="s">
        <v>68</v>
      </c>
      <c r="H112" s="16" t="s">
        <v>702</v>
      </c>
      <c r="J112" s="66">
        <f>75/O1*O2</f>
        <v>153.06122448979593</v>
      </c>
      <c r="K112" s="66">
        <f>90/O1*O2</f>
        <v>183.67346938775512</v>
      </c>
      <c r="L112" s="40"/>
      <c r="M112" s="40"/>
      <c r="N112" s="40"/>
    </row>
    <row r="113" spans="1:14" x14ac:dyDescent="0.2">
      <c r="A113" s="24"/>
      <c r="B113" s="59" t="s">
        <v>67</v>
      </c>
      <c r="F113" s="16" t="s">
        <v>1182</v>
      </c>
      <c r="G113" s="16" t="s">
        <v>68</v>
      </c>
      <c r="H113" s="16" t="s">
        <v>702</v>
      </c>
      <c r="J113" s="66">
        <f>68.5/O1*O2</f>
        <v>139.79591836734693</v>
      </c>
      <c r="K113" s="66">
        <f>78.5/O1*O2</f>
        <v>160.20408163265307</v>
      </c>
      <c r="L113" s="40"/>
      <c r="M113" s="40"/>
      <c r="N113" s="40"/>
    </row>
    <row r="114" spans="1:14" ht="13.5" thickBot="1" x14ac:dyDescent="0.25">
      <c r="A114" s="28"/>
      <c r="B114" s="418" t="s">
        <v>902</v>
      </c>
      <c r="C114" s="418"/>
      <c r="D114" s="418"/>
      <c r="E114" s="30"/>
      <c r="F114" s="80"/>
      <c r="G114" s="80" t="s">
        <v>1484</v>
      </c>
      <c r="H114" s="30" t="s">
        <v>702</v>
      </c>
      <c r="I114" s="30"/>
      <c r="J114" s="67">
        <f>31/O1*O2</f>
        <v>63.265306122448983</v>
      </c>
      <c r="K114" s="67">
        <f>35/O1*O2</f>
        <v>71.428571428571431</v>
      </c>
      <c r="L114" s="42"/>
      <c r="M114" s="42"/>
      <c r="N114" s="42"/>
    </row>
    <row r="115" spans="1:14" x14ac:dyDescent="0.2">
      <c r="J115" s="68"/>
      <c r="K115" s="68"/>
      <c r="L115" s="47"/>
      <c r="M115" s="47"/>
      <c r="N115" s="47"/>
    </row>
    <row r="116" spans="1:14" x14ac:dyDescent="0.2">
      <c r="J116" s="68"/>
      <c r="K116" s="68"/>
      <c r="L116" s="47"/>
      <c r="M116" s="47"/>
      <c r="N116" s="47"/>
    </row>
    <row r="117" spans="1:14" x14ac:dyDescent="0.2">
      <c r="J117" s="68"/>
      <c r="K117" s="68"/>
      <c r="L117" s="47"/>
      <c r="M117" s="47"/>
      <c r="N117" s="47"/>
    </row>
    <row r="118" spans="1:14" x14ac:dyDescent="0.2">
      <c r="J118" s="68"/>
      <c r="K118" s="68"/>
      <c r="L118" s="47"/>
      <c r="M118" s="47"/>
      <c r="N118" s="47"/>
    </row>
    <row r="119" spans="1:14" x14ac:dyDescent="0.2">
      <c r="J119" s="68"/>
      <c r="K119" s="68"/>
      <c r="L119" s="47"/>
      <c r="M119" s="47"/>
      <c r="N119" s="47"/>
    </row>
    <row r="120" spans="1:14" x14ac:dyDescent="0.2">
      <c r="J120" s="68"/>
      <c r="K120" s="68"/>
      <c r="L120" s="47"/>
      <c r="M120" s="47"/>
      <c r="N120" s="47"/>
    </row>
    <row r="121" spans="1:14" x14ac:dyDescent="0.2">
      <c r="J121" s="68"/>
      <c r="K121" s="68"/>
      <c r="L121" s="47"/>
      <c r="M121" s="47"/>
      <c r="N121" s="47"/>
    </row>
    <row r="122" spans="1:14" x14ac:dyDescent="0.2">
      <c r="J122" s="68"/>
      <c r="K122" s="68"/>
      <c r="L122" s="47"/>
      <c r="M122" s="47"/>
      <c r="N122" s="47"/>
    </row>
    <row r="123" spans="1:14" x14ac:dyDescent="0.2">
      <c r="J123" s="68"/>
      <c r="K123" s="68"/>
      <c r="L123" s="47"/>
      <c r="M123" s="47"/>
      <c r="N123" s="47"/>
    </row>
    <row r="124" spans="1:14" x14ac:dyDescent="0.2">
      <c r="J124" s="68"/>
      <c r="K124" s="68"/>
      <c r="L124" s="47"/>
      <c r="M124" s="47"/>
      <c r="N124" s="47"/>
    </row>
    <row r="125" spans="1:14" x14ac:dyDescent="0.2">
      <c r="J125" s="68"/>
      <c r="K125" s="68"/>
      <c r="L125" s="47"/>
      <c r="M125" s="47"/>
      <c r="N125" s="47"/>
    </row>
    <row r="126" spans="1:14" x14ac:dyDescent="0.2">
      <c r="J126" s="68"/>
      <c r="K126" s="68"/>
      <c r="L126" s="47"/>
      <c r="M126" s="47"/>
      <c r="N126" s="47"/>
    </row>
    <row r="127" spans="1:14" x14ac:dyDescent="0.2">
      <c r="J127" s="68"/>
      <c r="K127" s="68"/>
      <c r="L127" s="47"/>
      <c r="M127" s="47"/>
      <c r="N127" s="47"/>
    </row>
    <row r="128" spans="1:14" x14ac:dyDescent="0.2">
      <c r="J128" s="68"/>
      <c r="K128" s="68"/>
      <c r="L128" s="47"/>
      <c r="M128" s="47"/>
      <c r="N128" s="47"/>
    </row>
    <row r="129" spans="1:14" x14ac:dyDescent="0.2">
      <c r="J129" s="68"/>
      <c r="K129" s="68"/>
      <c r="L129" s="47"/>
      <c r="M129" s="47"/>
      <c r="N129" s="47"/>
    </row>
    <row r="130" spans="1:14" x14ac:dyDescent="0.2">
      <c r="J130" s="68"/>
      <c r="K130" s="68"/>
      <c r="L130" s="47"/>
      <c r="M130" s="47"/>
      <c r="N130" s="47"/>
    </row>
    <row r="131" spans="1:14" x14ac:dyDescent="0.2">
      <c r="J131" s="68"/>
      <c r="K131" s="68"/>
      <c r="L131" s="47"/>
      <c r="M131" s="47"/>
      <c r="N131" s="47"/>
    </row>
    <row r="132" spans="1:14" ht="13.5" thickBot="1" x14ac:dyDescent="0.25"/>
    <row r="133" spans="1:14" x14ac:dyDescent="0.2">
      <c r="A133" s="20"/>
      <c r="B133" s="21"/>
      <c r="C133" s="21"/>
      <c r="D133" s="21"/>
      <c r="E133" s="22"/>
      <c r="F133" s="22"/>
      <c r="G133" s="22"/>
      <c r="H133" s="22"/>
      <c r="I133" s="22"/>
      <c r="J133" s="22"/>
      <c r="K133" s="22"/>
      <c r="L133" s="22"/>
      <c r="M133" s="22"/>
      <c r="N133" s="23"/>
    </row>
    <row r="134" spans="1:14" ht="15" x14ac:dyDescent="0.2">
      <c r="A134" s="24"/>
      <c r="B134" s="413" t="s">
        <v>806</v>
      </c>
      <c r="C134" s="414"/>
      <c r="D134" s="414"/>
      <c r="E134" s="414"/>
      <c r="F134" s="414"/>
      <c r="G134" s="414"/>
      <c r="H134" s="414"/>
      <c r="I134" s="414"/>
      <c r="J134" s="414"/>
      <c r="K134" s="414"/>
      <c r="L134" s="414"/>
      <c r="M134" s="415"/>
      <c r="N134" s="25" t="s">
        <v>904</v>
      </c>
    </row>
    <row r="135" spans="1:14" x14ac:dyDescent="0.2">
      <c r="A135" s="24"/>
      <c r="B135" s="26" t="s">
        <v>428</v>
      </c>
      <c r="C135" s="15" t="s">
        <v>807</v>
      </c>
      <c r="N135" s="27"/>
    </row>
    <row r="136" spans="1:14" x14ac:dyDescent="0.2">
      <c r="A136" s="24"/>
      <c r="B136" s="26" t="s">
        <v>429</v>
      </c>
      <c r="C136" s="15" t="s">
        <v>1449</v>
      </c>
      <c r="N136" s="27"/>
    </row>
    <row r="137" spans="1:14" x14ac:dyDescent="0.2">
      <c r="A137" s="24"/>
      <c r="B137" s="26" t="s">
        <v>427</v>
      </c>
      <c r="C137" s="416" t="s">
        <v>1108</v>
      </c>
      <c r="D137" s="416"/>
      <c r="E137" s="416"/>
      <c r="F137" s="416"/>
      <c r="G137" s="416"/>
      <c r="H137" s="416"/>
      <c r="I137" s="416"/>
      <c r="J137" s="416"/>
      <c r="K137" s="416"/>
      <c r="L137" s="416"/>
      <c r="M137" s="416"/>
      <c r="N137" s="417"/>
    </row>
    <row r="138" spans="1:14" x14ac:dyDescent="0.2">
      <c r="A138" s="24"/>
      <c r="B138" s="26"/>
      <c r="C138" s="419"/>
      <c r="D138" s="419"/>
      <c r="E138" s="419"/>
      <c r="F138" s="419"/>
      <c r="G138" s="419"/>
      <c r="H138" s="419"/>
      <c r="I138" s="419"/>
      <c r="J138" s="419"/>
      <c r="K138" s="419"/>
      <c r="L138" s="419"/>
      <c r="M138" s="419"/>
      <c r="N138" s="420"/>
    </row>
    <row r="139" spans="1:14" ht="13.5" thickBot="1" x14ac:dyDescent="0.25">
      <c r="A139" s="28"/>
      <c r="B139" s="43" t="s">
        <v>430</v>
      </c>
      <c r="C139" s="29"/>
      <c r="D139" s="29"/>
      <c r="E139" s="30"/>
      <c r="F139" s="30"/>
      <c r="G139" s="30"/>
      <c r="H139" s="30"/>
      <c r="I139" s="30"/>
      <c r="J139" s="30"/>
      <c r="K139" s="30"/>
      <c r="L139" s="30"/>
      <c r="M139" s="30"/>
      <c r="N139" s="31"/>
    </row>
    <row r="140" spans="1:14" ht="13.5" thickBot="1" x14ac:dyDescent="0.25">
      <c r="A140" s="24"/>
      <c r="B140" s="49" t="s">
        <v>263</v>
      </c>
      <c r="J140" s="50" t="s">
        <v>909</v>
      </c>
      <c r="K140" s="50" t="s">
        <v>206</v>
      </c>
      <c r="L140" s="36"/>
      <c r="M140" s="36"/>
      <c r="N140" s="36"/>
    </row>
    <row r="141" spans="1:14" x14ac:dyDescent="0.2">
      <c r="A141" s="20"/>
      <c r="B141" s="412" t="s">
        <v>67</v>
      </c>
      <c r="C141" s="412"/>
      <c r="D141" s="412"/>
      <c r="E141" s="22"/>
      <c r="F141" s="22" t="s">
        <v>1180</v>
      </c>
      <c r="G141" s="22" t="s">
        <v>68</v>
      </c>
      <c r="H141" s="22" t="s">
        <v>702</v>
      </c>
      <c r="I141" s="22"/>
      <c r="J141" s="65">
        <f>118.5/O1*O2</f>
        <v>241.83673469387756</v>
      </c>
      <c r="K141" s="65">
        <f>174.5/O1*O2</f>
        <v>356.12244897959187</v>
      </c>
      <c r="L141" s="47"/>
      <c r="M141" s="38"/>
      <c r="N141" s="38"/>
    </row>
    <row r="142" spans="1:14" x14ac:dyDescent="0.2">
      <c r="A142" s="24"/>
      <c r="B142" s="411" t="s">
        <v>67</v>
      </c>
      <c r="C142" s="411"/>
      <c r="D142" s="411"/>
      <c r="F142" s="16" t="s">
        <v>1181</v>
      </c>
      <c r="G142" s="16" t="s">
        <v>68</v>
      </c>
      <c r="H142" s="16" t="s">
        <v>702</v>
      </c>
      <c r="J142" s="66">
        <f>67.5/O1*O2</f>
        <v>137.75510204081633</v>
      </c>
      <c r="K142" s="66">
        <f>98.5/O1*O2</f>
        <v>201.0204081632653</v>
      </c>
      <c r="L142" s="40"/>
      <c r="M142" s="40"/>
      <c r="N142" s="40"/>
    </row>
    <row r="143" spans="1:14" x14ac:dyDescent="0.2">
      <c r="A143" s="24"/>
      <c r="B143" s="411" t="s">
        <v>67</v>
      </c>
      <c r="C143" s="411"/>
      <c r="D143" s="411"/>
      <c r="F143" s="16" t="s">
        <v>1182</v>
      </c>
      <c r="G143" s="16" t="s">
        <v>68</v>
      </c>
      <c r="H143" s="16" t="s">
        <v>702</v>
      </c>
      <c r="J143" s="66">
        <f>50.5/O1*O2</f>
        <v>103.06122448979592</v>
      </c>
      <c r="K143" s="66">
        <f>74.5/O1*O2</f>
        <v>152.0408163265306</v>
      </c>
      <c r="L143" s="40"/>
      <c r="M143" s="40"/>
      <c r="N143" s="40"/>
    </row>
    <row r="144" spans="1:14" ht="13.5" thickBot="1" x14ac:dyDescent="0.25">
      <c r="A144" s="28"/>
      <c r="B144" s="418" t="s">
        <v>902</v>
      </c>
      <c r="C144" s="418"/>
      <c r="D144" s="418"/>
      <c r="E144" s="30"/>
      <c r="F144" s="30"/>
      <c r="G144" s="30" t="s">
        <v>1484</v>
      </c>
      <c r="H144" s="30" t="s">
        <v>702</v>
      </c>
      <c r="I144" s="30"/>
      <c r="J144" s="67">
        <f>30/O1*O2</f>
        <v>61.224489795918366</v>
      </c>
      <c r="K144" s="67">
        <f>35/O1*O2</f>
        <v>71.428571428571431</v>
      </c>
      <c r="L144" s="42"/>
      <c r="M144" s="42"/>
      <c r="N144" s="42"/>
    </row>
    <row r="145" spans="1:14" ht="13.5" thickBot="1" x14ac:dyDescent="0.25">
      <c r="J145" s="68"/>
      <c r="K145" s="68"/>
      <c r="L145" s="47"/>
      <c r="M145" s="47"/>
      <c r="N145" s="47"/>
    </row>
    <row r="146" spans="1:14" x14ac:dyDescent="0.2">
      <c r="A146" s="20"/>
      <c r="B146" s="21"/>
      <c r="C146" s="21"/>
      <c r="D146" s="21"/>
      <c r="E146" s="22"/>
      <c r="F146" s="22"/>
      <c r="G146" s="22"/>
      <c r="H146" s="22"/>
      <c r="I146" s="22"/>
      <c r="J146" s="22"/>
      <c r="K146" s="22"/>
      <c r="L146" s="22"/>
      <c r="M146" s="22"/>
      <c r="N146" s="23"/>
    </row>
    <row r="147" spans="1:14" ht="15" x14ac:dyDescent="0.2">
      <c r="A147" s="24"/>
      <c r="B147" s="413" t="s">
        <v>677</v>
      </c>
      <c r="C147" s="414"/>
      <c r="D147" s="414"/>
      <c r="E147" s="414"/>
      <c r="F147" s="414"/>
      <c r="G147" s="414"/>
      <c r="H147" s="414"/>
      <c r="I147" s="414"/>
      <c r="J147" s="414"/>
      <c r="K147" s="414"/>
      <c r="L147" s="414"/>
      <c r="M147" s="415"/>
      <c r="N147" s="25" t="s">
        <v>904</v>
      </c>
    </row>
    <row r="148" spans="1:14" x14ac:dyDescent="0.2">
      <c r="A148" s="24"/>
      <c r="B148" s="26" t="s">
        <v>428</v>
      </c>
      <c r="C148" s="15" t="s">
        <v>678</v>
      </c>
      <c r="N148" s="27"/>
    </row>
    <row r="149" spans="1:14" x14ac:dyDescent="0.2">
      <c r="A149" s="24"/>
      <c r="B149" s="26" t="s">
        <v>429</v>
      </c>
      <c r="C149" s="429" t="s">
        <v>468</v>
      </c>
      <c r="D149" s="421"/>
      <c r="E149" s="421"/>
      <c r="F149" s="421"/>
      <c r="G149" s="421"/>
      <c r="H149" s="421"/>
      <c r="I149" s="421"/>
      <c r="J149" s="421"/>
      <c r="K149" s="421"/>
      <c r="L149" s="421"/>
      <c r="M149" s="421"/>
      <c r="N149" s="422"/>
    </row>
    <row r="150" spans="1:14" x14ac:dyDescent="0.2">
      <c r="A150" s="24"/>
      <c r="B150" s="26"/>
      <c r="C150" s="421"/>
      <c r="D150" s="421"/>
      <c r="E150" s="421"/>
      <c r="F150" s="421"/>
      <c r="G150" s="421"/>
      <c r="H150" s="421"/>
      <c r="I150" s="421"/>
      <c r="J150" s="421"/>
      <c r="K150" s="421"/>
      <c r="L150" s="421"/>
      <c r="M150" s="421"/>
      <c r="N150" s="422"/>
    </row>
    <row r="151" spans="1:14" x14ac:dyDescent="0.2">
      <c r="A151" s="24"/>
      <c r="B151" s="26" t="s">
        <v>427</v>
      </c>
      <c r="C151" s="416" t="s">
        <v>883</v>
      </c>
      <c r="D151" s="416"/>
      <c r="E151" s="416"/>
      <c r="F151" s="416"/>
      <c r="G151" s="416"/>
      <c r="H151" s="416"/>
      <c r="I151" s="416"/>
      <c r="J151" s="416"/>
      <c r="K151" s="416"/>
      <c r="L151" s="416"/>
      <c r="M151" s="416"/>
      <c r="N151" s="417"/>
    </row>
    <row r="152" spans="1:14" x14ac:dyDescent="0.2">
      <c r="A152" s="24"/>
      <c r="C152" s="416"/>
      <c r="D152" s="416"/>
      <c r="E152" s="416"/>
      <c r="F152" s="416"/>
      <c r="G152" s="416"/>
      <c r="H152" s="416"/>
      <c r="I152" s="416"/>
      <c r="J152" s="416"/>
      <c r="K152" s="416"/>
      <c r="L152" s="416"/>
      <c r="M152" s="416"/>
      <c r="N152" s="417"/>
    </row>
    <row r="153" spans="1:14" x14ac:dyDescent="0.2">
      <c r="A153" s="24"/>
      <c r="C153" s="416"/>
      <c r="D153" s="416"/>
      <c r="E153" s="416"/>
      <c r="F153" s="416"/>
      <c r="G153" s="416"/>
      <c r="H153" s="416"/>
      <c r="I153" s="416"/>
      <c r="J153" s="416"/>
      <c r="K153" s="416"/>
      <c r="L153" s="416"/>
      <c r="M153" s="416"/>
      <c r="N153" s="417"/>
    </row>
    <row r="154" spans="1:14" x14ac:dyDescent="0.2">
      <c r="A154" s="24"/>
      <c r="C154" s="419"/>
      <c r="D154" s="419"/>
      <c r="E154" s="419"/>
      <c r="F154" s="419"/>
      <c r="G154" s="419"/>
      <c r="H154" s="419"/>
      <c r="I154" s="419"/>
      <c r="J154" s="419"/>
      <c r="K154" s="419"/>
      <c r="L154" s="419"/>
      <c r="M154" s="419"/>
      <c r="N154" s="420"/>
    </row>
    <row r="155" spans="1:14" x14ac:dyDescent="0.2">
      <c r="A155" s="24"/>
      <c r="C155" s="419"/>
      <c r="D155" s="419"/>
      <c r="E155" s="419"/>
      <c r="F155" s="419"/>
      <c r="G155" s="419"/>
      <c r="H155" s="419"/>
      <c r="I155" s="419"/>
      <c r="J155" s="419"/>
      <c r="K155" s="419"/>
      <c r="L155" s="419"/>
      <c r="M155" s="419"/>
      <c r="N155" s="420"/>
    </row>
    <row r="156" spans="1:14" x14ac:dyDescent="0.2">
      <c r="A156" s="24"/>
      <c r="C156" s="419"/>
      <c r="D156" s="419"/>
      <c r="E156" s="419"/>
      <c r="F156" s="419"/>
      <c r="G156" s="419"/>
      <c r="H156" s="419"/>
      <c r="I156" s="419"/>
      <c r="J156" s="419"/>
      <c r="K156" s="419"/>
      <c r="L156" s="419"/>
      <c r="M156" s="419"/>
      <c r="N156" s="420"/>
    </row>
    <row r="157" spans="1:14" x14ac:dyDescent="0.2">
      <c r="A157" s="24"/>
      <c r="C157" s="419"/>
      <c r="D157" s="419"/>
      <c r="E157" s="419"/>
      <c r="F157" s="419"/>
      <c r="G157" s="419"/>
      <c r="H157" s="419"/>
      <c r="I157" s="419"/>
      <c r="J157" s="419"/>
      <c r="K157" s="419"/>
      <c r="L157" s="419"/>
      <c r="M157" s="419"/>
      <c r="N157" s="420"/>
    </row>
    <row r="158" spans="1:14" x14ac:dyDescent="0.2">
      <c r="A158" s="24"/>
      <c r="B158" s="26" t="s">
        <v>426</v>
      </c>
      <c r="C158" s="15" t="s">
        <v>484</v>
      </c>
      <c r="N158" s="27"/>
    </row>
    <row r="159" spans="1:14" ht="13.5" thickBot="1" x14ac:dyDescent="0.25">
      <c r="A159" s="28"/>
      <c r="B159" s="26" t="s">
        <v>430</v>
      </c>
      <c r="C159" s="29"/>
      <c r="D159" s="29"/>
      <c r="E159" s="30"/>
      <c r="F159" s="30"/>
      <c r="G159" s="30"/>
      <c r="H159" s="30"/>
      <c r="I159" s="30"/>
      <c r="J159" s="30"/>
      <c r="K159" s="30"/>
      <c r="L159" s="30"/>
      <c r="M159" s="30"/>
      <c r="N159" s="31"/>
    </row>
    <row r="160" spans="1:14" x14ac:dyDescent="0.2">
      <c r="A160" s="20"/>
      <c r="B160" s="21" t="s">
        <v>263</v>
      </c>
      <c r="C160" s="21"/>
      <c r="D160" s="21"/>
      <c r="E160" s="22"/>
      <c r="F160" s="22"/>
      <c r="G160" s="22"/>
      <c r="H160" s="22"/>
      <c r="I160" s="22"/>
      <c r="J160" s="32" t="s">
        <v>2126</v>
      </c>
      <c r="K160" s="33" t="s">
        <v>2026</v>
      </c>
      <c r="L160" s="33"/>
      <c r="M160" s="33"/>
      <c r="N160" s="33"/>
    </row>
    <row r="161" spans="1:14" ht="13.5" thickBot="1" x14ac:dyDescent="0.25">
      <c r="A161" s="28"/>
      <c r="B161" s="15" t="s">
        <v>263</v>
      </c>
      <c r="C161" s="29"/>
      <c r="D161" s="29"/>
      <c r="E161" s="30"/>
      <c r="F161" s="30"/>
      <c r="G161" s="30"/>
      <c r="H161" s="30"/>
      <c r="I161" s="30"/>
      <c r="J161" s="44" t="s">
        <v>348</v>
      </c>
      <c r="K161" s="36" t="s">
        <v>510</v>
      </c>
      <c r="L161" s="36" t="s">
        <v>2127</v>
      </c>
      <c r="M161" s="36"/>
      <c r="N161" s="36"/>
    </row>
    <row r="162" spans="1:14" x14ac:dyDescent="0.2">
      <c r="A162" s="20"/>
      <c r="B162" s="412" t="s">
        <v>485</v>
      </c>
      <c r="C162" s="412"/>
      <c r="D162" s="412"/>
      <c r="E162" s="22"/>
      <c r="F162" s="22" t="s">
        <v>1180</v>
      </c>
      <c r="G162" s="22" t="s">
        <v>68</v>
      </c>
      <c r="H162" s="22" t="s">
        <v>702</v>
      </c>
      <c r="I162" s="22"/>
      <c r="J162" s="65">
        <f>292.5/O1*O2</f>
        <v>596.9387755102041</v>
      </c>
      <c r="K162" s="65">
        <f>326.7/O1*O2</f>
        <v>666.73469387755097</v>
      </c>
      <c r="L162" s="65">
        <f>372.5/O1*O2</f>
        <v>760.20408163265313</v>
      </c>
      <c r="M162" s="47"/>
      <c r="N162" s="38"/>
    </row>
    <row r="163" spans="1:14" x14ac:dyDescent="0.2">
      <c r="A163" s="24"/>
      <c r="B163" s="411" t="s">
        <v>485</v>
      </c>
      <c r="C163" s="411"/>
      <c r="D163" s="411"/>
      <c r="F163" s="16" t="s">
        <v>1181</v>
      </c>
      <c r="G163" s="16" t="s">
        <v>68</v>
      </c>
      <c r="H163" s="16" t="s">
        <v>702</v>
      </c>
      <c r="J163" s="66">
        <f>146.5/O1*O2</f>
        <v>298.9795918367347</v>
      </c>
      <c r="K163" s="66">
        <f>163.5/O1*O2</f>
        <v>333.67346938775512</v>
      </c>
      <c r="L163" s="66">
        <f>186.5/O1*O2</f>
        <v>380.61224489795921</v>
      </c>
      <c r="M163" s="47"/>
      <c r="N163" s="40"/>
    </row>
    <row r="164" spans="1:14" x14ac:dyDescent="0.2">
      <c r="A164" s="24"/>
      <c r="B164" s="411" t="s">
        <v>901</v>
      </c>
      <c r="C164" s="411"/>
      <c r="D164" s="411"/>
      <c r="F164" s="16" t="s">
        <v>518</v>
      </c>
      <c r="G164" s="16" t="s">
        <v>68</v>
      </c>
      <c r="H164" s="16" t="s">
        <v>702</v>
      </c>
      <c r="J164" s="66">
        <f>286.6/O1*O2</f>
        <v>584.89795918367349</v>
      </c>
      <c r="K164" s="66">
        <f>320.5/O1*O2</f>
        <v>654.08163265306121</v>
      </c>
      <c r="L164" s="66">
        <f>365.5/O1*O2</f>
        <v>745.91836734693879</v>
      </c>
      <c r="M164" s="47"/>
      <c r="N164" s="40"/>
    </row>
    <row r="165" spans="1:14" ht="13.5" thickBot="1" x14ac:dyDescent="0.25">
      <c r="A165" s="28"/>
      <c r="B165" s="418"/>
      <c r="C165" s="418"/>
      <c r="D165" s="418"/>
      <c r="E165" s="30"/>
      <c r="F165" s="30"/>
      <c r="G165" s="30"/>
      <c r="H165" s="30"/>
      <c r="I165" s="30"/>
      <c r="J165" s="67"/>
      <c r="K165" s="67"/>
      <c r="L165" s="67"/>
      <c r="M165" s="42"/>
      <c r="N165" s="42"/>
    </row>
    <row r="166" spans="1:14" ht="13.5" thickBot="1" x14ac:dyDescent="0.25">
      <c r="J166" s="68"/>
      <c r="K166" s="68"/>
      <c r="L166" s="47"/>
      <c r="M166" s="47"/>
      <c r="N166" s="47"/>
    </row>
    <row r="167" spans="1:14" x14ac:dyDescent="0.2">
      <c r="A167" s="20"/>
      <c r="B167" s="21"/>
      <c r="C167" s="21"/>
      <c r="D167" s="21"/>
      <c r="E167" s="22"/>
      <c r="F167" s="22"/>
      <c r="G167" s="22"/>
      <c r="H167" s="22"/>
      <c r="I167" s="22"/>
      <c r="J167" s="22"/>
      <c r="K167" s="22"/>
      <c r="L167" s="22"/>
      <c r="M167" s="22"/>
      <c r="N167" s="23"/>
    </row>
    <row r="168" spans="1:14" ht="15" x14ac:dyDescent="0.2">
      <c r="A168" s="24"/>
      <c r="B168" s="413" t="s">
        <v>527</v>
      </c>
      <c r="C168" s="414"/>
      <c r="D168" s="414"/>
      <c r="E168" s="414"/>
      <c r="F168" s="414"/>
      <c r="G168" s="414"/>
      <c r="H168" s="414"/>
      <c r="I168" s="414"/>
      <c r="J168" s="414"/>
      <c r="K168" s="414"/>
      <c r="L168" s="414"/>
      <c r="M168" s="415"/>
      <c r="N168" s="25" t="s">
        <v>904</v>
      </c>
    </row>
    <row r="169" spans="1:14" x14ac:dyDescent="0.2">
      <c r="A169" s="24"/>
      <c r="B169" s="26" t="s">
        <v>428</v>
      </c>
      <c r="C169" s="15" t="s">
        <v>526</v>
      </c>
      <c r="N169" s="27"/>
    </row>
    <row r="170" spans="1:14" x14ac:dyDescent="0.2">
      <c r="A170" s="24"/>
      <c r="B170" s="26" t="s">
        <v>429</v>
      </c>
      <c r="C170" s="15" t="s">
        <v>528</v>
      </c>
      <c r="N170" s="27"/>
    </row>
    <row r="171" spans="1:14" x14ac:dyDescent="0.2">
      <c r="A171" s="24"/>
      <c r="B171" s="26" t="s">
        <v>427</v>
      </c>
      <c r="C171" s="416" t="s">
        <v>0</v>
      </c>
      <c r="D171" s="416"/>
      <c r="E171" s="416"/>
      <c r="F171" s="416"/>
      <c r="G171" s="416"/>
      <c r="H171" s="416"/>
      <c r="I171" s="416"/>
      <c r="J171" s="416"/>
      <c r="K171" s="416"/>
      <c r="L171" s="416"/>
      <c r="M171" s="416"/>
      <c r="N171" s="417"/>
    </row>
    <row r="172" spans="1:14" x14ac:dyDescent="0.2">
      <c r="A172" s="24"/>
      <c r="C172" s="416"/>
      <c r="D172" s="416"/>
      <c r="E172" s="416"/>
      <c r="F172" s="416"/>
      <c r="G172" s="416"/>
      <c r="H172" s="416"/>
      <c r="I172" s="416"/>
      <c r="J172" s="416"/>
      <c r="K172" s="416"/>
      <c r="L172" s="416"/>
      <c r="M172" s="416"/>
      <c r="N172" s="417"/>
    </row>
    <row r="173" spans="1:14" x14ac:dyDescent="0.2">
      <c r="A173" s="24"/>
      <c r="C173" s="416"/>
      <c r="D173" s="416"/>
      <c r="E173" s="416"/>
      <c r="F173" s="416"/>
      <c r="G173" s="416"/>
      <c r="H173" s="416"/>
      <c r="I173" s="416"/>
      <c r="J173" s="416"/>
      <c r="K173" s="416"/>
      <c r="L173" s="416"/>
      <c r="M173" s="416"/>
      <c r="N173" s="417"/>
    </row>
    <row r="174" spans="1:14" x14ac:dyDescent="0.2">
      <c r="A174" s="24"/>
      <c r="C174" s="419"/>
      <c r="D174" s="419"/>
      <c r="E174" s="419"/>
      <c r="F174" s="419"/>
      <c r="G174" s="419"/>
      <c r="H174" s="419"/>
      <c r="I174" s="419"/>
      <c r="J174" s="419"/>
      <c r="K174" s="419"/>
      <c r="L174" s="419"/>
      <c r="M174" s="419"/>
      <c r="N174" s="420"/>
    </row>
    <row r="175" spans="1:14" x14ac:dyDescent="0.2">
      <c r="A175" s="24"/>
      <c r="B175" s="26" t="s">
        <v>426</v>
      </c>
      <c r="C175" s="15" t="s">
        <v>1356</v>
      </c>
      <c r="N175" s="27"/>
    </row>
    <row r="176" spans="1:14" ht="13.5" thickBot="1" x14ac:dyDescent="0.25">
      <c r="A176" s="28"/>
      <c r="B176" s="26" t="s">
        <v>430</v>
      </c>
      <c r="C176" s="29"/>
      <c r="D176" s="29"/>
      <c r="E176" s="30"/>
      <c r="F176" s="30"/>
      <c r="G176" s="30"/>
      <c r="H176" s="30"/>
      <c r="I176" s="30"/>
      <c r="J176" s="30"/>
      <c r="K176" s="30"/>
      <c r="L176" s="30"/>
      <c r="M176" s="30"/>
      <c r="N176" s="31"/>
    </row>
    <row r="177" spans="1:14" x14ac:dyDescent="0.2">
      <c r="A177" s="20"/>
      <c r="B177" s="21" t="s">
        <v>263</v>
      </c>
      <c r="C177" s="21"/>
      <c r="D177" s="21"/>
      <c r="E177" s="22"/>
      <c r="F177" s="22"/>
      <c r="G177" s="22"/>
      <c r="H177" s="22"/>
      <c r="I177" s="22"/>
      <c r="J177" s="32"/>
      <c r="K177" s="33" t="s">
        <v>1866</v>
      </c>
      <c r="L177" s="33"/>
      <c r="M177" s="33"/>
      <c r="N177" s="33"/>
    </row>
    <row r="178" spans="1:14" x14ac:dyDescent="0.2">
      <c r="A178" s="24"/>
      <c r="J178" s="58" t="s">
        <v>1984</v>
      </c>
      <c r="K178" s="55" t="s">
        <v>1986</v>
      </c>
      <c r="L178" s="55" t="s">
        <v>771</v>
      </c>
      <c r="M178" s="55" t="s">
        <v>290</v>
      </c>
      <c r="N178" s="55"/>
    </row>
    <row r="179" spans="1:14" ht="13.5" thickBot="1" x14ac:dyDescent="0.25">
      <c r="A179" s="28"/>
      <c r="C179" s="29"/>
      <c r="D179" s="29"/>
      <c r="E179" s="30"/>
      <c r="F179" s="30"/>
      <c r="G179" s="30"/>
      <c r="H179" s="30"/>
      <c r="I179" s="30"/>
      <c r="J179" s="44" t="s">
        <v>1985</v>
      </c>
      <c r="K179" s="36" t="s">
        <v>1877</v>
      </c>
      <c r="L179" s="36" t="s">
        <v>1387</v>
      </c>
      <c r="M179" s="36" t="s">
        <v>1987</v>
      </c>
      <c r="N179" s="36" t="s">
        <v>1988</v>
      </c>
    </row>
    <row r="180" spans="1:14" x14ac:dyDescent="0.2">
      <c r="A180" s="20"/>
      <c r="B180" s="412" t="s">
        <v>67</v>
      </c>
      <c r="C180" s="412"/>
      <c r="D180" s="412"/>
      <c r="E180" s="22"/>
      <c r="F180" s="22" t="s">
        <v>1180</v>
      </c>
      <c r="G180" s="22" t="s">
        <v>68</v>
      </c>
      <c r="H180" s="22" t="s">
        <v>702</v>
      </c>
      <c r="I180" s="22"/>
      <c r="J180" s="65">
        <f>145/O1*O2</f>
        <v>295.91836734693879</v>
      </c>
      <c r="K180" s="65">
        <f>165/O1*O2</f>
        <v>336.73469387755102</v>
      </c>
      <c r="L180" s="65">
        <f>185/O1*O2</f>
        <v>377.55102040816325</v>
      </c>
      <c r="M180" s="68">
        <f>215/O1*O2</f>
        <v>438.77551020408163</v>
      </c>
      <c r="N180" s="38">
        <f>250/O1*O2</f>
        <v>510.20408163265307</v>
      </c>
    </row>
    <row r="181" spans="1:14" x14ac:dyDescent="0.2">
      <c r="A181" s="24"/>
      <c r="B181" s="411" t="s">
        <v>67</v>
      </c>
      <c r="C181" s="411"/>
      <c r="D181" s="411"/>
      <c r="F181" s="16" t="s">
        <v>1181</v>
      </c>
      <c r="G181" s="16" t="s">
        <v>68</v>
      </c>
      <c r="H181" s="16" t="s">
        <v>702</v>
      </c>
      <c r="J181" s="66">
        <f>78/O1*O2</f>
        <v>159.18367346938777</v>
      </c>
      <c r="K181" s="66">
        <f>98/O1*O2</f>
        <v>200</v>
      </c>
      <c r="L181" s="66">
        <f>110/O1*O2</f>
        <v>224.48979591836735</v>
      </c>
      <c r="M181" s="68">
        <f>125/O1*O2</f>
        <v>255.10204081632654</v>
      </c>
      <c r="N181" s="40">
        <f>140/O1*O2</f>
        <v>285.71428571428572</v>
      </c>
    </row>
    <row r="182" spans="1:14" x14ac:dyDescent="0.2">
      <c r="A182" s="24"/>
      <c r="B182" s="411" t="s">
        <v>67</v>
      </c>
      <c r="C182" s="411"/>
      <c r="D182" s="411"/>
      <c r="F182" s="16" t="s">
        <v>1182</v>
      </c>
      <c r="G182" s="16" t="s">
        <v>68</v>
      </c>
      <c r="H182" s="16" t="s">
        <v>702</v>
      </c>
      <c r="J182" s="66">
        <f>65/O1*O2</f>
        <v>132.65306122448979</v>
      </c>
      <c r="K182" s="66">
        <f>82/O1*O2</f>
        <v>167.34693877551021</v>
      </c>
      <c r="L182" s="66">
        <f>92/O1*O2</f>
        <v>187.75510204081633</v>
      </c>
      <c r="M182" s="68">
        <f>105/O1*O2</f>
        <v>214.28571428571428</v>
      </c>
      <c r="N182" s="40">
        <f>117/O1*O2</f>
        <v>238.77551020408163</v>
      </c>
    </row>
    <row r="183" spans="1:14" ht="13.5" thickBot="1" x14ac:dyDescent="0.25">
      <c r="A183" s="28"/>
      <c r="B183" s="418" t="s">
        <v>902</v>
      </c>
      <c r="C183" s="418"/>
      <c r="D183" s="418"/>
      <c r="E183" s="30"/>
      <c r="F183" s="30"/>
      <c r="G183" s="30"/>
      <c r="H183" s="30"/>
      <c r="I183" s="30"/>
      <c r="J183" s="67">
        <f>35/O1*O2</f>
        <v>71.428571428571431</v>
      </c>
      <c r="K183" s="67">
        <f>35/O1*O2</f>
        <v>71.428571428571431</v>
      </c>
      <c r="L183" s="67">
        <f>35/O1*O2</f>
        <v>71.428571428571431</v>
      </c>
      <c r="M183" s="67">
        <f>35/O1*O2</f>
        <v>71.428571428571431</v>
      </c>
      <c r="N183" s="42">
        <f>35/O1*O2</f>
        <v>71.428571428571431</v>
      </c>
    </row>
    <row r="184" spans="1:14" x14ac:dyDescent="0.2">
      <c r="J184" s="68"/>
      <c r="K184" s="68"/>
      <c r="L184" s="47"/>
      <c r="M184" s="47"/>
      <c r="N184" s="47"/>
    </row>
    <row r="185" spans="1:14" x14ac:dyDescent="0.2">
      <c r="J185" s="68"/>
      <c r="K185" s="68"/>
      <c r="L185" s="47"/>
      <c r="M185" s="47"/>
      <c r="N185" s="47"/>
    </row>
    <row r="186" spans="1:14" ht="13.5" thickBot="1" x14ac:dyDescent="0.25"/>
    <row r="187" spans="1:14" x14ac:dyDescent="0.2">
      <c r="A187" s="20"/>
      <c r="B187" s="21"/>
      <c r="C187" s="21"/>
      <c r="D187" s="21"/>
      <c r="E187" s="22"/>
      <c r="F187" s="22"/>
      <c r="G187" s="22"/>
      <c r="H187" s="22"/>
      <c r="I187" s="22"/>
      <c r="J187" s="22"/>
      <c r="K187" s="22"/>
      <c r="L187" s="22"/>
      <c r="M187" s="22"/>
      <c r="N187" s="23"/>
    </row>
    <row r="188" spans="1:14" ht="15" x14ac:dyDescent="0.2">
      <c r="A188" s="24"/>
      <c r="B188" s="413" t="s">
        <v>927</v>
      </c>
      <c r="C188" s="414"/>
      <c r="D188" s="414"/>
      <c r="E188" s="414"/>
      <c r="F188" s="414"/>
      <c r="G188" s="414"/>
      <c r="H188" s="414"/>
      <c r="I188" s="414"/>
      <c r="J188" s="414"/>
      <c r="K188" s="414"/>
      <c r="L188" s="414"/>
      <c r="M188" s="415"/>
      <c r="N188" s="25" t="s">
        <v>904</v>
      </c>
    </row>
    <row r="189" spans="1:14" x14ac:dyDescent="0.2">
      <c r="A189" s="24"/>
      <c r="B189" s="26" t="s">
        <v>428</v>
      </c>
      <c r="C189" s="15" t="s">
        <v>928</v>
      </c>
      <c r="N189" s="27"/>
    </row>
    <row r="190" spans="1:14" x14ac:dyDescent="0.2">
      <c r="A190" s="24"/>
      <c r="B190" s="26" t="s">
        <v>429</v>
      </c>
      <c r="C190" s="15" t="s">
        <v>1207</v>
      </c>
      <c r="N190" s="27"/>
    </row>
    <row r="191" spans="1:14" x14ac:dyDescent="0.2">
      <c r="A191" s="24"/>
      <c r="B191" s="26" t="s">
        <v>427</v>
      </c>
      <c r="C191" s="416" t="s">
        <v>1109</v>
      </c>
      <c r="D191" s="416"/>
      <c r="E191" s="416"/>
      <c r="F191" s="416"/>
      <c r="G191" s="416"/>
      <c r="H191" s="416"/>
      <c r="I191" s="416"/>
      <c r="J191" s="416"/>
      <c r="K191" s="416"/>
      <c r="L191" s="416"/>
      <c r="M191" s="416"/>
      <c r="N191" s="417"/>
    </row>
    <row r="192" spans="1:14" x14ac:dyDescent="0.2">
      <c r="A192" s="24"/>
      <c r="C192" s="416"/>
      <c r="D192" s="416"/>
      <c r="E192" s="416"/>
      <c r="F192" s="416"/>
      <c r="G192" s="416"/>
      <c r="H192" s="416"/>
      <c r="I192" s="416"/>
      <c r="J192" s="416"/>
      <c r="K192" s="416"/>
      <c r="L192" s="416"/>
      <c r="M192" s="416"/>
      <c r="N192" s="417"/>
    </row>
    <row r="193" spans="1:14" x14ac:dyDescent="0.2">
      <c r="A193" s="24"/>
      <c r="C193" s="419"/>
      <c r="D193" s="419"/>
      <c r="E193" s="419"/>
      <c r="F193" s="419"/>
      <c r="G193" s="419"/>
      <c r="H193" s="419"/>
      <c r="I193" s="419"/>
      <c r="J193" s="419"/>
      <c r="K193" s="419"/>
      <c r="L193" s="419"/>
      <c r="M193" s="419"/>
      <c r="N193" s="420"/>
    </row>
    <row r="194" spans="1:14" x14ac:dyDescent="0.2">
      <c r="A194" s="24"/>
      <c r="B194" s="26" t="s">
        <v>426</v>
      </c>
      <c r="C194" s="15" t="s">
        <v>1355</v>
      </c>
      <c r="N194" s="27"/>
    </row>
    <row r="195" spans="1:14" ht="13.5" thickBot="1" x14ac:dyDescent="0.25">
      <c r="A195" s="28"/>
      <c r="B195" s="26" t="s">
        <v>430</v>
      </c>
      <c r="C195" s="29"/>
      <c r="D195" s="29"/>
      <c r="E195" s="30"/>
      <c r="F195" s="30"/>
      <c r="G195" s="30"/>
      <c r="H195" s="30"/>
      <c r="I195" s="30"/>
      <c r="J195" s="30"/>
      <c r="K195" s="30"/>
      <c r="L195" s="30"/>
      <c r="M195" s="30"/>
      <c r="N195" s="31"/>
    </row>
    <row r="196" spans="1:14" x14ac:dyDescent="0.2">
      <c r="A196" s="20"/>
      <c r="B196" s="21" t="s">
        <v>263</v>
      </c>
      <c r="C196" s="21"/>
      <c r="D196" s="21"/>
      <c r="E196" s="22"/>
      <c r="F196" s="22"/>
      <c r="G196" s="22"/>
      <c r="H196" s="22"/>
      <c r="I196" s="22"/>
      <c r="J196" s="32" t="s">
        <v>909</v>
      </c>
      <c r="K196" s="33" t="s">
        <v>513</v>
      </c>
      <c r="L196" s="33"/>
      <c r="M196" s="33"/>
      <c r="N196" s="33"/>
    </row>
    <row r="197" spans="1:14" ht="13.5" thickBot="1" x14ac:dyDescent="0.25">
      <c r="A197" s="28"/>
      <c r="C197" s="29"/>
      <c r="D197" s="29"/>
      <c r="E197" s="30"/>
      <c r="F197" s="30"/>
      <c r="G197" s="30"/>
      <c r="H197" s="30"/>
      <c r="I197" s="30"/>
      <c r="J197" s="44" t="s">
        <v>514</v>
      </c>
      <c r="K197" s="36" t="s">
        <v>612</v>
      </c>
      <c r="L197" s="36"/>
      <c r="M197" s="36"/>
      <c r="N197" s="36"/>
    </row>
    <row r="198" spans="1:14" x14ac:dyDescent="0.2">
      <c r="A198" s="20"/>
      <c r="B198" s="412" t="s">
        <v>67</v>
      </c>
      <c r="C198" s="412"/>
      <c r="D198" s="412"/>
      <c r="E198" s="22"/>
      <c r="F198" s="22" t="s">
        <v>1180</v>
      </c>
      <c r="G198" s="22" t="s">
        <v>68</v>
      </c>
      <c r="H198" s="22" t="s">
        <v>702</v>
      </c>
      <c r="I198" s="22"/>
      <c r="J198" s="65">
        <f>143.5/O1*O2</f>
        <v>292.85714285714289</v>
      </c>
      <c r="K198" s="65">
        <f>177.5/O1*O2</f>
        <v>362.24489795918367</v>
      </c>
      <c r="L198" s="38"/>
      <c r="M198" s="38"/>
      <c r="N198" s="38"/>
    </row>
    <row r="199" spans="1:14" x14ac:dyDescent="0.2">
      <c r="A199" s="24"/>
      <c r="B199" s="411" t="s">
        <v>67</v>
      </c>
      <c r="C199" s="411"/>
      <c r="D199" s="411"/>
      <c r="F199" s="16" t="s">
        <v>1181</v>
      </c>
      <c r="G199" s="16" t="s">
        <v>68</v>
      </c>
      <c r="H199" s="16" t="s">
        <v>702</v>
      </c>
      <c r="J199" s="66">
        <f>79.5/O1*O2</f>
        <v>162.24489795918367</v>
      </c>
      <c r="K199" s="66">
        <f>96.7/O1*O2</f>
        <v>197.34693877551021</v>
      </c>
      <c r="L199" s="40"/>
      <c r="M199" s="40"/>
      <c r="N199" s="40"/>
    </row>
    <row r="200" spans="1:14" ht="13.5" thickBot="1" x14ac:dyDescent="0.25">
      <c r="A200" s="28"/>
      <c r="B200" s="418" t="s">
        <v>67</v>
      </c>
      <c r="C200" s="418"/>
      <c r="D200" s="418"/>
      <c r="E200" s="30"/>
      <c r="F200" s="30" t="s">
        <v>1182</v>
      </c>
      <c r="G200" s="30" t="s">
        <v>68</v>
      </c>
      <c r="H200" s="30" t="s">
        <v>702</v>
      </c>
      <c r="I200" s="30"/>
      <c r="J200" s="67">
        <f>60.5/O1*O2</f>
        <v>123.46938775510205</v>
      </c>
      <c r="K200" s="67">
        <f>71.6/O1*O2</f>
        <v>146.12244897959184</v>
      </c>
      <c r="L200" s="42"/>
      <c r="M200" s="42"/>
      <c r="N200" s="42"/>
    </row>
    <row r="201" spans="1:14" ht="13.5" thickBot="1" x14ac:dyDescent="0.25">
      <c r="J201" s="68"/>
      <c r="K201" s="68"/>
      <c r="L201" s="47"/>
      <c r="M201" s="47"/>
      <c r="N201" s="47"/>
    </row>
    <row r="202" spans="1:14" x14ac:dyDescent="0.2">
      <c r="A202" s="20"/>
      <c r="B202" s="21"/>
      <c r="C202" s="21"/>
      <c r="D202" s="21"/>
      <c r="E202" s="22"/>
      <c r="F202" s="22"/>
      <c r="G202" s="22"/>
      <c r="H202" s="22"/>
      <c r="I202" s="22"/>
      <c r="J202" s="22"/>
      <c r="K202" s="22"/>
      <c r="L202" s="22"/>
      <c r="M202" s="22"/>
      <c r="N202" s="23"/>
    </row>
    <row r="203" spans="1:14" ht="15" x14ac:dyDescent="0.2">
      <c r="A203" s="24"/>
      <c r="B203" s="413" t="s">
        <v>412</v>
      </c>
      <c r="C203" s="414"/>
      <c r="D203" s="414"/>
      <c r="E203" s="414"/>
      <c r="F203" s="414"/>
      <c r="G203" s="414"/>
      <c r="H203" s="414"/>
      <c r="I203" s="414"/>
      <c r="J203" s="414"/>
      <c r="K203" s="414"/>
      <c r="L203" s="414"/>
      <c r="M203" s="415"/>
      <c r="N203" s="25" t="s">
        <v>904</v>
      </c>
    </row>
    <row r="204" spans="1:14" x14ac:dyDescent="0.2">
      <c r="A204" s="24"/>
      <c r="B204" s="26" t="s">
        <v>428</v>
      </c>
      <c r="C204" s="15" t="s">
        <v>913</v>
      </c>
      <c r="N204" s="27"/>
    </row>
    <row r="205" spans="1:14" x14ac:dyDescent="0.2">
      <c r="A205" s="24"/>
      <c r="B205" s="26" t="s">
        <v>429</v>
      </c>
      <c r="C205" s="15" t="s">
        <v>445</v>
      </c>
      <c r="N205" s="27"/>
    </row>
    <row r="206" spans="1:14" x14ac:dyDescent="0.2">
      <c r="A206" s="24"/>
      <c r="B206" s="26" t="s">
        <v>427</v>
      </c>
      <c r="C206" s="416" t="s">
        <v>330</v>
      </c>
      <c r="D206" s="416"/>
      <c r="E206" s="416"/>
      <c r="F206" s="416"/>
      <c r="G206" s="416"/>
      <c r="H206" s="416"/>
      <c r="I206" s="416"/>
      <c r="J206" s="416"/>
      <c r="K206" s="416"/>
      <c r="L206" s="416"/>
      <c r="M206" s="416"/>
      <c r="N206" s="417"/>
    </row>
    <row r="207" spans="1:14" x14ac:dyDescent="0.2">
      <c r="A207" s="24"/>
      <c r="C207" s="416"/>
      <c r="D207" s="416"/>
      <c r="E207" s="416"/>
      <c r="F207" s="416"/>
      <c r="G207" s="416"/>
      <c r="H207" s="416"/>
      <c r="I207" s="416"/>
      <c r="J207" s="416"/>
      <c r="K207" s="416"/>
      <c r="L207" s="416"/>
      <c r="M207" s="416"/>
      <c r="N207" s="417"/>
    </row>
    <row r="208" spans="1:14" x14ac:dyDescent="0.2">
      <c r="A208" s="24"/>
      <c r="C208" s="416"/>
      <c r="D208" s="416"/>
      <c r="E208" s="416"/>
      <c r="F208" s="416"/>
      <c r="G208" s="416"/>
      <c r="H208" s="416"/>
      <c r="I208" s="416"/>
      <c r="J208" s="416"/>
      <c r="K208" s="416"/>
      <c r="L208" s="416"/>
      <c r="M208" s="416"/>
      <c r="N208" s="417"/>
    </row>
    <row r="209" spans="1:14" x14ac:dyDescent="0.2">
      <c r="A209" s="24"/>
      <c r="C209" s="419"/>
      <c r="D209" s="419"/>
      <c r="E209" s="419"/>
      <c r="F209" s="419"/>
      <c r="G209" s="419"/>
      <c r="H209" s="419"/>
      <c r="I209" s="419"/>
      <c r="J209" s="419"/>
      <c r="K209" s="419"/>
      <c r="L209" s="419"/>
      <c r="M209" s="419"/>
      <c r="N209" s="420"/>
    </row>
    <row r="210" spans="1:14" x14ac:dyDescent="0.2">
      <c r="A210" s="24"/>
      <c r="B210" s="26" t="s">
        <v>426</v>
      </c>
      <c r="C210" s="15" t="s">
        <v>1353</v>
      </c>
      <c r="N210" s="27"/>
    </row>
    <row r="211" spans="1:14" ht="13.5" thickBot="1" x14ac:dyDescent="0.25">
      <c r="A211" s="28"/>
      <c r="B211" s="26" t="s">
        <v>430</v>
      </c>
      <c r="C211" s="29"/>
      <c r="D211" s="29"/>
      <c r="E211" s="30"/>
      <c r="F211" s="30"/>
      <c r="G211" s="30"/>
      <c r="H211" s="30"/>
      <c r="I211" s="30"/>
      <c r="J211" s="30"/>
      <c r="K211" s="30"/>
      <c r="L211" s="30"/>
      <c r="M211" s="30"/>
      <c r="N211" s="31"/>
    </row>
    <row r="212" spans="1:14" x14ac:dyDescent="0.2">
      <c r="A212" s="20"/>
      <c r="B212" s="21" t="s">
        <v>263</v>
      </c>
      <c r="C212" s="21"/>
      <c r="D212" s="21"/>
      <c r="E212" s="22"/>
      <c r="F212" s="22"/>
      <c r="G212" s="22"/>
      <c r="H212" s="22"/>
      <c r="I212" s="22"/>
      <c r="J212" s="32" t="s">
        <v>909</v>
      </c>
      <c r="K212" s="33"/>
      <c r="L212" s="33"/>
      <c r="M212" s="33"/>
      <c r="N212" s="33"/>
    </row>
    <row r="213" spans="1:14" ht="13.5" thickBot="1" x14ac:dyDescent="0.25">
      <c r="A213" s="28"/>
      <c r="C213" s="29"/>
      <c r="D213" s="29"/>
      <c r="E213" s="30"/>
      <c r="F213" s="30"/>
      <c r="G213" s="30"/>
      <c r="H213" s="30"/>
      <c r="I213" s="30"/>
      <c r="J213" s="44" t="s">
        <v>481</v>
      </c>
      <c r="K213" s="36" t="s">
        <v>1619</v>
      </c>
      <c r="L213" s="36"/>
      <c r="M213" s="36"/>
      <c r="N213" s="36"/>
    </row>
    <row r="214" spans="1:14" x14ac:dyDescent="0.2">
      <c r="A214" s="20"/>
      <c r="B214" s="412" t="s">
        <v>67</v>
      </c>
      <c r="C214" s="412"/>
      <c r="D214" s="412"/>
      <c r="E214" s="22"/>
      <c r="F214" s="22" t="s">
        <v>1180</v>
      </c>
      <c r="G214" s="22" t="s">
        <v>68</v>
      </c>
      <c r="H214" s="22" t="s">
        <v>702</v>
      </c>
      <c r="I214" s="22"/>
      <c r="J214" s="66">
        <f>183.5/O1*O2</f>
        <v>374.48979591836735</v>
      </c>
      <c r="K214" s="66">
        <f>231.7/O1*O2</f>
        <v>472.85714285714283</v>
      </c>
      <c r="L214" s="40"/>
      <c r="M214" s="38"/>
      <c r="N214" s="38"/>
    </row>
    <row r="215" spans="1:14" x14ac:dyDescent="0.2">
      <c r="A215" s="24"/>
      <c r="B215" s="411" t="s">
        <v>67</v>
      </c>
      <c r="C215" s="411"/>
      <c r="D215" s="411"/>
      <c r="F215" s="16" t="s">
        <v>1181</v>
      </c>
      <c r="G215" s="16" t="s">
        <v>68</v>
      </c>
      <c r="H215" s="16" t="s">
        <v>702</v>
      </c>
      <c r="J215" s="66">
        <f>103.9/O1*O2</f>
        <v>212.04081632653063</v>
      </c>
      <c r="K215" s="66">
        <f>128.5/O1*O2</f>
        <v>262.24489795918367</v>
      </c>
      <c r="L215" s="40"/>
      <c r="M215" s="40"/>
      <c r="N215" s="40"/>
    </row>
    <row r="216" spans="1:14" x14ac:dyDescent="0.2">
      <c r="A216" s="24"/>
      <c r="B216" s="411" t="s">
        <v>67</v>
      </c>
      <c r="C216" s="411"/>
      <c r="D216" s="411"/>
      <c r="F216" s="16" t="s">
        <v>1182</v>
      </c>
      <c r="G216" s="16" t="s">
        <v>68</v>
      </c>
      <c r="H216" s="16" t="s">
        <v>702</v>
      </c>
      <c r="J216" s="66">
        <f>82.5/O1*O2</f>
        <v>168.36734693877551</v>
      </c>
      <c r="K216" s="66">
        <f>98.7/O1*O2</f>
        <v>201.42857142857144</v>
      </c>
      <c r="L216" s="40"/>
      <c r="M216" s="40"/>
      <c r="N216" s="40"/>
    </row>
    <row r="217" spans="1:14" ht="13.5" thickBot="1" x14ac:dyDescent="0.25">
      <c r="A217" s="28"/>
      <c r="B217" s="418"/>
      <c r="C217" s="418"/>
      <c r="D217" s="418"/>
      <c r="E217" s="30"/>
      <c r="F217" s="30"/>
      <c r="G217" s="30"/>
      <c r="H217" s="30"/>
      <c r="I217" s="30"/>
      <c r="J217" s="67"/>
      <c r="K217" s="67"/>
      <c r="L217" s="42"/>
      <c r="M217" s="42"/>
      <c r="N217" s="42"/>
    </row>
    <row r="218" spans="1:14" x14ac:dyDescent="0.2">
      <c r="J218" s="68"/>
      <c r="K218" s="68"/>
      <c r="L218" s="47"/>
      <c r="M218" s="47"/>
      <c r="N218" s="47"/>
    </row>
    <row r="219" spans="1:14" ht="13.5" thickBot="1" x14ac:dyDescent="0.25"/>
    <row r="220" spans="1:14" x14ac:dyDescent="0.2">
      <c r="A220" s="20"/>
      <c r="B220" s="21"/>
      <c r="C220" s="21"/>
      <c r="D220" s="21"/>
      <c r="E220" s="22"/>
      <c r="F220" s="22"/>
      <c r="G220" s="22"/>
      <c r="H220" s="22"/>
      <c r="I220" s="22"/>
      <c r="J220" s="22"/>
      <c r="K220" s="22"/>
      <c r="L220" s="22"/>
      <c r="M220" s="22"/>
      <c r="N220" s="23"/>
    </row>
    <row r="221" spans="1:14" ht="15" x14ac:dyDescent="0.2">
      <c r="A221" s="24"/>
      <c r="B221" s="413" t="s">
        <v>458</v>
      </c>
      <c r="C221" s="414"/>
      <c r="D221" s="414"/>
      <c r="E221" s="414"/>
      <c r="F221" s="414"/>
      <c r="G221" s="414"/>
      <c r="H221" s="414"/>
      <c r="I221" s="414"/>
      <c r="J221" s="414"/>
      <c r="K221" s="414"/>
      <c r="L221" s="414"/>
      <c r="M221" s="415"/>
      <c r="N221" s="25" t="s">
        <v>904</v>
      </c>
    </row>
    <row r="222" spans="1:14" x14ac:dyDescent="0.2">
      <c r="A222" s="24"/>
      <c r="B222" s="26" t="s">
        <v>428</v>
      </c>
      <c r="C222" s="15" t="s">
        <v>459</v>
      </c>
      <c r="N222" s="27"/>
    </row>
    <row r="223" spans="1:14" x14ac:dyDescent="0.2">
      <c r="A223" s="24"/>
      <c r="B223" s="26" t="s">
        <v>429</v>
      </c>
      <c r="C223" s="15" t="s">
        <v>460</v>
      </c>
      <c r="N223" s="27"/>
    </row>
    <row r="224" spans="1:14" x14ac:dyDescent="0.2">
      <c r="A224" s="24"/>
      <c r="B224" s="26" t="s">
        <v>427</v>
      </c>
      <c r="C224" s="416" t="s">
        <v>331</v>
      </c>
      <c r="D224" s="416"/>
      <c r="E224" s="416"/>
      <c r="F224" s="416"/>
      <c r="G224" s="416"/>
      <c r="H224" s="416"/>
      <c r="I224" s="416"/>
      <c r="J224" s="416"/>
      <c r="K224" s="416"/>
      <c r="L224" s="416"/>
      <c r="M224" s="416"/>
      <c r="N224" s="417"/>
    </row>
    <row r="225" spans="1:14" x14ac:dyDescent="0.2">
      <c r="A225" s="24"/>
      <c r="C225" s="416"/>
      <c r="D225" s="416"/>
      <c r="E225" s="416"/>
      <c r="F225" s="416"/>
      <c r="G225" s="416"/>
      <c r="H225" s="416"/>
      <c r="I225" s="416"/>
      <c r="J225" s="416"/>
      <c r="K225" s="416"/>
      <c r="L225" s="416"/>
      <c r="M225" s="416"/>
      <c r="N225" s="417"/>
    </row>
    <row r="226" spans="1:14" x14ac:dyDescent="0.2">
      <c r="A226" s="24"/>
      <c r="C226" s="419"/>
      <c r="D226" s="419"/>
      <c r="E226" s="419"/>
      <c r="F226" s="419"/>
      <c r="G226" s="419"/>
      <c r="H226" s="419"/>
      <c r="I226" s="419"/>
      <c r="J226" s="419"/>
      <c r="K226" s="419"/>
      <c r="L226" s="419"/>
      <c r="M226" s="419"/>
      <c r="N226" s="420"/>
    </row>
    <row r="227" spans="1:14" x14ac:dyDescent="0.2">
      <c r="A227" s="24"/>
      <c r="C227" s="419"/>
      <c r="D227" s="419"/>
      <c r="E227" s="419"/>
      <c r="F227" s="419"/>
      <c r="G227" s="419"/>
      <c r="H227" s="419"/>
      <c r="I227" s="419"/>
      <c r="J227" s="419"/>
      <c r="K227" s="419"/>
      <c r="L227" s="419"/>
      <c r="M227" s="419"/>
      <c r="N227" s="420"/>
    </row>
    <row r="228" spans="1:14" x14ac:dyDescent="0.2">
      <c r="A228" s="24"/>
      <c r="B228" s="26" t="s">
        <v>426</v>
      </c>
      <c r="C228" s="15" t="s">
        <v>1357</v>
      </c>
      <c r="N228" s="27"/>
    </row>
    <row r="229" spans="1:14" ht="13.5" thickBot="1" x14ac:dyDescent="0.25">
      <c r="A229" s="28"/>
      <c r="B229" s="26" t="s">
        <v>430</v>
      </c>
      <c r="C229" s="29"/>
      <c r="D229" s="29"/>
      <c r="E229" s="30"/>
      <c r="F229" s="30"/>
      <c r="G229" s="30"/>
      <c r="H229" s="30"/>
      <c r="I229" s="30"/>
      <c r="J229" s="30"/>
      <c r="K229" s="30"/>
      <c r="L229" s="30"/>
      <c r="M229" s="30"/>
      <c r="N229" s="31"/>
    </row>
    <row r="230" spans="1:14" ht="13.5" thickBot="1" x14ac:dyDescent="0.25">
      <c r="A230" s="20"/>
      <c r="B230" s="21" t="s">
        <v>263</v>
      </c>
      <c r="C230" s="21"/>
      <c r="D230" s="21"/>
      <c r="E230" s="22"/>
      <c r="F230" s="22"/>
      <c r="G230" s="22"/>
      <c r="H230" s="22"/>
      <c r="I230" s="22"/>
      <c r="J230" s="33" t="s">
        <v>909</v>
      </c>
      <c r="K230" s="32" t="s">
        <v>206</v>
      </c>
      <c r="L230" s="33"/>
      <c r="M230" s="33"/>
      <c r="N230" s="33"/>
    </row>
    <row r="231" spans="1:14" x14ac:dyDescent="0.2">
      <c r="A231" s="20"/>
      <c r="B231" s="412" t="s">
        <v>67</v>
      </c>
      <c r="C231" s="412"/>
      <c r="D231" s="412"/>
      <c r="E231" s="22"/>
      <c r="F231" s="22" t="s">
        <v>1180</v>
      </c>
      <c r="G231" s="22" t="s">
        <v>68</v>
      </c>
      <c r="H231" s="22" t="s">
        <v>702</v>
      </c>
      <c r="I231" s="22"/>
      <c r="J231" s="65">
        <f>130/O1*O2</f>
        <v>265.30612244897958</v>
      </c>
      <c r="K231" s="65">
        <f>140/O1*O2</f>
        <v>285.71428571428572</v>
      </c>
      <c r="L231" s="65"/>
      <c r="M231" s="38"/>
      <c r="N231" s="38"/>
    </row>
    <row r="232" spans="1:14" x14ac:dyDescent="0.2">
      <c r="A232" s="24"/>
      <c r="B232" s="411" t="s">
        <v>67</v>
      </c>
      <c r="C232" s="411"/>
      <c r="D232" s="411"/>
      <c r="F232" s="16" t="s">
        <v>1181</v>
      </c>
      <c r="G232" s="16" t="s">
        <v>68</v>
      </c>
      <c r="H232" s="16" t="s">
        <v>702</v>
      </c>
      <c r="J232" s="66">
        <f>70/O1*O2</f>
        <v>142.85714285714286</v>
      </c>
      <c r="K232" s="66">
        <f>75/O1*O2</f>
        <v>153.06122448979593</v>
      </c>
      <c r="L232" s="66"/>
      <c r="M232" s="40"/>
      <c r="N232" s="40"/>
    </row>
    <row r="233" spans="1:14" x14ac:dyDescent="0.2">
      <c r="A233" s="24"/>
      <c r="B233" s="411" t="s">
        <v>67</v>
      </c>
      <c r="C233" s="411"/>
      <c r="D233" s="411"/>
      <c r="F233" s="16" t="s">
        <v>1182</v>
      </c>
      <c r="G233" s="16" t="s">
        <v>68</v>
      </c>
      <c r="H233" s="16" t="s">
        <v>702</v>
      </c>
      <c r="J233" s="66">
        <f>60/O1*O2</f>
        <v>122.44897959183673</v>
      </c>
      <c r="K233" s="66">
        <f>63.5/O1*O2</f>
        <v>129.59183673469389</v>
      </c>
      <c r="L233" s="66"/>
      <c r="M233" s="40"/>
      <c r="N233" s="40"/>
    </row>
    <row r="234" spans="1:14" ht="13.5" thickBot="1" x14ac:dyDescent="0.25">
      <c r="A234" s="28"/>
      <c r="B234" s="418" t="s">
        <v>902</v>
      </c>
      <c r="C234" s="418"/>
      <c r="D234" s="418"/>
      <c r="E234" s="30"/>
      <c r="F234" s="30"/>
      <c r="G234" s="30"/>
      <c r="H234" s="30" t="s">
        <v>702</v>
      </c>
      <c r="I234" s="30"/>
      <c r="J234" s="67">
        <f>33/O1*O2</f>
        <v>67.34693877551021</v>
      </c>
      <c r="K234" s="67">
        <f>33/O1*O2</f>
        <v>67.34693877551021</v>
      </c>
      <c r="L234" s="67"/>
      <c r="M234" s="42"/>
      <c r="N234" s="42"/>
    </row>
    <row r="244" spans="1:14" ht="13.5" thickBot="1" x14ac:dyDescent="0.25">
      <c r="A244" s="17"/>
      <c r="B244" s="17"/>
      <c r="C244" s="17"/>
      <c r="D244" s="17"/>
      <c r="E244" s="17"/>
      <c r="F244" s="17"/>
      <c r="G244" s="17"/>
      <c r="H244" s="17"/>
      <c r="I244" s="17"/>
      <c r="J244" s="17"/>
      <c r="K244" s="17"/>
      <c r="L244" s="17"/>
      <c r="M244" s="17"/>
      <c r="N244" s="17"/>
    </row>
    <row r="245" spans="1:14" x14ac:dyDescent="0.2">
      <c r="A245" s="20"/>
      <c r="B245" s="21"/>
      <c r="C245" s="21"/>
      <c r="D245" s="21"/>
      <c r="E245" s="22"/>
      <c r="F245" s="22"/>
      <c r="G245" s="22"/>
      <c r="H245" s="22"/>
      <c r="I245" s="22"/>
      <c r="J245" s="22"/>
      <c r="K245" s="22"/>
      <c r="L245" s="22"/>
      <c r="M245" s="22"/>
      <c r="N245" s="23"/>
    </row>
    <row r="246" spans="1:14" ht="15" x14ac:dyDescent="0.2">
      <c r="A246" s="24"/>
      <c r="B246" s="413" t="s">
        <v>1</v>
      </c>
      <c r="C246" s="414"/>
      <c r="D246" s="414"/>
      <c r="E246" s="414"/>
      <c r="F246" s="414"/>
      <c r="G246" s="414"/>
      <c r="H246" s="414"/>
      <c r="I246" s="414"/>
      <c r="J246" s="414"/>
      <c r="K246" s="414"/>
      <c r="L246" s="414"/>
      <c r="M246" s="415"/>
      <c r="N246" s="25" t="s">
        <v>904</v>
      </c>
    </row>
    <row r="247" spans="1:14" x14ac:dyDescent="0.2">
      <c r="A247" s="24"/>
      <c r="B247" s="26" t="s">
        <v>428</v>
      </c>
      <c r="C247" s="15" t="s">
        <v>2</v>
      </c>
      <c r="N247" s="27"/>
    </row>
    <row r="248" spans="1:14" x14ac:dyDescent="0.2">
      <c r="A248" s="24"/>
      <c r="B248" s="26" t="s">
        <v>429</v>
      </c>
      <c r="C248" s="15" t="s">
        <v>3</v>
      </c>
      <c r="N248" s="27"/>
    </row>
    <row r="249" spans="1:14" x14ac:dyDescent="0.2">
      <c r="A249" s="24"/>
      <c r="B249" s="26" t="s">
        <v>427</v>
      </c>
      <c r="C249" s="416" t="s">
        <v>1121</v>
      </c>
      <c r="D249" s="416"/>
      <c r="E249" s="416"/>
      <c r="F249" s="416"/>
      <c r="G249" s="416"/>
      <c r="H249" s="416"/>
      <c r="I249" s="416"/>
      <c r="J249" s="416"/>
      <c r="K249" s="416"/>
      <c r="L249" s="416"/>
      <c r="M249" s="416"/>
      <c r="N249" s="417"/>
    </row>
    <row r="250" spans="1:14" x14ac:dyDescent="0.2">
      <c r="A250" s="24"/>
      <c r="C250" s="416"/>
      <c r="D250" s="416"/>
      <c r="E250" s="416"/>
      <c r="F250" s="416"/>
      <c r="G250" s="416"/>
      <c r="H250" s="416"/>
      <c r="I250" s="416"/>
      <c r="J250" s="416"/>
      <c r="K250" s="416"/>
      <c r="L250" s="416"/>
      <c r="M250" s="416"/>
      <c r="N250" s="417"/>
    </row>
    <row r="251" spans="1:14" x14ac:dyDescent="0.2">
      <c r="A251" s="24"/>
      <c r="C251" s="419"/>
      <c r="D251" s="419"/>
      <c r="E251" s="419"/>
      <c r="F251" s="419"/>
      <c r="G251" s="419"/>
      <c r="H251" s="419"/>
      <c r="I251" s="419"/>
      <c r="J251" s="419"/>
      <c r="K251" s="419"/>
      <c r="L251" s="419"/>
      <c r="M251" s="419"/>
      <c r="N251" s="420"/>
    </row>
    <row r="252" spans="1:14" x14ac:dyDescent="0.2">
      <c r="A252" s="24"/>
      <c r="B252" s="26" t="s">
        <v>426</v>
      </c>
      <c r="C252" s="15" t="s">
        <v>1359</v>
      </c>
      <c r="N252" s="27"/>
    </row>
    <row r="253" spans="1:14" ht="13.5" thickBot="1" x14ac:dyDescent="0.25">
      <c r="A253" s="28"/>
      <c r="B253" s="43" t="s">
        <v>430</v>
      </c>
      <c r="C253" s="29"/>
      <c r="D253" s="29"/>
      <c r="E253" s="30"/>
      <c r="F253" s="30"/>
      <c r="G253" s="30"/>
      <c r="H253" s="30"/>
      <c r="I253" s="30"/>
      <c r="J253" s="30"/>
      <c r="K253" s="30"/>
      <c r="L253" s="30"/>
      <c r="M253" s="30"/>
      <c r="N253" s="31"/>
    </row>
    <row r="254" spans="1:14" x14ac:dyDescent="0.2">
      <c r="A254" s="20"/>
      <c r="B254" s="51" t="s">
        <v>263</v>
      </c>
      <c r="C254" s="21"/>
      <c r="D254" s="21"/>
      <c r="E254" s="22"/>
      <c r="F254" s="22"/>
      <c r="G254" s="22"/>
      <c r="H254" s="22"/>
      <c r="I254" s="22"/>
      <c r="J254" s="33"/>
      <c r="K254" s="33" t="s">
        <v>758</v>
      </c>
      <c r="L254" s="33" t="s">
        <v>279</v>
      </c>
      <c r="M254" s="33"/>
      <c r="N254" s="33"/>
    </row>
    <row r="255" spans="1:14" x14ac:dyDescent="0.2">
      <c r="A255" s="24"/>
      <c r="J255" s="58" t="s">
        <v>2128</v>
      </c>
      <c r="K255" s="58" t="s">
        <v>2129</v>
      </c>
      <c r="L255" s="55" t="s">
        <v>2130</v>
      </c>
      <c r="M255" s="55" t="s">
        <v>514</v>
      </c>
      <c r="N255" s="55"/>
    </row>
    <row r="256" spans="1:14" x14ac:dyDescent="0.2">
      <c r="A256" s="313"/>
      <c r="B256" s="426" t="s">
        <v>67</v>
      </c>
      <c r="C256" s="427"/>
      <c r="D256" s="427"/>
      <c r="E256" s="302"/>
      <c r="F256" s="302" t="s">
        <v>1180</v>
      </c>
      <c r="G256" s="302" t="s">
        <v>68</v>
      </c>
      <c r="H256" s="302" t="s">
        <v>702</v>
      </c>
      <c r="I256" s="302"/>
      <c r="J256" s="303">
        <f>116.5/O1*O2</f>
        <v>237.75510204081633</v>
      </c>
      <c r="K256" s="303">
        <f>138.5/O1*O2</f>
        <v>282.65306122448982</v>
      </c>
      <c r="L256" s="303">
        <f>149.8/O1*O2</f>
        <v>305.71428571428572</v>
      </c>
      <c r="M256" s="304">
        <f>183/O1*O2</f>
        <v>373.46938775510205</v>
      </c>
      <c r="N256" s="305"/>
    </row>
    <row r="257" spans="1:14" x14ac:dyDescent="0.2">
      <c r="A257" s="314"/>
      <c r="B257" s="425" t="s">
        <v>67</v>
      </c>
      <c r="C257" s="411"/>
      <c r="D257" s="411"/>
      <c r="F257" s="16" t="s">
        <v>1181</v>
      </c>
      <c r="G257" s="16" t="s">
        <v>68</v>
      </c>
      <c r="H257" s="16" t="s">
        <v>702</v>
      </c>
      <c r="J257" s="66">
        <f>63.5/O1*O2</f>
        <v>129.59183673469389</v>
      </c>
      <c r="K257" s="66">
        <f>74.5/O1*O2</f>
        <v>152.0408163265306</v>
      </c>
      <c r="L257" s="66">
        <f>82.9/O1*O2</f>
        <v>169.18367346938777</v>
      </c>
      <c r="M257" s="40">
        <f>95/O1*O2</f>
        <v>193.87755102040816</v>
      </c>
      <c r="N257" s="306"/>
    </row>
    <row r="258" spans="1:14" x14ac:dyDescent="0.2">
      <c r="A258" s="315"/>
      <c r="B258" s="423" t="s">
        <v>67</v>
      </c>
      <c r="C258" s="424"/>
      <c r="D258" s="424"/>
      <c r="E258" s="309"/>
      <c r="F258" s="309" t="s">
        <v>1182</v>
      </c>
      <c r="G258" s="309" t="s">
        <v>68</v>
      </c>
      <c r="H258" s="309" t="s">
        <v>702</v>
      </c>
      <c r="I258" s="309"/>
      <c r="J258" s="310">
        <f>54.6/O1*O2</f>
        <v>111.42857142857143</v>
      </c>
      <c r="K258" s="310">
        <f>63.6/O1*O2</f>
        <v>129.79591836734696</v>
      </c>
      <c r="L258" s="310">
        <f>69.5/O1*O2</f>
        <v>141.83673469387756</v>
      </c>
      <c r="M258" s="311">
        <f>78/O1*O2</f>
        <v>159.18367346938777</v>
      </c>
      <c r="N258" s="312"/>
    </row>
    <row r="259" spans="1:14" ht="13.5" thickBot="1" x14ac:dyDescent="0.25">
      <c r="J259" s="68"/>
      <c r="K259" s="68"/>
      <c r="L259" s="68"/>
      <c r="M259" s="47"/>
      <c r="N259" s="47"/>
    </row>
    <row r="260" spans="1:14" x14ac:dyDescent="0.2">
      <c r="A260" s="20"/>
      <c r="B260" s="21"/>
      <c r="C260" s="21"/>
      <c r="D260" s="21"/>
      <c r="E260" s="22"/>
      <c r="F260" s="22"/>
      <c r="G260" s="22"/>
      <c r="H260" s="22"/>
      <c r="I260" s="22"/>
      <c r="J260" s="69"/>
      <c r="K260" s="69"/>
      <c r="L260" s="69"/>
      <c r="M260" s="69"/>
      <c r="N260" s="70"/>
    </row>
    <row r="261" spans="1:14" ht="15" x14ac:dyDescent="0.2">
      <c r="A261" s="24"/>
      <c r="B261" s="413" t="s">
        <v>267</v>
      </c>
      <c r="C261" s="414"/>
      <c r="D261" s="414"/>
      <c r="E261" s="414"/>
      <c r="F261" s="414"/>
      <c r="G261" s="414"/>
      <c r="H261" s="414"/>
      <c r="I261" s="414"/>
      <c r="J261" s="414"/>
      <c r="K261" s="414"/>
      <c r="L261" s="414"/>
      <c r="M261" s="415"/>
      <c r="N261" s="25" t="s">
        <v>904</v>
      </c>
    </row>
    <row r="262" spans="1:14" x14ac:dyDescent="0.2">
      <c r="A262" s="24"/>
      <c r="B262" s="26" t="s">
        <v>428</v>
      </c>
      <c r="C262" s="15" t="s">
        <v>269</v>
      </c>
      <c r="N262" s="27"/>
    </row>
    <row r="263" spans="1:14" x14ac:dyDescent="0.2">
      <c r="A263" s="24"/>
      <c r="B263" s="26" t="s">
        <v>429</v>
      </c>
      <c r="C263" s="15" t="s">
        <v>270</v>
      </c>
      <c r="N263" s="27"/>
    </row>
    <row r="264" spans="1:14" x14ac:dyDescent="0.2">
      <c r="A264" s="24"/>
      <c r="B264" s="26" t="s">
        <v>427</v>
      </c>
      <c r="C264" s="416" t="s">
        <v>1200</v>
      </c>
      <c r="D264" s="416"/>
      <c r="E264" s="416"/>
      <c r="F264" s="416"/>
      <c r="G264" s="416"/>
      <c r="H264" s="416"/>
      <c r="I264" s="416"/>
      <c r="J264" s="416"/>
      <c r="K264" s="416"/>
      <c r="L264" s="416"/>
      <c r="M264" s="416"/>
      <c r="N264" s="417"/>
    </row>
    <row r="265" spans="1:14" x14ac:dyDescent="0.2">
      <c r="A265" s="24"/>
      <c r="C265" s="416"/>
      <c r="D265" s="416"/>
      <c r="E265" s="416"/>
      <c r="F265" s="416"/>
      <c r="G265" s="416"/>
      <c r="H265" s="416"/>
      <c r="I265" s="416"/>
      <c r="J265" s="416"/>
      <c r="K265" s="416"/>
      <c r="L265" s="416"/>
      <c r="M265" s="416"/>
      <c r="N265" s="417"/>
    </row>
    <row r="266" spans="1:14" x14ac:dyDescent="0.2">
      <c r="A266" s="24"/>
      <c r="C266" s="416"/>
      <c r="D266" s="416"/>
      <c r="E266" s="416"/>
      <c r="F266" s="416"/>
      <c r="G266" s="416"/>
      <c r="H266" s="416"/>
      <c r="I266" s="416"/>
      <c r="J266" s="416"/>
      <c r="K266" s="416"/>
      <c r="L266" s="416"/>
      <c r="M266" s="416"/>
      <c r="N266" s="417"/>
    </row>
    <row r="267" spans="1:14" x14ac:dyDescent="0.2">
      <c r="A267" s="24"/>
      <c r="C267" s="419"/>
      <c r="D267" s="419"/>
      <c r="E267" s="419"/>
      <c r="F267" s="419"/>
      <c r="G267" s="419"/>
      <c r="H267" s="419"/>
      <c r="I267" s="419"/>
      <c r="J267" s="419"/>
      <c r="K267" s="419"/>
      <c r="L267" s="419"/>
      <c r="M267" s="419"/>
      <c r="N267" s="420"/>
    </row>
    <row r="268" spans="1:14" x14ac:dyDescent="0.2">
      <c r="A268" s="24"/>
      <c r="B268" s="26" t="s">
        <v>426</v>
      </c>
      <c r="N268" s="27"/>
    </row>
    <row r="269" spans="1:14" ht="13.5" thickBot="1" x14ac:dyDescent="0.25">
      <c r="A269" s="28"/>
      <c r="B269" s="26" t="s">
        <v>430</v>
      </c>
      <c r="C269" s="29" t="s">
        <v>1499</v>
      </c>
      <c r="D269" s="29"/>
      <c r="E269" s="30"/>
      <c r="F269" s="30"/>
      <c r="G269" s="30"/>
      <c r="H269" s="30"/>
      <c r="I269" s="30"/>
      <c r="J269" s="30"/>
      <c r="K269" s="30"/>
      <c r="L269" s="30"/>
      <c r="M269" s="30"/>
      <c r="N269" s="31"/>
    </row>
    <row r="270" spans="1:14" x14ac:dyDescent="0.2">
      <c r="A270" s="20"/>
      <c r="B270" s="21" t="s">
        <v>263</v>
      </c>
      <c r="C270" s="21"/>
      <c r="D270" s="21"/>
      <c r="E270" s="22"/>
      <c r="F270" s="22"/>
      <c r="G270" s="22"/>
      <c r="H270" s="22"/>
      <c r="I270" s="22"/>
      <c r="J270" s="32" t="s">
        <v>907</v>
      </c>
      <c r="K270" s="33" t="s">
        <v>753</v>
      </c>
      <c r="L270" s="33"/>
      <c r="M270" s="33"/>
      <c r="N270" s="33"/>
    </row>
    <row r="271" spans="1:14" x14ac:dyDescent="0.2">
      <c r="A271" s="24"/>
      <c r="J271" s="58" t="s">
        <v>76</v>
      </c>
      <c r="K271" s="55" t="s">
        <v>514</v>
      </c>
      <c r="L271" s="55" t="s">
        <v>513</v>
      </c>
      <c r="M271" s="55"/>
      <c r="N271" s="55"/>
    </row>
    <row r="272" spans="1:14" ht="13.5" thickBot="1" x14ac:dyDescent="0.25">
      <c r="A272" s="28"/>
      <c r="C272" s="29"/>
      <c r="D272" s="29"/>
      <c r="E272" s="30"/>
      <c r="F272" s="30"/>
      <c r="G272" s="30"/>
      <c r="H272" s="30"/>
      <c r="I272" s="30"/>
      <c r="J272" s="44"/>
      <c r="K272" s="36" t="s">
        <v>77</v>
      </c>
      <c r="L272" s="36" t="s">
        <v>612</v>
      </c>
      <c r="M272" s="36"/>
      <c r="N272" s="36"/>
    </row>
    <row r="273" spans="1:18" x14ac:dyDescent="0.2">
      <c r="A273" s="20"/>
      <c r="B273" s="412" t="s">
        <v>67</v>
      </c>
      <c r="C273" s="412"/>
      <c r="D273" s="412"/>
      <c r="E273" s="22"/>
      <c r="F273" s="22" t="s">
        <v>1180</v>
      </c>
      <c r="G273" s="22" t="s">
        <v>68</v>
      </c>
      <c r="H273" s="22" t="s">
        <v>702</v>
      </c>
      <c r="I273" s="22"/>
      <c r="J273" s="65">
        <f>85/O1*O2</f>
        <v>173.46938775510205</v>
      </c>
      <c r="K273" s="65">
        <f>105/O1*O2</f>
        <v>214.28571428571428</v>
      </c>
      <c r="L273" s="65">
        <f>135/O1*O2</f>
        <v>275.51020408163265</v>
      </c>
      <c r="M273" s="38"/>
      <c r="N273" s="38"/>
    </row>
    <row r="274" spans="1:18" x14ac:dyDescent="0.2">
      <c r="A274" s="24"/>
      <c r="B274" s="411" t="s">
        <v>67</v>
      </c>
      <c r="C274" s="411"/>
      <c r="D274" s="411"/>
      <c r="F274" s="16" t="s">
        <v>1181</v>
      </c>
      <c r="G274" s="16" t="s">
        <v>68</v>
      </c>
      <c r="H274" s="16" t="s">
        <v>702</v>
      </c>
      <c r="J274" s="66">
        <f>45/O1*O2</f>
        <v>91.83673469387756</v>
      </c>
      <c r="K274" s="66">
        <f>55/O1*O2</f>
        <v>112.24489795918367</v>
      </c>
      <c r="L274" s="66">
        <f>70/O1*O2</f>
        <v>142.85714285714286</v>
      </c>
      <c r="M274" s="40"/>
      <c r="N274" s="40"/>
    </row>
    <row r="275" spans="1:18" x14ac:dyDescent="0.2">
      <c r="A275" s="24"/>
      <c r="B275" s="411" t="s">
        <v>67</v>
      </c>
      <c r="C275" s="411"/>
      <c r="D275" s="411"/>
      <c r="F275" s="16" t="s">
        <v>1182</v>
      </c>
      <c r="G275" s="16" t="s">
        <v>68</v>
      </c>
      <c r="H275" s="16" t="s">
        <v>702</v>
      </c>
      <c r="J275" s="66">
        <f>43.5/O1*O2</f>
        <v>88.775510204081641</v>
      </c>
      <c r="K275" s="66">
        <f>50/O1*O2</f>
        <v>102.04081632653062</v>
      </c>
      <c r="L275" s="66">
        <f>60/O1*O2</f>
        <v>122.44897959183673</v>
      </c>
      <c r="M275" s="40"/>
      <c r="N275" s="40"/>
    </row>
    <row r="276" spans="1:18" ht="13.5" thickBot="1" x14ac:dyDescent="0.25">
      <c r="A276" s="28"/>
      <c r="B276" s="418" t="s">
        <v>902</v>
      </c>
      <c r="C276" s="418"/>
      <c r="D276" s="418"/>
      <c r="E276" s="30"/>
      <c r="F276" s="30"/>
      <c r="G276" s="30"/>
      <c r="H276" s="30" t="s">
        <v>702</v>
      </c>
      <c r="I276" s="30"/>
      <c r="J276" s="67">
        <f>40/O1*O2</f>
        <v>81.632653061224488</v>
      </c>
      <c r="K276" s="67">
        <f>40/O1*O2</f>
        <v>81.632653061224488</v>
      </c>
      <c r="L276" s="67">
        <f>40/O1*O2</f>
        <v>81.632653061224488</v>
      </c>
      <c r="M276" s="42"/>
      <c r="N276" s="42"/>
    </row>
    <row r="277" spans="1:18" x14ac:dyDescent="0.2">
      <c r="J277" s="68"/>
      <c r="K277" s="68"/>
      <c r="L277" s="68"/>
      <c r="M277" s="47"/>
      <c r="N277" s="47"/>
    </row>
    <row r="278" spans="1:18" x14ac:dyDescent="0.2">
      <c r="J278" s="68"/>
      <c r="K278" s="68"/>
      <c r="L278" s="68"/>
      <c r="M278" s="47"/>
      <c r="N278" s="47"/>
    </row>
    <row r="279" spans="1:18" x14ac:dyDescent="0.2">
      <c r="J279" s="68"/>
      <c r="K279" s="68"/>
      <c r="L279" s="68"/>
      <c r="M279" s="47"/>
      <c r="N279" s="47"/>
    </row>
    <row r="280" spans="1:18" x14ac:dyDescent="0.2">
      <c r="J280" s="68"/>
      <c r="K280" s="68"/>
      <c r="L280" s="68"/>
      <c r="M280" s="47"/>
      <c r="N280" s="47"/>
    </row>
    <row r="281" spans="1:18" x14ac:dyDescent="0.2">
      <c r="J281" s="47"/>
      <c r="K281" s="47"/>
      <c r="L281" s="47"/>
      <c r="M281" s="47"/>
      <c r="N281" s="47"/>
    </row>
    <row r="283" spans="1:18" ht="13.5" thickBot="1" x14ac:dyDescent="0.25">
      <c r="P283" s="52"/>
      <c r="Q283" s="52"/>
      <c r="R283" s="52"/>
    </row>
    <row r="284" spans="1:18" x14ac:dyDescent="0.2">
      <c r="A284" s="20"/>
      <c r="B284" s="21"/>
      <c r="C284" s="21"/>
      <c r="D284" s="21"/>
      <c r="E284" s="22"/>
      <c r="F284" s="22"/>
      <c r="G284" s="22"/>
      <c r="H284" s="22"/>
      <c r="I284" s="22"/>
      <c r="J284" s="22"/>
      <c r="K284" s="22"/>
      <c r="L284" s="22"/>
      <c r="M284" s="22"/>
      <c r="N284" s="23"/>
      <c r="P284" s="52"/>
      <c r="Q284" s="52"/>
      <c r="R284" s="52"/>
    </row>
    <row r="285" spans="1:18" ht="15" x14ac:dyDescent="0.2">
      <c r="A285" s="24"/>
      <c r="B285" s="413" t="s">
        <v>268</v>
      </c>
      <c r="C285" s="414"/>
      <c r="D285" s="414"/>
      <c r="E285" s="414"/>
      <c r="F285" s="414"/>
      <c r="G285" s="414"/>
      <c r="H285" s="414"/>
      <c r="I285" s="414"/>
      <c r="J285" s="414"/>
      <c r="K285" s="414"/>
      <c r="L285" s="414"/>
      <c r="M285" s="415"/>
      <c r="N285" s="25" t="s">
        <v>904</v>
      </c>
      <c r="P285" s="52"/>
      <c r="Q285" s="52"/>
      <c r="R285" s="52"/>
    </row>
    <row r="286" spans="1:18" x14ac:dyDescent="0.2">
      <c r="A286" s="24"/>
      <c r="B286" s="26" t="s">
        <v>428</v>
      </c>
      <c r="C286" s="15" t="s">
        <v>767</v>
      </c>
      <c r="N286" s="27"/>
      <c r="P286" s="52"/>
      <c r="Q286" s="52"/>
      <c r="R286" s="52"/>
    </row>
    <row r="287" spans="1:18" x14ac:dyDescent="0.2">
      <c r="A287" s="24"/>
      <c r="B287" s="26" t="s">
        <v>429</v>
      </c>
      <c r="C287" s="15" t="s">
        <v>768</v>
      </c>
      <c r="N287" s="27"/>
      <c r="P287" s="52"/>
      <c r="Q287" s="52"/>
      <c r="R287" s="52"/>
    </row>
    <row r="288" spans="1:18" x14ac:dyDescent="0.2">
      <c r="A288" s="24"/>
      <c r="B288" s="26" t="s">
        <v>427</v>
      </c>
      <c r="C288" s="416" t="s">
        <v>1201</v>
      </c>
      <c r="D288" s="416"/>
      <c r="E288" s="416"/>
      <c r="F288" s="416"/>
      <c r="G288" s="416"/>
      <c r="H288" s="416"/>
      <c r="I288" s="416"/>
      <c r="J288" s="416"/>
      <c r="K288" s="416"/>
      <c r="L288" s="416"/>
      <c r="M288" s="416"/>
      <c r="N288" s="417"/>
      <c r="P288" s="52"/>
      <c r="Q288" s="52"/>
      <c r="R288" s="52"/>
    </row>
    <row r="289" spans="1:18" x14ac:dyDescent="0.2">
      <c r="A289" s="24"/>
      <c r="C289" s="416"/>
      <c r="D289" s="416"/>
      <c r="E289" s="416"/>
      <c r="F289" s="416"/>
      <c r="G289" s="416"/>
      <c r="H289" s="416"/>
      <c r="I289" s="416"/>
      <c r="J289" s="416"/>
      <c r="K289" s="416"/>
      <c r="L289" s="416"/>
      <c r="M289" s="416"/>
      <c r="N289" s="417"/>
      <c r="P289" s="52"/>
      <c r="Q289" s="52"/>
      <c r="R289" s="52"/>
    </row>
    <row r="290" spans="1:18" x14ac:dyDescent="0.2">
      <c r="A290" s="24"/>
      <c r="C290" s="416"/>
      <c r="D290" s="416"/>
      <c r="E290" s="416"/>
      <c r="F290" s="416"/>
      <c r="G290" s="416"/>
      <c r="H290" s="416"/>
      <c r="I290" s="416"/>
      <c r="J290" s="416"/>
      <c r="K290" s="416"/>
      <c r="L290" s="416"/>
      <c r="M290" s="416"/>
      <c r="N290" s="417"/>
      <c r="P290" s="52"/>
      <c r="Q290" s="52"/>
      <c r="R290" s="52"/>
    </row>
    <row r="291" spans="1:18" x14ac:dyDescent="0.2">
      <c r="A291" s="24"/>
      <c r="C291" s="416"/>
      <c r="D291" s="416"/>
      <c r="E291" s="416"/>
      <c r="F291" s="416"/>
      <c r="G291" s="416"/>
      <c r="H291" s="416"/>
      <c r="I291" s="416"/>
      <c r="J291" s="416"/>
      <c r="K291" s="416"/>
      <c r="L291" s="416"/>
      <c r="M291" s="416"/>
      <c r="N291" s="417"/>
      <c r="P291" s="52"/>
      <c r="Q291" s="52"/>
      <c r="R291" s="52"/>
    </row>
    <row r="292" spans="1:18" x14ac:dyDescent="0.2">
      <c r="A292" s="24"/>
      <c r="B292" s="26" t="s">
        <v>426</v>
      </c>
      <c r="C292" s="53"/>
      <c r="D292" s="53"/>
      <c r="E292" s="53"/>
      <c r="F292" s="53"/>
      <c r="G292" s="53"/>
      <c r="H292" s="53"/>
      <c r="I292" s="53"/>
      <c r="J292" s="53"/>
      <c r="K292" s="53"/>
      <c r="L292" s="53"/>
      <c r="M292" s="53"/>
      <c r="N292" s="27"/>
    </row>
    <row r="293" spans="1:18" ht="13.5" thickBot="1" x14ac:dyDescent="0.25">
      <c r="A293" s="28"/>
      <c r="B293" s="26" t="s">
        <v>430</v>
      </c>
      <c r="C293" s="29"/>
      <c r="D293" s="29"/>
      <c r="E293" s="29"/>
      <c r="F293" s="29"/>
      <c r="G293" s="29"/>
      <c r="H293" s="29"/>
      <c r="I293" s="30"/>
      <c r="J293" s="30"/>
      <c r="K293" s="30"/>
      <c r="L293" s="30"/>
      <c r="M293" s="30"/>
      <c r="N293" s="31"/>
    </row>
    <row r="294" spans="1:18" x14ac:dyDescent="0.2">
      <c r="A294" s="20"/>
      <c r="B294" s="21" t="s">
        <v>263</v>
      </c>
      <c r="C294" s="21"/>
      <c r="D294" s="21"/>
      <c r="E294" s="22"/>
      <c r="F294" s="22"/>
      <c r="G294" s="22"/>
      <c r="H294" s="22"/>
      <c r="I294" s="22"/>
      <c r="J294" s="33" t="s">
        <v>753</v>
      </c>
      <c r="K294" s="33" t="s">
        <v>513</v>
      </c>
      <c r="L294" s="33"/>
      <c r="M294" s="33"/>
      <c r="N294" s="33"/>
    </row>
    <row r="295" spans="1:18" ht="13.5" thickBot="1" x14ac:dyDescent="0.25">
      <c r="A295" s="24"/>
      <c r="J295" s="36" t="s">
        <v>1341</v>
      </c>
      <c r="K295" s="36" t="s">
        <v>612</v>
      </c>
      <c r="L295" s="36" t="s">
        <v>123</v>
      </c>
      <c r="M295" s="36"/>
      <c r="N295" s="36"/>
    </row>
    <row r="296" spans="1:18" x14ac:dyDescent="0.2">
      <c r="A296" s="20"/>
      <c r="B296" s="412" t="s">
        <v>67</v>
      </c>
      <c r="C296" s="412"/>
      <c r="D296" s="412"/>
      <c r="E296" s="22"/>
      <c r="F296" s="22" t="s">
        <v>1180</v>
      </c>
      <c r="G296" s="22" t="s">
        <v>68</v>
      </c>
      <c r="H296" s="22" t="s">
        <v>702</v>
      </c>
      <c r="I296" s="22"/>
      <c r="J296" s="66">
        <f>113.5/O1*O2</f>
        <v>231.63265306122449</v>
      </c>
      <c r="K296" s="66">
        <f>147.5/O1*O2</f>
        <v>301.0204081632653</v>
      </c>
      <c r="L296" s="40">
        <f>96/O1*O2</f>
        <v>195.91836734693877</v>
      </c>
      <c r="M296" s="40"/>
      <c r="N296" s="38"/>
    </row>
    <row r="297" spans="1:18" x14ac:dyDescent="0.2">
      <c r="A297" s="24"/>
      <c r="B297" s="411" t="s">
        <v>67</v>
      </c>
      <c r="C297" s="411"/>
      <c r="D297" s="411"/>
      <c r="F297" s="16" t="s">
        <v>1181</v>
      </c>
      <c r="G297" s="16" t="s">
        <v>68</v>
      </c>
      <c r="H297" s="16" t="s">
        <v>702</v>
      </c>
      <c r="J297" s="66">
        <f>59.5/O1*O2</f>
        <v>121.42857142857143</v>
      </c>
      <c r="K297" s="66">
        <f>76.5/O1*O2</f>
        <v>156.12244897959184</v>
      </c>
      <c r="L297" s="40">
        <f>51/O1*O2</f>
        <v>104.08163265306122</v>
      </c>
      <c r="M297" s="40"/>
      <c r="N297" s="40"/>
    </row>
    <row r="298" spans="1:18" x14ac:dyDescent="0.2">
      <c r="A298" s="24"/>
      <c r="B298" s="411" t="s">
        <v>67</v>
      </c>
      <c r="C298" s="411"/>
      <c r="D298" s="411"/>
      <c r="F298" s="16" t="s">
        <v>1182</v>
      </c>
      <c r="G298" s="16" t="s">
        <v>68</v>
      </c>
      <c r="H298" s="16" t="s">
        <v>702</v>
      </c>
      <c r="I298" s="27"/>
      <c r="J298" s="66">
        <f>44.9/O1*O2</f>
        <v>91.632653061224488</v>
      </c>
      <c r="K298" s="66">
        <f>58.9/O1*O2</f>
        <v>120.20408163265306</v>
      </c>
      <c r="L298" s="40">
        <f>41/O1*O2</f>
        <v>83.673469387755105</v>
      </c>
      <c r="M298" s="40"/>
      <c r="N298" s="40"/>
    </row>
    <row r="299" spans="1:18" ht="13.5" thickBot="1" x14ac:dyDescent="0.25">
      <c r="A299" s="28"/>
      <c r="B299" s="29" t="s">
        <v>1446</v>
      </c>
      <c r="C299" s="29"/>
      <c r="D299" s="29"/>
      <c r="E299" s="30"/>
      <c r="F299" s="30"/>
      <c r="G299" s="30"/>
      <c r="H299" s="30"/>
      <c r="I299" s="30"/>
      <c r="J299" s="67">
        <f>35/O1*O2</f>
        <v>71.428571428571431</v>
      </c>
      <c r="K299" s="67">
        <f>35/O1*O2</f>
        <v>71.428571428571431</v>
      </c>
      <c r="L299" s="40">
        <f>35/O1*O2</f>
        <v>71.428571428571431</v>
      </c>
      <c r="M299" s="40"/>
      <c r="N299" s="40"/>
    </row>
    <row r="300" spans="1:18" ht="13.5" thickBot="1" x14ac:dyDescent="0.25">
      <c r="A300" s="28"/>
      <c r="B300" s="29" t="s">
        <v>125</v>
      </c>
      <c r="C300" s="71"/>
      <c r="D300" s="71"/>
      <c r="E300" s="71"/>
      <c r="F300" s="71"/>
      <c r="G300" s="71"/>
      <c r="H300" s="71"/>
      <c r="I300" s="71"/>
      <c r="J300" s="71"/>
      <c r="K300" s="71"/>
      <c r="L300" s="72"/>
      <c r="M300" s="72"/>
      <c r="N300" s="73"/>
    </row>
    <row r="301" spans="1:18" ht="13.5" thickBot="1" x14ac:dyDescent="0.25"/>
    <row r="302" spans="1:18" x14ac:dyDescent="0.2">
      <c r="A302" s="20"/>
      <c r="B302" s="21"/>
      <c r="C302" s="21"/>
      <c r="D302" s="21"/>
      <c r="E302" s="22"/>
      <c r="F302" s="22"/>
      <c r="G302" s="22"/>
      <c r="H302" s="22"/>
      <c r="I302" s="22"/>
      <c r="J302" s="22"/>
      <c r="K302" s="22"/>
      <c r="L302" s="22"/>
      <c r="M302" s="22"/>
      <c r="N302" s="23"/>
    </row>
    <row r="303" spans="1:18" ht="15" x14ac:dyDescent="0.2">
      <c r="A303" s="24"/>
      <c r="B303" s="413" t="s">
        <v>727</v>
      </c>
      <c r="C303" s="414"/>
      <c r="D303" s="414"/>
      <c r="E303" s="414"/>
      <c r="F303" s="414"/>
      <c r="G303" s="414"/>
      <c r="H303" s="414"/>
      <c r="I303" s="414"/>
      <c r="J303" s="414"/>
      <c r="K303" s="414"/>
      <c r="L303" s="414"/>
      <c r="M303" s="415"/>
      <c r="N303" s="25" t="s">
        <v>91</v>
      </c>
    </row>
    <row r="304" spans="1:18" x14ac:dyDescent="0.2">
      <c r="A304" s="24"/>
      <c r="B304" s="26" t="s">
        <v>428</v>
      </c>
      <c r="C304" s="15" t="s">
        <v>728</v>
      </c>
      <c r="N304" s="27"/>
    </row>
    <row r="305" spans="1:14" x14ac:dyDescent="0.2">
      <c r="A305" s="24"/>
      <c r="B305" s="26" t="s">
        <v>429</v>
      </c>
      <c r="C305" s="15" t="s">
        <v>729</v>
      </c>
      <c r="N305" s="27"/>
    </row>
    <row r="306" spans="1:14" x14ac:dyDescent="0.2">
      <c r="A306" s="24"/>
      <c r="B306" s="26" t="s">
        <v>427</v>
      </c>
      <c r="C306" s="409" t="s">
        <v>1202</v>
      </c>
      <c r="D306" s="409"/>
      <c r="E306" s="409"/>
      <c r="F306" s="409"/>
      <c r="G306" s="409"/>
      <c r="H306" s="409"/>
      <c r="I306" s="409"/>
      <c r="J306" s="409"/>
      <c r="K306" s="409"/>
      <c r="L306" s="409"/>
      <c r="M306" s="409"/>
      <c r="N306" s="410"/>
    </row>
    <row r="307" spans="1:14" x14ac:dyDescent="0.2">
      <c r="A307" s="24"/>
      <c r="B307" s="26"/>
      <c r="C307" s="409"/>
      <c r="D307" s="409"/>
      <c r="E307" s="409"/>
      <c r="F307" s="409"/>
      <c r="G307" s="409"/>
      <c r="H307" s="409"/>
      <c r="I307" s="409"/>
      <c r="J307" s="409"/>
      <c r="K307" s="409"/>
      <c r="L307" s="409"/>
      <c r="M307" s="409"/>
      <c r="N307" s="410"/>
    </row>
    <row r="308" spans="1:14" x14ac:dyDescent="0.2">
      <c r="A308" s="24"/>
      <c r="C308" s="409"/>
      <c r="D308" s="409"/>
      <c r="E308" s="409"/>
      <c r="F308" s="409"/>
      <c r="G308" s="409"/>
      <c r="H308" s="409"/>
      <c r="I308" s="409"/>
      <c r="J308" s="409"/>
      <c r="K308" s="409"/>
      <c r="L308" s="409"/>
      <c r="M308" s="409"/>
      <c r="N308" s="410"/>
    </row>
    <row r="309" spans="1:14" x14ac:dyDescent="0.2">
      <c r="A309" s="24"/>
      <c r="B309" s="26" t="s">
        <v>426</v>
      </c>
      <c r="C309" s="15" t="s">
        <v>728</v>
      </c>
      <c r="N309" s="27"/>
    </row>
    <row r="310" spans="1:14" ht="13.5" thickBot="1" x14ac:dyDescent="0.25">
      <c r="A310" s="28"/>
      <c r="B310" s="26" t="s">
        <v>430</v>
      </c>
      <c r="C310" s="29"/>
      <c r="D310" s="29"/>
      <c r="E310" s="30"/>
      <c r="F310" s="30"/>
      <c r="G310" s="30"/>
      <c r="H310" s="30"/>
      <c r="I310" s="30"/>
      <c r="J310" s="30"/>
      <c r="K310" s="30"/>
      <c r="L310" s="30"/>
      <c r="M310" s="30"/>
      <c r="N310" s="31"/>
    </row>
    <row r="311" spans="1:14" x14ac:dyDescent="0.2">
      <c r="A311" s="20"/>
      <c r="B311" s="21" t="s">
        <v>263</v>
      </c>
      <c r="C311" s="21"/>
      <c r="D311" s="21"/>
      <c r="E311" s="22"/>
      <c r="F311" s="22"/>
      <c r="G311" s="22"/>
      <c r="H311" s="22"/>
      <c r="I311" s="22"/>
      <c r="J311" s="33"/>
      <c r="K311" s="33"/>
      <c r="L311" s="33"/>
      <c r="M311" s="33"/>
      <c r="N311" s="33"/>
    </row>
    <row r="312" spans="1:14" ht="13.5" thickBot="1" x14ac:dyDescent="0.25">
      <c r="A312" s="28"/>
      <c r="B312" s="29"/>
      <c r="C312" s="29"/>
      <c r="D312" s="29"/>
      <c r="E312" s="30"/>
      <c r="F312" s="30"/>
      <c r="G312" s="30"/>
      <c r="H312" s="30"/>
      <c r="I312" s="30"/>
      <c r="J312" s="36" t="s">
        <v>909</v>
      </c>
      <c r="K312" s="36"/>
      <c r="L312" s="36"/>
      <c r="M312" s="36"/>
      <c r="N312" s="36"/>
    </row>
    <row r="313" spans="1:14" x14ac:dyDescent="0.2">
      <c r="A313" s="20"/>
      <c r="B313" s="412" t="s">
        <v>760</v>
      </c>
      <c r="C313" s="412"/>
      <c r="D313" s="412"/>
      <c r="E313" s="22"/>
      <c r="F313" s="22" t="s">
        <v>1180</v>
      </c>
      <c r="G313" s="22" t="s">
        <v>68</v>
      </c>
      <c r="H313" s="22" t="s">
        <v>702</v>
      </c>
      <c r="I313" s="22"/>
      <c r="J313" s="65">
        <f>147.5/O1*O2</f>
        <v>301.0204081632653</v>
      </c>
      <c r="K313" s="65"/>
      <c r="L313" s="47"/>
      <c r="M313" s="38"/>
      <c r="N313" s="38"/>
    </row>
    <row r="314" spans="1:14" ht="13.5" thickBot="1" x14ac:dyDescent="0.25">
      <c r="A314" s="28"/>
      <c r="B314" s="418" t="s">
        <v>760</v>
      </c>
      <c r="C314" s="418"/>
      <c r="D314" s="418"/>
      <c r="E314" s="30"/>
      <c r="F314" s="30" t="s">
        <v>1181</v>
      </c>
      <c r="G314" s="30" t="s">
        <v>68</v>
      </c>
      <c r="H314" s="30" t="s">
        <v>702</v>
      </c>
      <c r="I314" s="30"/>
      <c r="J314" s="67">
        <f>73.8/O1*O2</f>
        <v>150.61224489795919</v>
      </c>
      <c r="K314" s="67"/>
      <c r="L314" s="42"/>
      <c r="M314" s="42"/>
      <c r="N314" s="42"/>
    </row>
    <row r="315" spans="1:14" ht="13.5" thickBot="1" x14ac:dyDescent="0.25"/>
    <row r="316" spans="1:14" x14ac:dyDescent="0.2">
      <c r="A316" s="20"/>
      <c r="B316" s="21"/>
      <c r="C316" s="21"/>
      <c r="D316" s="21"/>
      <c r="E316" s="22"/>
      <c r="F316" s="22"/>
      <c r="G316" s="22"/>
      <c r="H316" s="22"/>
      <c r="I316" s="22"/>
      <c r="J316" s="22"/>
      <c r="K316" s="22"/>
      <c r="L316" s="22"/>
      <c r="M316" s="22"/>
      <c r="N316" s="23"/>
    </row>
    <row r="317" spans="1:14" ht="15" x14ac:dyDescent="0.2">
      <c r="A317" s="24"/>
      <c r="B317" s="413" t="s">
        <v>613</v>
      </c>
      <c r="C317" s="414"/>
      <c r="D317" s="414"/>
      <c r="E317" s="414"/>
      <c r="F317" s="414"/>
      <c r="G317" s="414"/>
      <c r="H317" s="414"/>
      <c r="I317" s="414"/>
      <c r="J317" s="414"/>
      <c r="K317" s="414"/>
      <c r="L317" s="414"/>
      <c r="M317" s="415"/>
      <c r="N317" s="25" t="s">
        <v>905</v>
      </c>
    </row>
    <row r="318" spans="1:14" x14ac:dyDescent="0.2">
      <c r="A318" s="24"/>
      <c r="B318" s="26" t="s">
        <v>428</v>
      </c>
      <c r="C318" s="15" t="s">
        <v>614</v>
      </c>
      <c r="N318" s="27"/>
    </row>
    <row r="319" spans="1:14" x14ac:dyDescent="0.2">
      <c r="A319" s="24"/>
      <c r="B319" s="26" t="s">
        <v>429</v>
      </c>
      <c r="C319" s="15" t="s">
        <v>615</v>
      </c>
      <c r="N319" s="27"/>
    </row>
    <row r="320" spans="1:14" x14ac:dyDescent="0.2">
      <c r="A320" s="24"/>
      <c r="B320" s="26" t="s">
        <v>427</v>
      </c>
      <c r="C320" s="416" t="s">
        <v>1203</v>
      </c>
      <c r="D320" s="416"/>
      <c r="E320" s="416"/>
      <c r="F320" s="416"/>
      <c r="G320" s="416"/>
      <c r="H320" s="416"/>
      <c r="I320" s="416"/>
      <c r="J320" s="416"/>
      <c r="K320" s="416"/>
      <c r="L320" s="416"/>
      <c r="M320" s="416"/>
      <c r="N320" s="417"/>
    </row>
    <row r="321" spans="1:14" x14ac:dyDescent="0.2">
      <c r="A321" s="24"/>
      <c r="C321" s="416"/>
      <c r="D321" s="416"/>
      <c r="E321" s="416"/>
      <c r="F321" s="416"/>
      <c r="G321" s="416"/>
      <c r="H321" s="416"/>
      <c r="I321" s="416"/>
      <c r="J321" s="416"/>
      <c r="K321" s="416"/>
      <c r="L321" s="416"/>
      <c r="M321" s="416"/>
      <c r="N321" s="417"/>
    </row>
    <row r="322" spans="1:14" x14ac:dyDescent="0.2">
      <c r="A322" s="24"/>
      <c r="B322" s="26" t="s">
        <v>426</v>
      </c>
      <c r="H322" s="15"/>
      <c r="J322" s="15"/>
      <c r="N322" s="27"/>
    </row>
    <row r="323" spans="1:14" ht="13.5" thickBot="1" x14ac:dyDescent="0.25">
      <c r="A323" s="28"/>
      <c r="B323" s="26" t="s">
        <v>430</v>
      </c>
      <c r="C323" s="29"/>
      <c r="D323" s="29"/>
      <c r="E323" s="30"/>
      <c r="F323" s="30"/>
      <c r="G323" s="30"/>
      <c r="H323" s="30"/>
      <c r="I323" s="30"/>
      <c r="J323" s="30"/>
      <c r="K323" s="30"/>
      <c r="L323" s="30"/>
      <c r="M323" s="30"/>
      <c r="N323" s="31"/>
    </row>
    <row r="324" spans="1:14" x14ac:dyDescent="0.2">
      <c r="A324" s="20"/>
      <c r="B324" s="21" t="s">
        <v>263</v>
      </c>
      <c r="C324" s="21"/>
      <c r="D324" s="21"/>
      <c r="E324" s="22"/>
      <c r="F324" s="22"/>
      <c r="G324" s="22"/>
      <c r="H324" s="22"/>
      <c r="I324" s="22"/>
      <c r="J324" s="32" t="s">
        <v>753</v>
      </c>
      <c r="K324" s="33" t="s">
        <v>758</v>
      </c>
      <c r="L324" s="33"/>
      <c r="M324" s="33"/>
      <c r="N324" s="33"/>
    </row>
    <row r="325" spans="1:14" ht="13.5" thickBot="1" x14ac:dyDescent="0.25">
      <c r="A325" s="28"/>
      <c r="C325" s="29"/>
      <c r="D325" s="29"/>
      <c r="E325" s="30"/>
      <c r="F325" s="30"/>
      <c r="G325" s="30"/>
      <c r="H325" s="30"/>
      <c r="I325" s="30"/>
      <c r="J325" s="44" t="s">
        <v>481</v>
      </c>
      <c r="K325" s="36" t="s">
        <v>832</v>
      </c>
      <c r="L325" s="36" t="s">
        <v>1434</v>
      </c>
      <c r="M325" s="36" t="s">
        <v>1435</v>
      </c>
      <c r="N325" s="36"/>
    </row>
    <row r="326" spans="1:14" x14ac:dyDescent="0.2">
      <c r="A326" s="20"/>
      <c r="B326" s="412" t="s">
        <v>67</v>
      </c>
      <c r="C326" s="412"/>
      <c r="D326" s="412"/>
      <c r="E326" s="22"/>
      <c r="F326" s="22" t="s">
        <v>1180</v>
      </c>
      <c r="G326" s="22" t="s">
        <v>68</v>
      </c>
      <c r="H326" s="22" t="s">
        <v>702</v>
      </c>
      <c r="I326" s="22"/>
      <c r="J326" s="66">
        <f>92.5/O1*O2</f>
        <v>188.77551020408163</v>
      </c>
      <c r="K326" s="66">
        <f>110/O1*O2</f>
        <v>224.48979591836735</v>
      </c>
      <c r="L326" s="66">
        <f>127.6/O1*O2</f>
        <v>260.40816326530614</v>
      </c>
      <c r="M326" s="38">
        <f>136.5/O1*O2</f>
        <v>278.57142857142856</v>
      </c>
      <c r="N326" s="38"/>
    </row>
    <row r="327" spans="1:14" x14ac:dyDescent="0.2">
      <c r="A327" s="24"/>
      <c r="B327" s="411" t="s">
        <v>67</v>
      </c>
      <c r="C327" s="411"/>
      <c r="D327" s="411"/>
      <c r="F327" s="16" t="s">
        <v>1181</v>
      </c>
      <c r="G327" s="16" t="s">
        <v>68</v>
      </c>
      <c r="H327" s="16" t="s">
        <v>702</v>
      </c>
      <c r="J327" s="66">
        <f>55/O1*O2</f>
        <v>112.24489795918367</v>
      </c>
      <c r="K327" s="66">
        <f>63.8/O1*O2</f>
        <v>130.20408163265307</v>
      </c>
      <c r="L327" s="66">
        <f>70.5/O1*O2</f>
        <v>143.87755102040816</v>
      </c>
      <c r="M327" s="40">
        <f>75/O1*O2</f>
        <v>153.06122448979593</v>
      </c>
      <c r="N327" s="40"/>
    </row>
    <row r="328" spans="1:14" ht="13.5" thickBot="1" x14ac:dyDescent="0.25">
      <c r="A328" s="28"/>
      <c r="B328" s="418" t="s">
        <v>67</v>
      </c>
      <c r="C328" s="418"/>
      <c r="D328" s="418"/>
      <c r="E328" s="30"/>
      <c r="F328" s="30" t="s">
        <v>1182</v>
      </c>
      <c r="G328" s="30" t="s">
        <v>68</v>
      </c>
      <c r="H328" s="30" t="s">
        <v>702</v>
      </c>
      <c r="I328" s="30"/>
      <c r="J328" s="67">
        <f>42.5/O1*O2</f>
        <v>86.734693877551024</v>
      </c>
      <c r="K328" s="67">
        <f>48.5/O1*O2</f>
        <v>98.979591836734699</v>
      </c>
      <c r="L328" s="67">
        <f>52.8/O1*O2</f>
        <v>107.75510204081633</v>
      </c>
      <c r="M328" s="42">
        <f>56/O1*O2</f>
        <v>114.28571428571429</v>
      </c>
      <c r="N328" s="42"/>
    </row>
    <row r="332" spans="1:14" x14ac:dyDescent="0.2">
      <c r="A332" s="17"/>
      <c r="B332" s="17"/>
      <c r="C332" s="17"/>
      <c r="D332" s="17"/>
      <c r="E332" s="17"/>
      <c r="F332" s="17"/>
      <c r="G332" s="17"/>
      <c r="H332" s="17"/>
      <c r="I332" s="17"/>
      <c r="J332" s="17"/>
      <c r="K332" s="17"/>
      <c r="L332" s="17"/>
      <c r="M332" s="17"/>
      <c r="N332" s="17"/>
    </row>
    <row r="333" spans="1:14" ht="13.5" thickBot="1" x14ac:dyDescent="0.25">
      <c r="A333" s="17"/>
      <c r="B333" s="17"/>
      <c r="C333" s="17"/>
      <c r="D333" s="17"/>
      <c r="E333" s="17"/>
      <c r="F333" s="17"/>
      <c r="G333" s="17"/>
      <c r="H333" s="17"/>
      <c r="I333" s="17"/>
      <c r="J333" s="17"/>
      <c r="K333" s="17"/>
      <c r="L333" s="17"/>
      <c r="M333" s="17"/>
      <c r="N333" s="17"/>
    </row>
    <row r="334" spans="1:14" x14ac:dyDescent="0.2">
      <c r="A334" s="20"/>
      <c r="B334" s="21"/>
      <c r="C334" s="21"/>
      <c r="D334" s="21"/>
      <c r="E334" s="22"/>
      <c r="F334" s="22"/>
      <c r="G334" s="22"/>
      <c r="H334" s="22"/>
      <c r="I334" s="22"/>
      <c r="J334" s="22"/>
      <c r="K334" s="22"/>
      <c r="L334" s="22"/>
      <c r="M334" s="22"/>
      <c r="N334" s="23"/>
    </row>
    <row r="335" spans="1:14" ht="15" x14ac:dyDescent="0.2">
      <c r="A335" s="24"/>
      <c r="B335" s="413" t="s">
        <v>5</v>
      </c>
      <c r="C335" s="414"/>
      <c r="D335" s="414"/>
      <c r="E335" s="414"/>
      <c r="F335" s="414"/>
      <c r="G335" s="414"/>
      <c r="H335" s="414"/>
      <c r="I335" s="414"/>
      <c r="J335" s="414"/>
      <c r="K335" s="414"/>
      <c r="L335" s="414"/>
      <c r="M335" s="415"/>
      <c r="N335" s="25" t="s">
        <v>905</v>
      </c>
    </row>
    <row r="336" spans="1:14" x14ac:dyDescent="0.2">
      <c r="A336" s="24"/>
      <c r="B336" s="26" t="s">
        <v>428</v>
      </c>
      <c r="C336" s="15" t="s">
        <v>6</v>
      </c>
      <c r="N336" s="27"/>
    </row>
    <row r="337" spans="1:14" x14ac:dyDescent="0.2">
      <c r="A337" s="24"/>
      <c r="B337" s="26" t="s">
        <v>429</v>
      </c>
      <c r="C337" s="15" t="s">
        <v>7</v>
      </c>
      <c r="N337" s="27"/>
    </row>
    <row r="338" spans="1:14" x14ac:dyDescent="0.2">
      <c r="A338" s="24"/>
      <c r="B338" s="26" t="s">
        <v>427</v>
      </c>
      <c r="C338" s="416" t="s">
        <v>1133</v>
      </c>
      <c r="D338" s="416"/>
      <c r="E338" s="416"/>
      <c r="F338" s="416"/>
      <c r="G338" s="416"/>
      <c r="H338" s="416"/>
      <c r="I338" s="416"/>
      <c r="J338" s="416"/>
      <c r="K338" s="416"/>
      <c r="L338" s="416"/>
      <c r="M338" s="416"/>
      <c r="N338" s="417"/>
    </row>
    <row r="339" spans="1:14" x14ac:dyDescent="0.2">
      <c r="A339" s="24"/>
      <c r="C339" s="416"/>
      <c r="D339" s="416"/>
      <c r="E339" s="416"/>
      <c r="F339" s="416"/>
      <c r="G339" s="416"/>
      <c r="H339" s="416"/>
      <c r="I339" s="416"/>
      <c r="J339" s="416"/>
      <c r="K339" s="416"/>
      <c r="L339" s="416"/>
      <c r="M339" s="416"/>
      <c r="N339" s="417"/>
    </row>
    <row r="340" spans="1:14" x14ac:dyDescent="0.2">
      <c r="A340" s="24"/>
      <c r="B340" s="26" t="s">
        <v>426</v>
      </c>
      <c r="N340" s="27"/>
    </row>
    <row r="341" spans="1:14" ht="13.5" thickBot="1" x14ac:dyDescent="0.25">
      <c r="A341" s="28"/>
      <c r="B341" s="43" t="s">
        <v>430</v>
      </c>
      <c r="C341" s="29" t="s">
        <v>589</v>
      </c>
      <c r="D341" s="29"/>
      <c r="E341" s="30"/>
      <c r="F341" s="30"/>
      <c r="G341" s="30"/>
      <c r="H341" s="30"/>
      <c r="I341" s="30"/>
      <c r="J341" s="30"/>
      <c r="K341" s="30"/>
      <c r="L341" s="30"/>
      <c r="M341" s="30"/>
      <c r="N341" s="31"/>
    </row>
    <row r="342" spans="1:14" x14ac:dyDescent="0.2">
      <c r="A342" s="20"/>
      <c r="B342" s="21" t="s">
        <v>263</v>
      </c>
      <c r="C342" s="21"/>
      <c r="D342" s="21"/>
      <c r="E342" s="22"/>
      <c r="F342" s="22"/>
      <c r="G342" s="22"/>
      <c r="H342" s="22"/>
      <c r="I342" s="22"/>
      <c r="J342" s="33" t="s">
        <v>94</v>
      </c>
      <c r="K342" s="33" t="s">
        <v>1855</v>
      </c>
      <c r="L342" s="207"/>
      <c r="M342" s="33" t="s">
        <v>513</v>
      </c>
      <c r="N342" s="33"/>
    </row>
    <row r="343" spans="1:14" ht="13.5" thickBot="1" x14ac:dyDescent="0.25">
      <c r="A343" s="28"/>
      <c r="B343" s="29"/>
      <c r="C343" s="29"/>
      <c r="D343" s="29"/>
      <c r="E343" s="30"/>
      <c r="F343" s="30"/>
      <c r="G343" s="30"/>
      <c r="H343" s="30"/>
      <c r="I343" s="30"/>
      <c r="J343" s="36" t="s">
        <v>76</v>
      </c>
      <c r="K343" s="74" t="s">
        <v>77</v>
      </c>
      <c r="L343" s="36" t="s">
        <v>753</v>
      </c>
      <c r="M343" s="36" t="s">
        <v>612</v>
      </c>
      <c r="N343" s="36" t="s">
        <v>514</v>
      </c>
    </row>
    <row r="344" spans="1:14" x14ac:dyDescent="0.2">
      <c r="A344" s="20"/>
      <c r="B344" s="412" t="s">
        <v>67</v>
      </c>
      <c r="C344" s="412"/>
      <c r="D344" s="412"/>
      <c r="E344" s="22"/>
      <c r="F344" s="22" t="s">
        <v>1180</v>
      </c>
      <c r="G344" s="22" t="s">
        <v>68</v>
      </c>
      <c r="H344" s="22" t="s">
        <v>702</v>
      </c>
      <c r="I344" s="22"/>
      <c r="J344" s="65">
        <f>70/O1*O2</f>
        <v>142.85714285714286</v>
      </c>
      <c r="K344" s="65">
        <f>78/O1*O2</f>
        <v>159.18367346938777</v>
      </c>
      <c r="L344" s="65">
        <f>82/O1*O2</f>
        <v>167.34693877551021</v>
      </c>
      <c r="M344" s="65">
        <f>95/O1*O2</f>
        <v>193.87755102040816</v>
      </c>
      <c r="N344" s="65">
        <f>66/O1*O2</f>
        <v>134.69387755102042</v>
      </c>
    </row>
    <row r="345" spans="1:14" x14ac:dyDescent="0.2">
      <c r="A345" s="24"/>
      <c r="B345" s="411" t="s">
        <v>67</v>
      </c>
      <c r="C345" s="411"/>
      <c r="D345" s="411"/>
      <c r="F345" s="16" t="s">
        <v>1181</v>
      </c>
      <c r="G345" s="16" t="s">
        <v>68</v>
      </c>
      <c r="H345" s="16" t="s">
        <v>702</v>
      </c>
      <c r="J345" s="66">
        <f>37/O1*O2</f>
        <v>75.510204081632651</v>
      </c>
      <c r="K345" s="66">
        <f>41/O1*O2</f>
        <v>83.673469387755105</v>
      </c>
      <c r="L345" s="66">
        <f>43/O1*O2</f>
        <v>87.755102040816325</v>
      </c>
      <c r="M345" s="66">
        <f>49.5/O1*O2</f>
        <v>101.0204081632653</v>
      </c>
      <c r="N345" s="66">
        <f>35/O1*O2</f>
        <v>71.428571428571431</v>
      </c>
    </row>
    <row r="346" spans="1:14" x14ac:dyDescent="0.2">
      <c r="A346" s="24"/>
      <c r="B346" s="411" t="s">
        <v>67</v>
      </c>
      <c r="C346" s="411"/>
      <c r="D346" s="411"/>
      <c r="F346" s="16" t="s">
        <v>1182</v>
      </c>
      <c r="G346" s="16" t="s">
        <v>68</v>
      </c>
      <c r="H346" s="16" t="s">
        <v>702</v>
      </c>
      <c r="J346" s="66">
        <f>30/O1*O2</f>
        <v>61.224489795918366</v>
      </c>
      <c r="K346" s="66">
        <f>33/O1*O2</f>
        <v>67.34693877551021</v>
      </c>
      <c r="L346" s="66">
        <f>34.5/O1*O2</f>
        <v>70.408163265306129</v>
      </c>
      <c r="M346" s="66">
        <f>39/O1*O2</f>
        <v>79.591836734693885</v>
      </c>
      <c r="N346" s="66">
        <f>28.6/O1*O2</f>
        <v>58.367346938775512</v>
      </c>
    </row>
    <row r="347" spans="1:14" ht="13.5" thickBot="1" x14ac:dyDescent="0.25">
      <c r="A347" s="28"/>
      <c r="B347" s="418" t="s">
        <v>902</v>
      </c>
      <c r="C347" s="418"/>
      <c r="D347" s="418"/>
      <c r="E347" s="30"/>
      <c r="F347" s="30"/>
      <c r="G347" s="30"/>
      <c r="H347" s="30" t="s">
        <v>702</v>
      </c>
      <c r="I347" s="30"/>
      <c r="J347" s="67">
        <f>11/O1*O2</f>
        <v>22.448979591836736</v>
      </c>
      <c r="K347" s="67">
        <f>11/O1*O2</f>
        <v>22.448979591836736</v>
      </c>
      <c r="L347" s="67">
        <f>11/O1*O2</f>
        <v>22.448979591836736</v>
      </c>
      <c r="M347" s="67">
        <f>11/O1*O2</f>
        <v>22.448979591836736</v>
      </c>
      <c r="N347" s="67">
        <f>11/O1*O2</f>
        <v>22.448979591836736</v>
      </c>
    </row>
    <row r="348" spans="1:14" ht="13.5" thickBot="1" x14ac:dyDescent="0.25">
      <c r="A348" s="17"/>
      <c r="B348" s="17"/>
      <c r="C348" s="17"/>
      <c r="D348" s="17"/>
      <c r="E348" s="17"/>
      <c r="F348" s="17"/>
      <c r="G348" s="17"/>
      <c r="H348" s="17"/>
      <c r="I348" s="17"/>
      <c r="J348" s="17"/>
      <c r="K348" s="17"/>
      <c r="L348" s="17"/>
      <c r="M348" s="17"/>
      <c r="N348" s="17"/>
    </row>
    <row r="349" spans="1:14" x14ac:dyDescent="0.2">
      <c r="A349" s="20"/>
      <c r="B349" s="21"/>
      <c r="C349" s="21"/>
      <c r="D349" s="21"/>
      <c r="E349" s="22"/>
      <c r="F349" s="22"/>
      <c r="G349" s="22"/>
      <c r="H349" s="22"/>
      <c r="I349" s="22"/>
      <c r="J349" s="22"/>
      <c r="K349" s="22"/>
      <c r="L349" s="22"/>
      <c r="M349" s="22"/>
      <c r="N349" s="23"/>
    </row>
    <row r="350" spans="1:14" ht="15" x14ac:dyDescent="0.2">
      <c r="A350" s="24"/>
      <c r="B350" s="413" t="s">
        <v>903</v>
      </c>
      <c r="C350" s="414"/>
      <c r="D350" s="414"/>
      <c r="E350" s="414"/>
      <c r="F350" s="414"/>
      <c r="G350" s="414"/>
      <c r="H350" s="414"/>
      <c r="I350" s="414"/>
      <c r="J350" s="414"/>
      <c r="K350" s="414"/>
      <c r="L350" s="414"/>
      <c r="M350" s="415"/>
      <c r="N350" s="25" t="s">
        <v>905</v>
      </c>
    </row>
    <row r="351" spans="1:14" x14ac:dyDescent="0.2">
      <c r="A351" s="24"/>
      <c r="B351" s="26" t="s">
        <v>428</v>
      </c>
      <c r="C351" s="15" t="s">
        <v>906</v>
      </c>
      <c r="N351" s="27"/>
    </row>
    <row r="352" spans="1:14" x14ac:dyDescent="0.2">
      <c r="A352" s="24"/>
      <c r="B352" s="26" t="s">
        <v>429</v>
      </c>
      <c r="C352" s="15" t="s">
        <v>1360</v>
      </c>
      <c r="N352" s="27"/>
    </row>
    <row r="353" spans="1:14" x14ac:dyDescent="0.2">
      <c r="A353" s="24"/>
      <c r="B353" s="26" t="s">
        <v>427</v>
      </c>
      <c r="C353" s="416" t="s">
        <v>1134</v>
      </c>
      <c r="D353" s="416"/>
      <c r="E353" s="416"/>
      <c r="F353" s="416"/>
      <c r="G353" s="416"/>
      <c r="H353" s="416"/>
      <c r="I353" s="416"/>
      <c r="J353" s="416"/>
      <c r="K353" s="416"/>
      <c r="L353" s="416"/>
      <c r="M353" s="416"/>
      <c r="N353" s="417"/>
    </row>
    <row r="354" spans="1:14" x14ac:dyDescent="0.2">
      <c r="A354" s="24"/>
      <c r="B354" s="26"/>
      <c r="C354" s="416"/>
      <c r="D354" s="416"/>
      <c r="E354" s="416"/>
      <c r="F354" s="416"/>
      <c r="G354" s="416"/>
      <c r="H354" s="416"/>
      <c r="I354" s="416"/>
      <c r="J354" s="416"/>
      <c r="K354" s="416"/>
      <c r="L354" s="416"/>
      <c r="M354" s="416"/>
      <c r="N354" s="417"/>
    </row>
    <row r="355" spans="1:14" x14ac:dyDescent="0.2">
      <c r="A355" s="24"/>
      <c r="B355" s="26"/>
      <c r="C355" s="416"/>
      <c r="D355" s="416"/>
      <c r="E355" s="416"/>
      <c r="F355" s="416"/>
      <c r="G355" s="416"/>
      <c r="H355" s="416"/>
      <c r="I355" s="416"/>
      <c r="J355" s="416"/>
      <c r="K355" s="416"/>
      <c r="L355" s="416"/>
      <c r="M355" s="416"/>
      <c r="N355" s="417"/>
    </row>
    <row r="356" spans="1:14" x14ac:dyDescent="0.2">
      <c r="A356" s="24"/>
      <c r="B356" s="26"/>
      <c r="C356" s="416"/>
      <c r="D356" s="416"/>
      <c r="E356" s="416"/>
      <c r="F356" s="416"/>
      <c r="G356" s="416"/>
      <c r="H356" s="416"/>
      <c r="I356" s="416"/>
      <c r="J356" s="416"/>
      <c r="K356" s="416"/>
      <c r="L356" s="416"/>
      <c r="M356" s="416"/>
      <c r="N356" s="417"/>
    </row>
    <row r="357" spans="1:14" x14ac:dyDescent="0.2">
      <c r="A357" s="24"/>
      <c r="B357" s="26"/>
      <c r="C357" s="416"/>
      <c r="D357" s="416"/>
      <c r="E357" s="416"/>
      <c r="F357" s="416"/>
      <c r="G357" s="416"/>
      <c r="H357" s="416"/>
      <c r="I357" s="416"/>
      <c r="J357" s="416"/>
      <c r="K357" s="416"/>
      <c r="L357" s="416"/>
      <c r="M357" s="416"/>
      <c r="N357" s="417"/>
    </row>
    <row r="358" spans="1:14" x14ac:dyDescent="0.2">
      <c r="A358" s="24"/>
      <c r="C358" s="416"/>
      <c r="D358" s="416"/>
      <c r="E358" s="416"/>
      <c r="F358" s="416"/>
      <c r="G358" s="416"/>
      <c r="H358" s="416"/>
      <c r="I358" s="416"/>
      <c r="J358" s="416"/>
      <c r="K358" s="416"/>
      <c r="L358" s="416"/>
      <c r="M358" s="416"/>
      <c r="N358" s="417"/>
    </row>
    <row r="359" spans="1:14" x14ac:dyDescent="0.2">
      <c r="A359" s="24"/>
      <c r="B359" s="26" t="s">
        <v>426</v>
      </c>
      <c r="C359" s="15" t="s">
        <v>1357</v>
      </c>
      <c r="N359" s="27"/>
    </row>
    <row r="360" spans="1:14" ht="13.5" thickBot="1" x14ac:dyDescent="0.25">
      <c r="A360" s="28"/>
      <c r="B360" s="43" t="s">
        <v>430</v>
      </c>
      <c r="C360" s="29"/>
      <c r="D360" s="29"/>
      <c r="E360" s="30"/>
      <c r="F360" s="30"/>
      <c r="G360" s="30"/>
      <c r="H360" s="30"/>
      <c r="I360" s="30"/>
      <c r="J360" s="30"/>
      <c r="K360" s="30"/>
      <c r="L360" s="30"/>
      <c r="M360" s="30"/>
      <c r="N360" s="31"/>
    </row>
    <row r="361" spans="1:14" ht="13.5" thickBot="1" x14ac:dyDescent="0.25">
      <c r="A361" s="20"/>
      <c r="B361" s="21" t="s">
        <v>263</v>
      </c>
      <c r="C361" s="21"/>
      <c r="D361" s="21"/>
      <c r="E361" s="22"/>
      <c r="F361" s="22"/>
      <c r="G361" s="22"/>
      <c r="H361" s="22"/>
      <c r="I361" s="22"/>
      <c r="J361" s="46" t="s">
        <v>907</v>
      </c>
      <c r="K361" s="33" t="s">
        <v>753</v>
      </c>
      <c r="L361" s="33" t="s">
        <v>206</v>
      </c>
      <c r="M361" s="33"/>
      <c r="N361" s="33"/>
    </row>
    <row r="362" spans="1:14" x14ac:dyDescent="0.2">
      <c r="A362" s="20"/>
      <c r="B362" s="412" t="s">
        <v>67</v>
      </c>
      <c r="C362" s="412"/>
      <c r="D362" s="412"/>
      <c r="E362" s="22"/>
      <c r="F362" s="22" t="s">
        <v>1180</v>
      </c>
      <c r="G362" s="22" t="s">
        <v>68</v>
      </c>
      <c r="H362" s="22" t="s">
        <v>702</v>
      </c>
      <c r="I362" s="22"/>
      <c r="J362" s="65">
        <f>79/O1*O2</f>
        <v>161.22448979591837</v>
      </c>
      <c r="K362" s="65">
        <f>103/O1*O2</f>
        <v>210.20408163265307</v>
      </c>
      <c r="L362" s="65">
        <f>111/O1*O2</f>
        <v>226.53061224489795</v>
      </c>
      <c r="M362" s="38"/>
      <c r="N362" s="38"/>
    </row>
    <row r="363" spans="1:14" x14ac:dyDescent="0.2">
      <c r="A363" s="24"/>
      <c r="B363" s="411" t="s">
        <v>67</v>
      </c>
      <c r="C363" s="411"/>
      <c r="D363" s="411"/>
      <c r="F363" s="16" t="s">
        <v>1181</v>
      </c>
      <c r="G363" s="16" t="s">
        <v>68</v>
      </c>
      <c r="H363" s="16" t="s">
        <v>702</v>
      </c>
      <c r="J363" s="66">
        <f>42/O1*O2</f>
        <v>85.714285714285722</v>
      </c>
      <c r="K363" s="66">
        <f>55.5/O1*O2</f>
        <v>113.26530612244898</v>
      </c>
      <c r="L363" s="66">
        <f>62/O1*O2</f>
        <v>126.53061224489797</v>
      </c>
      <c r="M363" s="40"/>
      <c r="N363" s="40"/>
    </row>
    <row r="364" spans="1:14" ht="13.5" thickBot="1" x14ac:dyDescent="0.25">
      <c r="A364" s="28"/>
      <c r="B364" s="29" t="s">
        <v>67</v>
      </c>
      <c r="C364" s="29"/>
      <c r="D364" s="29"/>
      <c r="E364" s="30"/>
      <c r="F364" s="30" t="s">
        <v>1182</v>
      </c>
      <c r="G364" s="30" t="s">
        <v>68</v>
      </c>
      <c r="H364" s="30" t="s">
        <v>702</v>
      </c>
      <c r="I364" s="30"/>
      <c r="J364" s="67">
        <f>33.5/O1*O2</f>
        <v>68.367346938775512</v>
      </c>
      <c r="K364" s="67">
        <f>42.5/O1*O2</f>
        <v>86.734693877551024</v>
      </c>
      <c r="L364" s="67">
        <f>46.66/O1*O2</f>
        <v>95.224489795918359</v>
      </c>
      <c r="M364" s="42"/>
      <c r="N364" s="42"/>
    </row>
    <row r="365" spans="1:14" x14ac:dyDescent="0.2">
      <c r="A365" s="17"/>
      <c r="B365" s="17"/>
      <c r="C365" s="17"/>
      <c r="D365" s="17"/>
      <c r="E365" s="17"/>
      <c r="F365" s="17"/>
      <c r="G365" s="17"/>
      <c r="H365" s="17"/>
      <c r="I365" s="17"/>
      <c r="J365" s="17"/>
      <c r="K365" s="17"/>
      <c r="L365" s="17"/>
      <c r="M365" s="17"/>
      <c r="N365" s="17"/>
    </row>
    <row r="366" spans="1:14" x14ac:dyDescent="0.2">
      <c r="A366" s="17"/>
      <c r="B366" s="17"/>
      <c r="C366" s="17"/>
      <c r="D366" s="17"/>
      <c r="E366" s="17"/>
      <c r="F366" s="17"/>
      <c r="G366" s="17"/>
      <c r="H366" s="17"/>
      <c r="I366" s="17"/>
      <c r="J366" s="17"/>
      <c r="K366" s="17"/>
      <c r="L366" s="17"/>
      <c r="M366" s="17"/>
      <c r="N366" s="17"/>
    </row>
    <row r="367" spans="1:14" x14ac:dyDescent="0.2">
      <c r="A367" s="17"/>
      <c r="B367" s="17"/>
      <c r="C367" s="17"/>
      <c r="D367" s="17"/>
      <c r="E367" s="17"/>
      <c r="F367" s="17"/>
      <c r="G367" s="17"/>
      <c r="H367" s="17"/>
      <c r="I367" s="17"/>
      <c r="J367" s="17"/>
      <c r="K367" s="17"/>
      <c r="L367" s="17"/>
      <c r="M367" s="17"/>
      <c r="N367" s="17"/>
    </row>
    <row r="368" spans="1:14" x14ac:dyDescent="0.2">
      <c r="A368" s="17"/>
      <c r="B368" s="17"/>
      <c r="C368" s="17"/>
      <c r="D368" s="17"/>
      <c r="E368" s="17"/>
      <c r="F368" s="17"/>
      <c r="G368" s="17"/>
      <c r="H368" s="17"/>
      <c r="I368" s="17"/>
      <c r="J368" s="17"/>
      <c r="K368" s="17"/>
      <c r="L368" s="17"/>
      <c r="M368" s="17"/>
      <c r="N368" s="17"/>
    </row>
    <row r="371" spans="1:14" x14ac:dyDescent="0.2">
      <c r="A371" s="17"/>
      <c r="B371" s="17"/>
      <c r="C371" s="17"/>
      <c r="D371" s="17"/>
      <c r="E371" s="17"/>
      <c r="F371" s="17"/>
      <c r="G371" s="17"/>
      <c r="H371" s="17"/>
      <c r="I371" s="17"/>
      <c r="J371" s="17"/>
      <c r="K371" s="17"/>
      <c r="L371" s="17"/>
      <c r="M371" s="17"/>
      <c r="N371" s="17"/>
    </row>
    <row r="372" spans="1:14" ht="13.5" thickBot="1" x14ac:dyDescent="0.25">
      <c r="A372" s="17"/>
      <c r="B372" s="17"/>
      <c r="C372" s="17"/>
      <c r="D372" s="17"/>
      <c r="E372" s="17"/>
      <c r="F372" s="17"/>
      <c r="G372" s="17"/>
      <c r="H372" s="17"/>
      <c r="I372" s="17"/>
      <c r="J372" s="17"/>
      <c r="K372" s="17"/>
      <c r="L372" s="17"/>
      <c r="M372" s="17"/>
      <c r="N372" s="17"/>
    </row>
    <row r="373" spans="1:14" x14ac:dyDescent="0.2">
      <c r="A373" s="20"/>
      <c r="B373" s="21"/>
      <c r="C373" s="21"/>
      <c r="D373" s="21"/>
      <c r="E373" s="22"/>
      <c r="F373" s="22"/>
      <c r="G373" s="22"/>
      <c r="H373" s="22"/>
      <c r="I373" s="22"/>
      <c r="J373" s="22"/>
      <c r="K373" s="22"/>
      <c r="L373" s="22"/>
      <c r="M373" s="22"/>
      <c r="N373" s="23"/>
    </row>
    <row r="374" spans="1:14" ht="15" x14ac:dyDescent="0.2">
      <c r="A374" s="24"/>
      <c r="B374" s="413" t="s">
        <v>515</v>
      </c>
      <c r="C374" s="414"/>
      <c r="D374" s="414"/>
      <c r="E374" s="414"/>
      <c r="F374" s="414"/>
      <c r="G374" s="414"/>
      <c r="H374" s="414"/>
      <c r="I374" s="414"/>
      <c r="J374" s="414"/>
      <c r="K374" s="414"/>
      <c r="L374" s="414"/>
      <c r="M374" s="415"/>
      <c r="N374" s="25" t="s">
        <v>905</v>
      </c>
    </row>
    <row r="375" spans="1:14" x14ac:dyDescent="0.2">
      <c r="A375" s="24"/>
      <c r="B375" s="26" t="s">
        <v>428</v>
      </c>
      <c r="C375" s="15" t="s">
        <v>516</v>
      </c>
      <c r="N375" s="27"/>
    </row>
    <row r="376" spans="1:14" x14ac:dyDescent="0.2">
      <c r="A376" s="24"/>
      <c r="B376" s="26" t="s">
        <v>429</v>
      </c>
      <c r="C376" s="15" t="s">
        <v>517</v>
      </c>
      <c r="N376" s="27"/>
    </row>
    <row r="377" spans="1:14" x14ac:dyDescent="0.2">
      <c r="A377" s="24"/>
      <c r="B377" s="26" t="s">
        <v>427</v>
      </c>
      <c r="C377" s="416" t="s">
        <v>1135</v>
      </c>
      <c r="D377" s="416"/>
      <c r="E377" s="416"/>
      <c r="F377" s="416"/>
      <c r="G377" s="416"/>
      <c r="H377" s="416"/>
      <c r="I377" s="416"/>
      <c r="J377" s="416"/>
      <c r="K377" s="416"/>
      <c r="L377" s="416"/>
      <c r="M377" s="416"/>
      <c r="N377" s="417"/>
    </row>
    <row r="378" spans="1:14" x14ac:dyDescent="0.2">
      <c r="A378" s="24"/>
      <c r="C378" s="416"/>
      <c r="D378" s="416"/>
      <c r="E378" s="416"/>
      <c r="F378" s="416"/>
      <c r="G378" s="416"/>
      <c r="H378" s="416"/>
      <c r="I378" s="416"/>
      <c r="J378" s="416"/>
      <c r="K378" s="416"/>
      <c r="L378" s="416"/>
      <c r="M378" s="416"/>
      <c r="N378" s="417"/>
    </row>
    <row r="379" spans="1:14" x14ac:dyDescent="0.2">
      <c r="A379" s="24"/>
      <c r="B379" s="26" t="s">
        <v>426</v>
      </c>
      <c r="C379" s="15" t="s">
        <v>1361</v>
      </c>
      <c r="N379" s="27"/>
    </row>
    <row r="380" spans="1:14" ht="13.5" thickBot="1" x14ac:dyDescent="0.25">
      <c r="A380" s="28"/>
      <c r="B380" s="43" t="s">
        <v>430</v>
      </c>
      <c r="C380" s="29"/>
      <c r="D380" s="29"/>
      <c r="E380" s="30"/>
      <c r="F380" s="30"/>
      <c r="G380" s="30"/>
      <c r="H380" s="30"/>
      <c r="I380" s="30"/>
      <c r="J380" s="30"/>
      <c r="K380" s="30"/>
      <c r="L380" s="30"/>
      <c r="M380" s="30"/>
      <c r="N380" s="31"/>
    </row>
    <row r="381" spans="1:14" x14ac:dyDescent="0.2">
      <c r="A381" s="20"/>
      <c r="B381" s="21" t="s">
        <v>263</v>
      </c>
      <c r="C381" s="21"/>
      <c r="D381" s="21"/>
      <c r="E381" s="22"/>
      <c r="F381" s="22"/>
      <c r="G381" s="22"/>
      <c r="H381" s="22"/>
      <c r="I381" s="23"/>
      <c r="J381" s="33" t="s">
        <v>909</v>
      </c>
      <c r="K381" s="33" t="s">
        <v>1753</v>
      </c>
      <c r="L381" s="33"/>
      <c r="M381" s="33"/>
      <c r="N381" s="33"/>
    </row>
    <row r="382" spans="1:14" ht="13.5" thickBot="1" x14ac:dyDescent="0.25">
      <c r="A382" s="24"/>
      <c r="B382" s="71"/>
      <c r="C382" s="29"/>
      <c r="D382" s="29"/>
      <c r="E382" s="30"/>
      <c r="F382" s="30"/>
      <c r="G382" s="30"/>
      <c r="H382" s="30"/>
      <c r="I382" s="30"/>
      <c r="J382" s="36" t="s">
        <v>1435</v>
      </c>
      <c r="K382" s="36" t="s">
        <v>612</v>
      </c>
      <c r="L382" s="36"/>
      <c r="M382" s="36"/>
      <c r="N382" s="36"/>
    </row>
    <row r="383" spans="1:14" x14ac:dyDescent="0.2">
      <c r="A383" s="20"/>
      <c r="B383" s="411" t="s">
        <v>67</v>
      </c>
      <c r="C383" s="411"/>
      <c r="D383" s="411"/>
      <c r="F383" s="16" t="s">
        <v>1180</v>
      </c>
      <c r="G383" s="16" t="s">
        <v>68</v>
      </c>
      <c r="H383" s="16" t="s">
        <v>702</v>
      </c>
      <c r="J383" s="66">
        <f>65/O1*O2</f>
        <v>132.65306122448979</v>
      </c>
      <c r="K383" s="66">
        <f>95/O1*O2</f>
        <v>193.87755102040816</v>
      </c>
      <c r="L383" s="47"/>
      <c r="M383" s="40"/>
      <c r="N383" s="40"/>
    </row>
    <row r="384" spans="1:14" x14ac:dyDescent="0.2">
      <c r="A384" s="24"/>
      <c r="B384" s="411" t="s">
        <v>67</v>
      </c>
      <c r="C384" s="411"/>
      <c r="D384" s="411"/>
      <c r="F384" s="16" t="s">
        <v>1181</v>
      </c>
      <c r="G384" s="16" t="s">
        <v>68</v>
      </c>
      <c r="H384" s="16" t="s">
        <v>702</v>
      </c>
      <c r="J384" s="66">
        <f>39.5/O1*O2</f>
        <v>80.612244897959187</v>
      </c>
      <c r="K384" s="66">
        <f>53/O1*O2</f>
        <v>108.16326530612245</v>
      </c>
      <c r="L384" s="40"/>
      <c r="M384" s="40"/>
      <c r="N384" s="40"/>
    </row>
    <row r="385" spans="1:14" x14ac:dyDescent="0.2">
      <c r="A385" s="24"/>
      <c r="B385" s="411" t="s">
        <v>67</v>
      </c>
      <c r="C385" s="411"/>
      <c r="D385" s="411"/>
      <c r="F385" s="16" t="s">
        <v>1182</v>
      </c>
      <c r="G385" s="16" t="s">
        <v>68</v>
      </c>
      <c r="H385" s="16" t="s">
        <v>702</v>
      </c>
      <c r="J385" s="66">
        <f>30.5/O1*O2</f>
        <v>62.244897959183675</v>
      </c>
      <c r="K385" s="66">
        <f>41/O1*O2</f>
        <v>83.673469387755105</v>
      </c>
      <c r="L385" s="40"/>
      <c r="M385" s="40"/>
      <c r="N385" s="40"/>
    </row>
    <row r="386" spans="1:14" x14ac:dyDescent="0.2">
      <c r="A386" s="24"/>
      <c r="B386" s="15" t="s">
        <v>67</v>
      </c>
      <c r="F386" s="16" t="s">
        <v>257</v>
      </c>
      <c r="G386" s="16" t="s">
        <v>68</v>
      </c>
      <c r="H386" s="16" t="s">
        <v>702</v>
      </c>
      <c r="J386" s="66">
        <f>26.5/O1*O2</f>
        <v>54.081632653061227</v>
      </c>
      <c r="K386" s="66">
        <f>34/O1*O2</f>
        <v>69.387755102040813</v>
      </c>
      <c r="L386" s="40"/>
      <c r="M386" s="40"/>
      <c r="N386" s="40"/>
    </row>
    <row r="387" spans="1:14" ht="13.5" thickBot="1" x14ac:dyDescent="0.25">
      <c r="A387" s="28"/>
      <c r="B387" s="418"/>
      <c r="C387" s="418"/>
      <c r="D387" s="418"/>
      <c r="E387" s="30"/>
      <c r="F387" s="30"/>
      <c r="G387" s="30"/>
      <c r="H387" s="30"/>
      <c r="I387" s="30"/>
      <c r="J387" s="67"/>
      <c r="K387" s="67"/>
      <c r="L387" s="42"/>
      <c r="M387" s="42"/>
      <c r="N387" s="42"/>
    </row>
    <row r="388" spans="1:14" ht="13.5" thickBot="1" x14ac:dyDescent="0.25">
      <c r="A388" s="17"/>
      <c r="B388" s="17"/>
      <c r="C388" s="17"/>
      <c r="D388" s="17"/>
      <c r="E388" s="17"/>
      <c r="F388" s="17"/>
      <c r="G388" s="17"/>
      <c r="H388" s="17"/>
      <c r="I388" s="17"/>
      <c r="J388" s="17"/>
      <c r="K388" s="17"/>
      <c r="L388" s="17"/>
      <c r="M388" s="17"/>
      <c r="N388" s="17"/>
    </row>
    <row r="389" spans="1:14" x14ac:dyDescent="0.2">
      <c r="A389" s="20"/>
      <c r="B389" s="21"/>
      <c r="C389" s="21"/>
      <c r="D389" s="21"/>
      <c r="E389" s="22"/>
      <c r="F389" s="22"/>
      <c r="G389" s="22"/>
      <c r="H389" s="22"/>
      <c r="I389" s="22"/>
      <c r="J389" s="22"/>
      <c r="K389" s="22"/>
      <c r="L389" s="22"/>
      <c r="M389" s="22"/>
      <c r="N389" s="23"/>
    </row>
    <row r="390" spans="1:14" ht="15" x14ac:dyDescent="0.2">
      <c r="A390" s="24"/>
      <c r="B390" s="413" t="s">
        <v>92</v>
      </c>
      <c r="C390" s="414"/>
      <c r="D390" s="414"/>
      <c r="E390" s="414"/>
      <c r="F390" s="414"/>
      <c r="G390" s="414"/>
      <c r="H390" s="414"/>
      <c r="I390" s="414"/>
      <c r="J390" s="414"/>
      <c r="K390" s="414"/>
      <c r="L390" s="414"/>
      <c r="M390" s="415"/>
      <c r="N390" s="25" t="s">
        <v>905</v>
      </c>
    </row>
    <row r="391" spans="1:14" x14ac:dyDescent="0.2">
      <c r="A391" s="24"/>
      <c r="B391" s="26" t="s">
        <v>428</v>
      </c>
      <c r="C391" s="15" t="s">
        <v>366</v>
      </c>
      <c r="N391" s="27"/>
    </row>
    <row r="392" spans="1:14" x14ac:dyDescent="0.2">
      <c r="A392" s="24"/>
      <c r="B392" s="26" t="s">
        <v>429</v>
      </c>
      <c r="C392" s="15" t="s">
        <v>93</v>
      </c>
      <c r="N392" s="27"/>
    </row>
    <row r="393" spans="1:14" x14ac:dyDescent="0.2">
      <c r="A393" s="24"/>
      <c r="B393" s="26" t="s">
        <v>427</v>
      </c>
      <c r="C393" s="416" t="s">
        <v>1136</v>
      </c>
      <c r="D393" s="416"/>
      <c r="E393" s="416"/>
      <c r="F393" s="416"/>
      <c r="G393" s="416"/>
      <c r="H393" s="416"/>
      <c r="I393" s="416"/>
      <c r="J393" s="416"/>
      <c r="K393" s="416"/>
      <c r="L393" s="416"/>
      <c r="M393" s="416"/>
      <c r="N393" s="417"/>
    </row>
    <row r="394" spans="1:14" x14ac:dyDescent="0.2">
      <c r="A394" s="24"/>
      <c r="B394" s="26"/>
      <c r="C394" s="416"/>
      <c r="D394" s="416"/>
      <c r="E394" s="416"/>
      <c r="F394" s="416"/>
      <c r="G394" s="416"/>
      <c r="H394" s="416"/>
      <c r="I394" s="416"/>
      <c r="J394" s="416"/>
      <c r="K394" s="416"/>
      <c r="L394" s="416"/>
      <c r="M394" s="416"/>
      <c r="N394" s="417"/>
    </row>
    <row r="395" spans="1:14" x14ac:dyDescent="0.2">
      <c r="A395" s="24"/>
      <c r="B395" s="26"/>
      <c r="C395" s="416"/>
      <c r="D395" s="416"/>
      <c r="E395" s="416"/>
      <c r="F395" s="416"/>
      <c r="G395" s="416"/>
      <c r="H395" s="416"/>
      <c r="I395" s="416"/>
      <c r="J395" s="416"/>
      <c r="K395" s="416"/>
      <c r="L395" s="416"/>
      <c r="M395" s="416"/>
      <c r="N395" s="417"/>
    </row>
    <row r="396" spans="1:14" x14ac:dyDescent="0.2">
      <c r="A396" s="24"/>
      <c r="C396" s="416"/>
      <c r="D396" s="416"/>
      <c r="E396" s="416"/>
      <c r="F396" s="416"/>
      <c r="G396" s="416"/>
      <c r="H396" s="416"/>
      <c r="I396" s="416"/>
      <c r="J396" s="416"/>
      <c r="K396" s="416"/>
      <c r="L396" s="416"/>
      <c r="M396" s="416"/>
      <c r="N396" s="417"/>
    </row>
    <row r="397" spans="1:14" x14ac:dyDescent="0.2">
      <c r="A397" s="24"/>
      <c r="B397" s="26" t="s">
        <v>426</v>
      </c>
      <c r="C397" s="15" t="s">
        <v>1362</v>
      </c>
      <c r="N397" s="27"/>
    </row>
    <row r="398" spans="1:14" ht="13.5" thickBot="1" x14ac:dyDescent="0.25">
      <c r="A398" s="28"/>
      <c r="B398" s="43" t="s">
        <v>430</v>
      </c>
      <c r="C398" s="29"/>
      <c r="D398" s="29"/>
      <c r="E398" s="30"/>
      <c r="F398" s="30"/>
      <c r="G398" s="30"/>
      <c r="H398" s="30"/>
      <c r="I398" s="30"/>
      <c r="J398" s="30"/>
      <c r="K398" s="30"/>
      <c r="L398" s="30"/>
      <c r="M398" s="30"/>
      <c r="N398" s="31"/>
    </row>
    <row r="399" spans="1:14" x14ac:dyDescent="0.2">
      <c r="A399" s="20"/>
      <c r="B399" s="21" t="s">
        <v>263</v>
      </c>
      <c r="C399" s="21"/>
      <c r="D399" s="21"/>
      <c r="E399" s="22"/>
      <c r="F399" s="22"/>
      <c r="G399" s="22"/>
      <c r="H399" s="22"/>
      <c r="I399" s="22"/>
      <c r="J399" s="32" t="s">
        <v>907</v>
      </c>
      <c r="K399" s="33" t="s">
        <v>753</v>
      </c>
      <c r="L399" s="33" t="s">
        <v>513</v>
      </c>
      <c r="M399" s="33"/>
      <c r="N399" s="33"/>
    </row>
    <row r="400" spans="1:14" ht="13.5" thickBot="1" x14ac:dyDescent="0.25">
      <c r="A400" s="28"/>
      <c r="B400" s="29"/>
      <c r="C400" s="29"/>
      <c r="D400" s="29"/>
      <c r="E400" s="30"/>
      <c r="F400" s="30"/>
      <c r="G400" s="30"/>
      <c r="H400" s="30"/>
      <c r="I400" s="30"/>
      <c r="J400" s="78"/>
      <c r="K400" s="17" t="s">
        <v>514</v>
      </c>
      <c r="L400" s="36" t="s">
        <v>612</v>
      </c>
      <c r="M400" s="36"/>
      <c r="N400" s="36"/>
    </row>
    <row r="401" spans="1:14" x14ac:dyDescent="0.2">
      <c r="A401" s="20"/>
      <c r="B401" s="412" t="s">
        <v>67</v>
      </c>
      <c r="C401" s="412"/>
      <c r="D401" s="412"/>
      <c r="E401" s="22"/>
      <c r="F401" s="22" t="s">
        <v>1180</v>
      </c>
      <c r="G401" s="22" t="s">
        <v>68</v>
      </c>
      <c r="H401" s="22" t="s">
        <v>702</v>
      </c>
      <c r="I401" s="22"/>
      <c r="J401" s="65">
        <f>74/O1*O2</f>
        <v>151.0204081632653</v>
      </c>
      <c r="K401" s="65">
        <f>90/O1*O2</f>
        <v>183.67346938775512</v>
      </c>
      <c r="L401" s="65">
        <f>106/O1*O2</f>
        <v>216.32653061224491</v>
      </c>
      <c r="M401" s="62"/>
      <c r="N401" s="38"/>
    </row>
    <row r="402" spans="1:14" x14ac:dyDescent="0.2">
      <c r="A402" s="24"/>
      <c r="B402" s="411" t="s">
        <v>67</v>
      </c>
      <c r="C402" s="411"/>
      <c r="D402" s="411"/>
      <c r="F402" s="16" t="s">
        <v>1181</v>
      </c>
      <c r="G402" s="16" t="s">
        <v>68</v>
      </c>
      <c r="H402" s="16" t="s">
        <v>702</v>
      </c>
      <c r="J402" s="66">
        <f>40/O1*O2</f>
        <v>81.632653061224488</v>
      </c>
      <c r="K402" s="66">
        <f>48/O1*O2</f>
        <v>97.959183673469383</v>
      </c>
      <c r="L402" s="66">
        <f>56/O1*O2</f>
        <v>114.28571428571429</v>
      </c>
      <c r="M402" s="63"/>
      <c r="N402" s="40"/>
    </row>
    <row r="403" spans="1:14" x14ac:dyDescent="0.2">
      <c r="A403" s="24"/>
      <c r="B403" s="15" t="s">
        <v>67</v>
      </c>
      <c r="F403" s="16" t="s">
        <v>1182</v>
      </c>
      <c r="G403" s="16" t="s">
        <v>68</v>
      </c>
      <c r="H403" s="16" t="s">
        <v>702</v>
      </c>
      <c r="J403" s="66">
        <f>38.5/O1*O2</f>
        <v>78.571428571428569</v>
      </c>
      <c r="K403" s="66">
        <f>43.6/O1*O2</f>
        <v>88.979591836734699</v>
      </c>
      <c r="L403" s="66">
        <f>49/O1*O2</f>
        <v>100</v>
      </c>
      <c r="M403" s="63"/>
      <c r="N403" s="40"/>
    </row>
    <row r="404" spans="1:14" ht="13.5" thickBot="1" x14ac:dyDescent="0.25">
      <c r="A404" s="28"/>
      <c r="B404" s="418" t="s">
        <v>902</v>
      </c>
      <c r="C404" s="418"/>
      <c r="D404" s="418"/>
      <c r="E404" s="30"/>
      <c r="F404" s="30"/>
      <c r="G404" s="30" t="s">
        <v>1484</v>
      </c>
      <c r="H404" s="30" t="s">
        <v>702</v>
      </c>
      <c r="I404" s="30"/>
      <c r="J404" s="67">
        <f>21/O1*O2</f>
        <v>42.857142857142861</v>
      </c>
      <c r="K404" s="67">
        <f>21/O1*O2</f>
        <v>42.857142857142861</v>
      </c>
      <c r="L404" s="67">
        <f>21/O1*O2</f>
        <v>42.857142857142861</v>
      </c>
      <c r="M404" s="64"/>
      <c r="N404" s="42"/>
    </row>
    <row r="405" spans="1:14" ht="13.5" thickBot="1" x14ac:dyDescent="0.25">
      <c r="J405" s="68"/>
      <c r="K405" s="68"/>
      <c r="L405" s="68"/>
      <c r="M405" s="68"/>
      <c r="N405" s="47"/>
    </row>
    <row r="406" spans="1:14" x14ac:dyDescent="0.2">
      <c r="A406" s="20"/>
      <c r="B406" s="21"/>
      <c r="C406" s="21"/>
      <c r="D406" s="21"/>
      <c r="E406" s="22"/>
      <c r="F406" s="22"/>
      <c r="G406" s="22"/>
      <c r="H406" s="22"/>
      <c r="I406" s="22"/>
      <c r="J406" s="22"/>
      <c r="K406" s="22"/>
      <c r="L406" s="22"/>
      <c r="M406" s="22"/>
      <c r="N406" s="23"/>
    </row>
    <row r="407" spans="1:14" ht="15" x14ac:dyDescent="0.2">
      <c r="A407" s="24"/>
      <c r="B407" s="413" t="s">
        <v>126</v>
      </c>
      <c r="C407" s="414"/>
      <c r="D407" s="414"/>
      <c r="E407" s="414"/>
      <c r="F407" s="414"/>
      <c r="G407" s="414"/>
      <c r="H407" s="414"/>
      <c r="I407" s="414"/>
      <c r="J407" s="414"/>
      <c r="K407" s="414"/>
      <c r="L407" s="414"/>
      <c r="M407" s="415"/>
      <c r="N407" s="25" t="s">
        <v>96</v>
      </c>
    </row>
    <row r="408" spans="1:14" x14ac:dyDescent="0.2">
      <c r="A408" s="24"/>
      <c r="B408" s="26" t="s">
        <v>428</v>
      </c>
      <c r="C408" s="15" t="s">
        <v>336</v>
      </c>
      <c r="N408" s="27"/>
    </row>
    <row r="409" spans="1:14" x14ac:dyDescent="0.2">
      <c r="A409" s="24"/>
      <c r="B409" s="26" t="s">
        <v>429</v>
      </c>
      <c r="C409" s="59" t="s">
        <v>1366</v>
      </c>
      <c r="N409" s="27"/>
    </row>
    <row r="410" spans="1:14" x14ac:dyDescent="0.2">
      <c r="A410" s="24"/>
      <c r="B410" s="26" t="s">
        <v>427</v>
      </c>
      <c r="C410" s="409" t="s">
        <v>1227</v>
      </c>
      <c r="D410" s="409"/>
      <c r="E410" s="409"/>
      <c r="F410" s="409"/>
      <c r="G410" s="409"/>
      <c r="H410" s="409"/>
      <c r="I410" s="409"/>
      <c r="J410" s="409"/>
      <c r="K410" s="409"/>
      <c r="L410" s="409"/>
      <c r="M410" s="409"/>
      <c r="N410" s="410"/>
    </row>
    <row r="411" spans="1:14" x14ac:dyDescent="0.2">
      <c r="A411" s="24"/>
      <c r="C411" s="409"/>
      <c r="D411" s="409"/>
      <c r="E411" s="409"/>
      <c r="F411" s="409"/>
      <c r="G411" s="409"/>
      <c r="H411" s="409"/>
      <c r="I411" s="409"/>
      <c r="J411" s="409"/>
      <c r="K411" s="409"/>
      <c r="L411" s="409"/>
      <c r="M411" s="409"/>
      <c r="N411" s="410"/>
    </row>
    <row r="412" spans="1:14" x14ac:dyDescent="0.2">
      <c r="A412" s="24"/>
      <c r="B412" s="26" t="s">
        <v>426</v>
      </c>
      <c r="C412" s="59" t="s">
        <v>1365</v>
      </c>
      <c r="N412" s="27"/>
    </row>
    <row r="413" spans="1:14" ht="13.5" thickBot="1" x14ac:dyDescent="0.25">
      <c r="A413" s="28"/>
      <c r="B413" s="26" t="s">
        <v>430</v>
      </c>
      <c r="C413" s="29"/>
      <c r="D413" s="29"/>
      <c r="E413" s="30"/>
      <c r="F413" s="30"/>
      <c r="G413" s="30"/>
      <c r="H413" s="30"/>
      <c r="I413" s="30"/>
      <c r="J413" s="30"/>
      <c r="K413" s="30"/>
      <c r="L413" s="30"/>
      <c r="M413" s="30"/>
      <c r="N413" s="31"/>
    </row>
    <row r="414" spans="1:14" ht="13.5" thickBot="1" x14ac:dyDescent="0.25">
      <c r="A414" s="20"/>
      <c r="B414" s="49" t="s">
        <v>263</v>
      </c>
      <c r="C414" s="49"/>
      <c r="D414" s="49"/>
      <c r="E414" s="56"/>
      <c r="F414" s="56"/>
      <c r="G414" s="56"/>
      <c r="H414" s="56"/>
      <c r="I414" s="56"/>
      <c r="J414" s="60" t="s">
        <v>907</v>
      </c>
      <c r="K414" s="50" t="s">
        <v>753</v>
      </c>
      <c r="L414" s="50" t="s">
        <v>1090</v>
      </c>
      <c r="M414" s="50" t="s">
        <v>123</v>
      </c>
      <c r="N414" s="50"/>
    </row>
    <row r="415" spans="1:14" ht="13.5" thickBot="1" x14ac:dyDescent="0.25">
      <c r="A415" s="20"/>
      <c r="B415" s="15" t="s">
        <v>263</v>
      </c>
      <c r="J415" s="58"/>
      <c r="K415" s="55"/>
      <c r="L415" s="55" t="s">
        <v>612</v>
      </c>
      <c r="M415" s="55"/>
      <c r="N415" s="55"/>
    </row>
    <row r="416" spans="1:14" x14ac:dyDescent="0.2">
      <c r="A416" s="20"/>
      <c r="B416" s="411" t="s">
        <v>67</v>
      </c>
      <c r="C416" s="411"/>
      <c r="D416" s="411"/>
      <c r="F416" s="16" t="s">
        <v>1180</v>
      </c>
      <c r="G416" s="16" t="s">
        <v>68</v>
      </c>
      <c r="H416" s="16" t="s">
        <v>702</v>
      </c>
      <c r="J416" s="66">
        <f>78/O1*O2</f>
        <v>159.18367346938777</v>
      </c>
      <c r="K416" s="66">
        <f>80/O1*O2</f>
        <v>163.26530612244898</v>
      </c>
      <c r="L416" s="66">
        <f>87/O1*O2</f>
        <v>177.55102040816328</v>
      </c>
      <c r="M416" s="66">
        <f>83/O1*O2</f>
        <v>169.38775510204081</v>
      </c>
      <c r="N416" s="40"/>
    </row>
    <row r="417" spans="1:14" x14ac:dyDescent="0.2">
      <c r="A417" s="24"/>
      <c r="B417" s="411" t="s">
        <v>67</v>
      </c>
      <c r="C417" s="411"/>
      <c r="D417" s="411"/>
      <c r="F417" s="16" t="s">
        <v>1181</v>
      </c>
      <c r="G417" s="16" t="s">
        <v>68</v>
      </c>
      <c r="H417" s="16" t="s">
        <v>702</v>
      </c>
      <c r="J417" s="66">
        <f>45/O1*O2</f>
        <v>91.83673469387756</v>
      </c>
      <c r="K417" s="66">
        <f>46/O1*O2</f>
        <v>93.877551020408163</v>
      </c>
      <c r="L417" s="66">
        <f>54/O1*O2</f>
        <v>110.20408163265306</v>
      </c>
      <c r="M417" s="66">
        <f>51/O1*O2</f>
        <v>104.08163265306122</v>
      </c>
      <c r="N417" s="40"/>
    </row>
    <row r="418" spans="1:14" x14ac:dyDescent="0.2">
      <c r="A418" s="24"/>
      <c r="B418" s="411" t="s">
        <v>67</v>
      </c>
      <c r="C418" s="411"/>
      <c r="D418" s="411"/>
      <c r="F418" s="16" t="s">
        <v>1182</v>
      </c>
      <c r="G418" s="16" t="s">
        <v>68</v>
      </c>
      <c r="H418" s="16" t="s">
        <v>702</v>
      </c>
      <c r="J418" s="66">
        <f>39.5/O1*O2</f>
        <v>80.612244897959187</v>
      </c>
      <c r="K418" s="66">
        <f>40/O1*O2</f>
        <v>81.632653061224488</v>
      </c>
      <c r="L418" s="66">
        <f>46.6/O1*O2</f>
        <v>95.102040816326536</v>
      </c>
      <c r="M418" s="66">
        <f>45.6/O1*O2</f>
        <v>93.061224489795919</v>
      </c>
      <c r="N418" s="40"/>
    </row>
    <row r="419" spans="1:14" ht="13.5" thickBot="1" x14ac:dyDescent="0.25">
      <c r="A419" s="28"/>
      <c r="B419" s="418" t="s">
        <v>67</v>
      </c>
      <c r="C419" s="418"/>
      <c r="D419" s="418"/>
      <c r="E419" s="30"/>
      <c r="F419" s="30" t="s">
        <v>257</v>
      </c>
      <c r="G419" s="30" t="s">
        <v>68</v>
      </c>
      <c r="H419" s="30" t="s">
        <v>702</v>
      </c>
      <c r="I419" s="30"/>
      <c r="J419" s="67">
        <f>45/O1*O2</f>
        <v>91.83673469387756</v>
      </c>
      <c r="K419" s="67">
        <f>46/O1*O2</f>
        <v>93.877551020408163</v>
      </c>
      <c r="L419" s="67">
        <f>54/O1*O2</f>
        <v>110.20408163265306</v>
      </c>
      <c r="M419" s="67">
        <f>51/O1*O2</f>
        <v>104.08163265306122</v>
      </c>
      <c r="N419" s="42"/>
    </row>
    <row r="420" spans="1:14" x14ac:dyDescent="0.2">
      <c r="J420" s="68"/>
      <c r="K420" s="68"/>
      <c r="L420" s="68"/>
      <c r="M420" s="68"/>
      <c r="N420" s="47"/>
    </row>
    <row r="421" spans="1:14" x14ac:dyDescent="0.2">
      <c r="J421" s="68"/>
      <c r="K421" s="68"/>
      <c r="L421" s="68"/>
      <c r="M421" s="68"/>
      <c r="N421" s="47"/>
    </row>
    <row r="422" spans="1:14" x14ac:dyDescent="0.2">
      <c r="J422" s="68"/>
      <c r="K422" s="68"/>
      <c r="L422" s="68"/>
      <c r="M422" s="68"/>
      <c r="N422" s="47"/>
    </row>
    <row r="423" spans="1:14" x14ac:dyDescent="0.2">
      <c r="J423" s="68"/>
      <c r="K423" s="68"/>
      <c r="L423" s="68"/>
      <c r="M423" s="68"/>
      <c r="N423" s="47"/>
    </row>
    <row r="424" spans="1:14" x14ac:dyDescent="0.2">
      <c r="J424" s="68"/>
      <c r="K424" s="68"/>
      <c r="L424" s="68"/>
      <c r="M424" s="68"/>
      <c r="N424" s="47"/>
    </row>
    <row r="425" spans="1:14" x14ac:dyDescent="0.2">
      <c r="J425" s="68"/>
      <c r="K425" s="68"/>
      <c r="L425" s="68"/>
      <c r="M425" s="68"/>
      <c r="N425" s="47"/>
    </row>
    <row r="426" spans="1:14" x14ac:dyDescent="0.2">
      <c r="J426" s="68"/>
      <c r="K426" s="68"/>
      <c r="L426" s="68"/>
      <c r="M426" s="68"/>
      <c r="N426" s="47"/>
    </row>
    <row r="427" spans="1:14" x14ac:dyDescent="0.2">
      <c r="J427" s="68"/>
      <c r="K427" s="68"/>
      <c r="L427" s="68"/>
      <c r="M427" s="68"/>
      <c r="N427" s="47"/>
    </row>
    <row r="428" spans="1:14" x14ac:dyDescent="0.2">
      <c r="J428" s="68"/>
      <c r="K428" s="68"/>
      <c r="L428" s="68"/>
      <c r="M428" s="68"/>
      <c r="N428" s="47"/>
    </row>
    <row r="429" spans="1:14" x14ac:dyDescent="0.2">
      <c r="A429" s="17"/>
      <c r="B429" s="17"/>
      <c r="C429" s="17"/>
      <c r="D429" s="17"/>
      <c r="E429" s="17"/>
      <c r="F429" s="17"/>
      <c r="G429" s="17"/>
      <c r="H429" s="17"/>
      <c r="I429" s="17"/>
      <c r="J429" s="17"/>
      <c r="K429" s="17"/>
      <c r="L429" s="17"/>
      <c r="M429" s="17"/>
      <c r="N429" s="17"/>
    </row>
    <row r="430" spans="1:14" ht="13.5" thickBot="1" x14ac:dyDescent="0.25">
      <c r="A430" s="17"/>
      <c r="B430" s="17"/>
      <c r="C430" s="17"/>
      <c r="D430" s="17"/>
      <c r="E430" s="17"/>
      <c r="F430" s="17"/>
      <c r="G430" s="17"/>
      <c r="H430" s="17"/>
      <c r="I430" s="17"/>
      <c r="J430" s="17"/>
      <c r="K430" s="17"/>
      <c r="L430" s="17"/>
      <c r="M430" s="17"/>
      <c r="N430" s="17"/>
    </row>
    <row r="431" spans="1:14" x14ac:dyDescent="0.2">
      <c r="A431" s="20"/>
      <c r="B431" s="21"/>
      <c r="C431" s="21"/>
      <c r="D431" s="21"/>
      <c r="E431" s="22"/>
      <c r="F431" s="22"/>
      <c r="G431" s="22"/>
      <c r="H431" s="22"/>
      <c r="I431" s="22"/>
      <c r="J431" s="22"/>
      <c r="K431" s="22"/>
      <c r="L431" s="22"/>
      <c r="M431" s="22"/>
      <c r="N431" s="23"/>
    </row>
    <row r="432" spans="1:14" ht="15" x14ac:dyDescent="0.2">
      <c r="A432" s="24"/>
      <c r="B432" s="413" t="s">
        <v>360</v>
      </c>
      <c r="C432" s="414"/>
      <c r="D432" s="414"/>
      <c r="E432" s="414"/>
      <c r="F432" s="414"/>
      <c r="G432" s="414"/>
      <c r="H432" s="414"/>
      <c r="I432" s="414"/>
      <c r="J432" s="414"/>
      <c r="K432" s="414"/>
      <c r="L432" s="414"/>
      <c r="M432" s="415"/>
      <c r="N432" s="25" t="s">
        <v>96</v>
      </c>
    </row>
    <row r="433" spans="1:14" x14ac:dyDescent="0.2">
      <c r="A433" s="24"/>
      <c r="B433" s="26" t="s">
        <v>428</v>
      </c>
      <c r="C433" s="15" t="s">
        <v>258</v>
      </c>
      <c r="N433" s="27"/>
    </row>
    <row r="434" spans="1:14" x14ac:dyDescent="0.2">
      <c r="A434" s="24"/>
      <c r="B434" s="26" t="s">
        <v>429</v>
      </c>
      <c r="C434" s="15" t="s">
        <v>259</v>
      </c>
      <c r="N434" s="27"/>
    </row>
    <row r="435" spans="1:14" x14ac:dyDescent="0.2">
      <c r="A435" s="24"/>
      <c r="B435" s="26" t="s">
        <v>427</v>
      </c>
      <c r="C435" s="409" t="s">
        <v>1598</v>
      </c>
      <c r="D435" s="409"/>
      <c r="E435" s="409"/>
      <c r="F435" s="409"/>
      <c r="G435" s="409"/>
      <c r="H435" s="409"/>
      <c r="I435" s="409"/>
      <c r="J435" s="409"/>
      <c r="K435" s="409"/>
      <c r="L435" s="409"/>
      <c r="M435" s="409"/>
      <c r="N435" s="410"/>
    </row>
    <row r="436" spans="1:14" x14ac:dyDescent="0.2">
      <c r="A436" s="24"/>
      <c r="C436" s="409"/>
      <c r="D436" s="409"/>
      <c r="E436" s="409"/>
      <c r="F436" s="409"/>
      <c r="G436" s="409"/>
      <c r="H436" s="409"/>
      <c r="I436" s="409"/>
      <c r="J436" s="409"/>
      <c r="K436" s="409"/>
      <c r="L436" s="409"/>
      <c r="M436" s="409"/>
      <c r="N436" s="410"/>
    </row>
    <row r="437" spans="1:14" x14ac:dyDescent="0.2">
      <c r="A437" s="24"/>
      <c r="B437" s="26" t="s">
        <v>426</v>
      </c>
      <c r="N437" s="27"/>
    </row>
    <row r="438" spans="1:14" ht="13.5" thickBot="1" x14ac:dyDescent="0.25">
      <c r="A438" s="28"/>
      <c r="B438" s="26" t="s">
        <v>430</v>
      </c>
      <c r="C438" s="29"/>
      <c r="D438" s="29"/>
      <c r="E438" s="30"/>
      <c r="F438" s="30"/>
      <c r="G438" s="30"/>
      <c r="H438" s="30"/>
      <c r="I438" s="30"/>
      <c r="J438" s="30"/>
      <c r="K438" s="30"/>
      <c r="L438" s="30"/>
      <c r="M438" s="30"/>
      <c r="N438" s="31"/>
    </row>
    <row r="439" spans="1:14" x14ac:dyDescent="0.2">
      <c r="A439" s="20"/>
      <c r="B439" s="21" t="s">
        <v>263</v>
      </c>
      <c r="C439" s="21"/>
      <c r="D439" s="21"/>
      <c r="E439" s="22"/>
      <c r="F439" s="22"/>
      <c r="G439" s="22"/>
      <c r="H439" s="22"/>
      <c r="I439" s="22"/>
      <c r="J439" s="32"/>
      <c r="K439" s="33"/>
      <c r="L439" s="33" t="s">
        <v>1901</v>
      </c>
      <c r="M439" s="33"/>
      <c r="N439" s="33"/>
    </row>
    <row r="440" spans="1:14" ht="13.5" thickBot="1" x14ac:dyDescent="0.25">
      <c r="A440" s="28"/>
      <c r="B440" s="29"/>
      <c r="C440" s="29"/>
      <c r="D440" s="29"/>
      <c r="E440" s="30"/>
      <c r="F440" s="30"/>
      <c r="G440" s="30"/>
      <c r="H440" s="30"/>
      <c r="I440" s="30"/>
      <c r="J440" s="35" t="s">
        <v>858</v>
      </c>
      <c r="K440" s="36" t="s">
        <v>759</v>
      </c>
      <c r="L440" s="36" t="s">
        <v>1902</v>
      </c>
      <c r="M440" s="36" t="s">
        <v>1903</v>
      </c>
      <c r="N440" s="36"/>
    </row>
    <row r="441" spans="1:14" x14ac:dyDescent="0.2">
      <c r="A441" s="20"/>
      <c r="B441" s="412" t="s">
        <v>67</v>
      </c>
      <c r="C441" s="412"/>
      <c r="D441" s="412"/>
      <c r="E441" s="22"/>
      <c r="F441" s="22" t="s">
        <v>1180</v>
      </c>
      <c r="G441" s="22" t="s">
        <v>68</v>
      </c>
      <c r="H441" s="22" t="s">
        <v>702</v>
      </c>
      <c r="I441" s="22"/>
      <c r="J441" s="65">
        <f>85/O1*O2</f>
        <v>173.46938775510205</v>
      </c>
      <c r="K441" s="65">
        <f>115/O1*O2</f>
        <v>234.69387755102042</v>
      </c>
      <c r="L441" s="68">
        <f>135/O1*O2</f>
        <v>275.51020408163265</v>
      </c>
      <c r="M441" s="38">
        <f>195/O1*O2</f>
        <v>397.9591836734694</v>
      </c>
      <c r="N441" s="38"/>
    </row>
    <row r="442" spans="1:14" x14ac:dyDescent="0.2">
      <c r="A442" s="24"/>
      <c r="B442" s="411" t="s">
        <v>67</v>
      </c>
      <c r="C442" s="411"/>
      <c r="D442" s="411"/>
      <c r="F442" s="16" t="s">
        <v>1181</v>
      </c>
      <c r="G442" s="16" t="s">
        <v>68</v>
      </c>
      <c r="H442" s="16" t="s">
        <v>702</v>
      </c>
      <c r="J442" s="66">
        <f>45/O1*O2</f>
        <v>91.83673469387756</v>
      </c>
      <c r="K442" s="66">
        <f>62.5/O1*O2</f>
        <v>127.55102040816327</v>
      </c>
      <c r="L442" s="66">
        <f>72.5/O1*O2</f>
        <v>147.9591836734694</v>
      </c>
      <c r="M442" s="40">
        <f>105/O1*O2</f>
        <v>214.28571428571428</v>
      </c>
      <c r="N442" s="40"/>
    </row>
    <row r="443" spans="1:14" ht="13.5" thickBot="1" x14ac:dyDescent="0.25">
      <c r="A443" s="28"/>
      <c r="B443" s="418" t="s">
        <v>67</v>
      </c>
      <c r="C443" s="418"/>
      <c r="D443" s="418"/>
      <c r="E443" s="30"/>
      <c r="F443" s="30" t="s">
        <v>1182</v>
      </c>
      <c r="G443" s="30" t="s">
        <v>68</v>
      </c>
      <c r="H443" s="30" t="s">
        <v>702</v>
      </c>
      <c r="I443" s="30"/>
      <c r="J443" s="67">
        <f>41.66/O1*O2</f>
        <v>85.020408163265301</v>
      </c>
      <c r="K443" s="67">
        <f>55/O1*O2</f>
        <v>112.24489795918367</v>
      </c>
      <c r="L443" s="67">
        <f>61.6/O1*O2</f>
        <v>125.71428571428572</v>
      </c>
      <c r="M443" s="42">
        <f>84/O1*O2</f>
        <v>171.42857142857144</v>
      </c>
      <c r="N443" s="42"/>
    </row>
    <row r="444" spans="1:14" ht="13.5" thickBot="1" x14ac:dyDescent="0.25">
      <c r="A444" s="48"/>
      <c r="B444" s="21"/>
      <c r="C444" s="21"/>
      <c r="D444" s="21"/>
      <c r="E444" s="22"/>
      <c r="F444" s="22"/>
      <c r="G444" s="22"/>
      <c r="H444" s="22"/>
      <c r="I444" s="22"/>
      <c r="J444" s="22"/>
      <c r="K444" s="22"/>
      <c r="L444" s="22"/>
      <c r="M444" s="22"/>
      <c r="N444" s="22"/>
    </row>
    <row r="445" spans="1:14" x14ac:dyDescent="0.2">
      <c r="A445" s="20"/>
      <c r="B445" s="21"/>
      <c r="C445" s="21"/>
      <c r="D445" s="21"/>
      <c r="E445" s="22"/>
      <c r="F445" s="22"/>
      <c r="G445" s="22"/>
      <c r="H445" s="22"/>
      <c r="I445" s="22"/>
      <c r="J445" s="22"/>
      <c r="K445" s="22"/>
      <c r="L445" s="22"/>
      <c r="M445" s="22"/>
      <c r="N445" s="23"/>
    </row>
    <row r="446" spans="1:14" ht="15" x14ac:dyDescent="0.2">
      <c r="A446" s="24"/>
      <c r="B446" s="413" t="s">
        <v>69</v>
      </c>
      <c r="C446" s="414"/>
      <c r="D446" s="414"/>
      <c r="E446" s="414"/>
      <c r="F446" s="414"/>
      <c r="G446" s="414"/>
      <c r="H446" s="414"/>
      <c r="I446" s="414"/>
      <c r="J446" s="414"/>
      <c r="K446" s="414"/>
      <c r="L446" s="414"/>
      <c r="M446" s="415"/>
      <c r="N446" s="25" t="s">
        <v>96</v>
      </c>
    </row>
    <row r="447" spans="1:14" x14ac:dyDescent="0.2">
      <c r="A447" s="24"/>
      <c r="B447" s="26" t="s">
        <v>428</v>
      </c>
      <c r="C447" s="15" t="s">
        <v>888</v>
      </c>
      <c r="N447" s="27"/>
    </row>
    <row r="448" spans="1:14" x14ac:dyDescent="0.2">
      <c r="A448" s="24"/>
      <c r="B448" s="26" t="s">
        <v>429</v>
      </c>
      <c r="C448" s="15" t="s">
        <v>71</v>
      </c>
      <c r="N448" s="27"/>
    </row>
    <row r="449" spans="1:14" x14ac:dyDescent="0.2">
      <c r="A449" s="24"/>
      <c r="B449" s="26" t="s">
        <v>427</v>
      </c>
      <c r="C449" s="409" t="s">
        <v>1599</v>
      </c>
      <c r="D449" s="409"/>
      <c r="E449" s="409"/>
      <c r="F449" s="409"/>
      <c r="G449" s="409"/>
      <c r="H449" s="409"/>
      <c r="I449" s="409"/>
      <c r="J449" s="409"/>
      <c r="K449" s="409"/>
      <c r="L449" s="409"/>
      <c r="M449" s="409"/>
      <c r="N449" s="410"/>
    </row>
    <row r="450" spans="1:14" x14ac:dyDescent="0.2">
      <c r="A450" s="24"/>
      <c r="C450" s="409"/>
      <c r="D450" s="409"/>
      <c r="E450" s="409"/>
      <c r="F450" s="409"/>
      <c r="G450" s="409"/>
      <c r="H450" s="409"/>
      <c r="I450" s="409"/>
      <c r="J450" s="409"/>
      <c r="K450" s="409"/>
      <c r="L450" s="409"/>
      <c r="M450" s="409"/>
      <c r="N450" s="410"/>
    </row>
    <row r="451" spans="1:14" x14ac:dyDescent="0.2">
      <c r="A451" s="24"/>
      <c r="B451" s="26" t="s">
        <v>426</v>
      </c>
      <c r="C451" s="15" t="s">
        <v>70</v>
      </c>
      <c r="N451" s="27"/>
    </row>
    <row r="452" spans="1:14" ht="13.5" thickBot="1" x14ac:dyDescent="0.25">
      <c r="A452" s="28"/>
      <c r="B452" s="26" t="s">
        <v>430</v>
      </c>
      <c r="C452" s="29"/>
      <c r="D452" s="29"/>
      <c r="E452" s="30"/>
      <c r="F452" s="30"/>
      <c r="G452" s="30"/>
      <c r="H452" s="30"/>
      <c r="I452" s="30"/>
      <c r="J452" s="30"/>
      <c r="K452" s="30"/>
      <c r="L452" s="30"/>
      <c r="M452" s="30"/>
      <c r="N452" s="31"/>
    </row>
    <row r="453" spans="1:14" ht="13.5" thickBot="1" x14ac:dyDescent="0.25">
      <c r="A453" s="20"/>
      <c r="B453" s="21" t="s">
        <v>263</v>
      </c>
      <c r="C453" s="21"/>
      <c r="D453" s="21"/>
      <c r="E453" s="22"/>
      <c r="F453" s="22"/>
      <c r="G453" s="22"/>
      <c r="H453" s="22"/>
      <c r="I453" s="22"/>
      <c r="J453" s="32" t="s">
        <v>907</v>
      </c>
      <c r="K453" s="33" t="s">
        <v>611</v>
      </c>
      <c r="L453" s="50"/>
      <c r="M453" s="33"/>
      <c r="N453" s="33"/>
    </row>
    <row r="454" spans="1:14" x14ac:dyDescent="0.2">
      <c r="A454" s="20"/>
      <c r="B454" s="412" t="s">
        <v>67</v>
      </c>
      <c r="C454" s="412"/>
      <c r="D454" s="412"/>
      <c r="E454" s="22"/>
      <c r="F454" s="22" t="s">
        <v>1180</v>
      </c>
      <c r="G454" s="22" t="s">
        <v>68</v>
      </c>
      <c r="H454" s="22" t="s">
        <v>702</v>
      </c>
      <c r="I454" s="22"/>
      <c r="J454" s="65">
        <f>40/O1*O2</f>
        <v>81.632653061224488</v>
      </c>
      <c r="K454" s="65">
        <f>50/O1*O2</f>
        <v>102.04081632653062</v>
      </c>
      <c r="L454" s="68"/>
      <c r="M454" s="38"/>
      <c r="N454" s="38"/>
    </row>
    <row r="455" spans="1:14" x14ac:dyDescent="0.2">
      <c r="A455" s="24"/>
      <c r="B455" s="411" t="s">
        <v>67</v>
      </c>
      <c r="C455" s="411"/>
      <c r="D455" s="411"/>
      <c r="F455" s="16" t="s">
        <v>1181</v>
      </c>
      <c r="G455" s="16" t="s">
        <v>68</v>
      </c>
      <c r="H455" s="16" t="s">
        <v>702</v>
      </c>
      <c r="J455" s="66">
        <f>27.5/O1*O2</f>
        <v>56.122448979591837</v>
      </c>
      <c r="K455" s="66">
        <f>32.5/O1*O2</f>
        <v>66.326530612244895</v>
      </c>
      <c r="L455" s="66"/>
      <c r="M455" s="40"/>
      <c r="N455" s="40"/>
    </row>
    <row r="456" spans="1:14" ht="13.5" thickBot="1" x14ac:dyDescent="0.25">
      <c r="A456" s="28"/>
      <c r="B456" s="418" t="s">
        <v>67</v>
      </c>
      <c r="C456" s="418"/>
      <c r="D456" s="418"/>
      <c r="E456" s="30"/>
      <c r="F456" s="30" t="s">
        <v>1182</v>
      </c>
      <c r="G456" s="30" t="s">
        <v>68</v>
      </c>
      <c r="H456" s="30" t="s">
        <v>702</v>
      </c>
      <c r="I456" s="30"/>
      <c r="J456" s="67">
        <f>23.5/O1*O2</f>
        <v>47.95918367346939</v>
      </c>
      <c r="K456" s="67">
        <f>26.6/O1*O2</f>
        <v>54.285714285714292</v>
      </c>
      <c r="L456" s="67"/>
      <c r="M456" s="42"/>
      <c r="N456" s="42"/>
    </row>
    <row r="457" spans="1:14" ht="13.5" thickBot="1" x14ac:dyDescent="0.25">
      <c r="A457" s="17"/>
      <c r="B457" s="17"/>
      <c r="C457" s="17"/>
      <c r="D457" s="17"/>
      <c r="E457" s="17"/>
      <c r="F457" s="17"/>
      <c r="G457" s="17"/>
      <c r="H457" s="17"/>
      <c r="I457" s="17"/>
      <c r="J457" s="17"/>
      <c r="K457" s="17"/>
      <c r="L457" s="17"/>
      <c r="M457" s="17"/>
      <c r="N457" s="17"/>
    </row>
    <row r="458" spans="1:14" ht="13.5" thickBot="1" x14ac:dyDescent="0.25">
      <c r="A458" s="20"/>
      <c r="B458" s="21"/>
      <c r="C458" s="21"/>
      <c r="D458" s="21"/>
      <c r="E458" s="22"/>
      <c r="F458" s="22"/>
      <c r="G458" s="22"/>
      <c r="H458" s="22"/>
      <c r="I458" s="22"/>
      <c r="J458" s="22"/>
      <c r="K458" s="22"/>
      <c r="L458" s="22"/>
      <c r="M458" s="22"/>
      <c r="N458" s="23"/>
    </row>
    <row r="459" spans="1:14" x14ac:dyDescent="0.2">
      <c r="A459" s="20"/>
      <c r="B459" s="21"/>
      <c r="C459" s="21"/>
      <c r="D459" s="21"/>
      <c r="E459" s="22"/>
      <c r="F459" s="22"/>
      <c r="G459" s="22"/>
      <c r="H459" s="22"/>
      <c r="I459" s="22"/>
      <c r="J459" s="22"/>
      <c r="K459" s="22"/>
      <c r="L459" s="22"/>
      <c r="M459" s="22"/>
      <c r="N459" s="23"/>
    </row>
    <row r="460" spans="1:14" ht="15" x14ac:dyDescent="0.2">
      <c r="A460" s="24"/>
      <c r="B460" s="413" t="s">
        <v>1393</v>
      </c>
      <c r="C460" s="414"/>
      <c r="D460" s="414"/>
      <c r="E460" s="414"/>
      <c r="F460" s="414"/>
      <c r="G460" s="414"/>
      <c r="H460" s="414"/>
      <c r="I460" s="414"/>
      <c r="J460" s="414"/>
      <c r="K460" s="414"/>
      <c r="L460" s="414"/>
      <c r="M460" s="415"/>
      <c r="N460" s="25" t="s">
        <v>96</v>
      </c>
    </row>
    <row r="461" spans="1:14" x14ac:dyDescent="0.2">
      <c r="A461" s="24"/>
      <c r="B461" s="26" t="s">
        <v>428</v>
      </c>
      <c r="C461" s="15" t="s">
        <v>1488</v>
      </c>
      <c r="N461" s="27"/>
    </row>
    <row r="462" spans="1:14" x14ac:dyDescent="0.2">
      <c r="A462" s="24"/>
      <c r="B462" s="26" t="s">
        <v>429</v>
      </c>
      <c r="C462" s="15" t="s">
        <v>1489</v>
      </c>
      <c r="N462" s="27"/>
    </row>
    <row r="463" spans="1:14" x14ac:dyDescent="0.2">
      <c r="A463" s="24"/>
      <c r="B463" s="26" t="s">
        <v>427</v>
      </c>
      <c r="C463" s="409" t="s">
        <v>1600</v>
      </c>
      <c r="D463" s="409"/>
      <c r="E463" s="409"/>
      <c r="F463" s="409"/>
      <c r="G463" s="409"/>
      <c r="H463" s="409"/>
      <c r="I463" s="409"/>
      <c r="J463" s="409"/>
      <c r="K463" s="409"/>
      <c r="L463" s="409"/>
      <c r="M463" s="409"/>
      <c r="N463" s="410"/>
    </row>
    <row r="464" spans="1:14" x14ac:dyDescent="0.2">
      <c r="A464" s="24"/>
      <c r="C464" s="409"/>
      <c r="D464" s="409"/>
      <c r="E464" s="409"/>
      <c r="F464" s="409"/>
      <c r="G464" s="409"/>
      <c r="H464" s="409"/>
      <c r="I464" s="409"/>
      <c r="J464" s="409"/>
      <c r="K464" s="409"/>
      <c r="L464" s="409"/>
      <c r="M464" s="409"/>
      <c r="N464" s="410"/>
    </row>
    <row r="465" spans="1:14" x14ac:dyDescent="0.2">
      <c r="A465" s="24"/>
      <c r="C465" s="409"/>
      <c r="D465" s="409"/>
      <c r="E465" s="409"/>
      <c r="F465" s="409"/>
      <c r="G465" s="409"/>
      <c r="H465" s="409"/>
      <c r="I465" s="409"/>
      <c r="J465" s="409"/>
      <c r="K465" s="409"/>
      <c r="L465" s="409"/>
      <c r="M465" s="409"/>
      <c r="N465" s="410"/>
    </row>
    <row r="466" spans="1:14" x14ac:dyDescent="0.2">
      <c r="A466" s="24"/>
      <c r="B466" s="26" t="s">
        <v>426</v>
      </c>
      <c r="C466" s="15" t="s">
        <v>222</v>
      </c>
      <c r="N466" s="27"/>
    </row>
    <row r="467" spans="1:14" ht="13.5" thickBot="1" x14ac:dyDescent="0.25">
      <c r="A467" s="28"/>
      <c r="B467" s="43" t="s">
        <v>430</v>
      </c>
      <c r="C467" s="29"/>
      <c r="D467" s="29"/>
      <c r="E467" s="30"/>
      <c r="F467" s="30"/>
      <c r="G467" s="30"/>
      <c r="H467" s="30"/>
      <c r="I467" s="30"/>
      <c r="J467" s="30"/>
      <c r="K467" s="30"/>
      <c r="L467" s="30"/>
      <c r="M467" s="30"/>
      <c r="N467" s="31"/>
    </row>
    <row r="468" spans="1:14" ht="13.5" thickBot="1" x14ac:dyDescent="0.25">
      <c r="A468" s="28"/>
      <c r="B468" s="49" t="s">
        <v>263</v>
      </c>
      <c r="C468" s="29"/>
      <c r="D468" s="29"/>
      <c r="E468" s="30"/>
      <c r="F468" s="30"/>
      <c r="G468" s="30"/>
      <c r="H468" s="30"/>
      <c r="I468" s="30"/>
      <c r="J468" s="44" t="s">
        <v>907</v>
      </c>
      <c r="K468" s="36" t="s">
        <v>611</v>
      </c>
      <c r="L468" s="36"/>
      <c r="M468" s="36"/>
      <c r="N468" s="36"/>
    </row>
    <row r="469" spans="1:14" x14ac:dyDescent="0.2">
      <c r="A469" s="20"/>
      <c r="B469" s="412" t="s">
        <v>67</v>
      </c>
      <c r="C469" s="412"/>
      <c r="D469" s="412"/>
      <c r="E469" s="22"/>
      <c r="F469" s="22" t="s">
        <v>1180</v>
      </c>
      <c r="G469" s="22" t="s">
        <v>68</v>
      </c>
      <c r="H469" s="22" t="s">
        <v>702</v>
      </c>
      <c r="I469" s="22"/>
      <c r="J469" s="65">
        <f>53/O1*O2</f>
        <v>108.16326530612245</v>
      </c>
      <c r="K469" s="65">
        <f>70/O1*O2</f>
        <v>142.85714285714286</v>
      </c>
      <c r="L469" s="47"/>
      <c r="M469" s="38"/>
      <c r="N469" s="38"/>
    </row>
    <row r="470" spans="1:14" x14ac:dyDescent="0.2">
      <c r="A470" s="24"/>
      <c r="B470" s="411" t="s">
        <v>67</v>
      </c>
      <c r="C470" s="411"/>
      <c r="D470" s="411"/>
      <c r="F470" s="16" t="s">
        <v>1181</v>
      </c>
      <c r="G470" s="16" t="s">
        <v>68</v>
      </c>
      <c r="H470" s="16" t="s">
        <v>702</v>
      </c>
      <c r="J470" s="66">
        <f>31.5/O1*O2</f>
        <v>64.285714285714292</v>
      </c>
      <c r="K470" s="66">
        <f>40/O1*O2</f>
        <v>81.632653061224488</v>
      </c>
      <c r="L470" s="40"/>
      <c r="M470" s="40"/>
      <c r="N470" s="40"/>
    </row>
    <row r="471" spans="1:14" x14ac:dyDescent="0.2">
      <c r="A471" s="24"/>
      <c r="B471" s="411" t="s">
        <v>67</v>
      </c>
      <c r="C471" s="411"/>
      <c r="D471" s="411"/>
      <c r="F471" s="16" t="s">
        <v>1182</v>
      </c>
      <c r="G471" s="16" t="s">
        <v>68</v>
      </c>
      <c r="H471" s="16" t="s">
        <v>702</v>
      </c>
      <c r="J471" s="66">
        <f>27/O1*O2</f>
        <v>55.102040816326529</v>
      </c>
      <c r="K471" s="66">
        <f>30.6/O1*O2</f>
        <v>62.448979591836739</v>
      </c>
      <c r="L471" s="40"/>
      <c r="M471" s="40"/>
      <c r="N471" s="40"/>
    </row>
    <row r="472" spans="1:14" ht="13.5" thickBot="1" x14ac:dyDescent="0.25">
      <c r="A472" s="28"/>
      <c r="B472" s="418"/>
      <c r="C472" s="418"/>
      <c r="D472" s="418"/>
      <c r="E472" s="30"/>
      <c r="F472" s="30"/>
      <c r="G472" s="30"/>
      <c r="H472" s="30"/>
      <c r="I472" s="30"/>
      <c r="J472" s="67"/>
      <c r="K472" s="67"/>
      <c r="L472" s="42"/>
      <c r="M472" s="42"/>
      <c r="N472" s="42"/>
    </row>
    <row r="473" spans="1:14" ht="13.5" thickBot="1" x14ac:dyDescent="0.25">
      <c r="A473" s="75"/>
      <c r="B473" s="49" t="s">
        <v>447</v>
      </c>
      <c r="C473" s="49"/>
      <c r="D473" s="49"/>
      <c r="E473" s="56"/>
      <c r="F473" s="56"/>
      <c r="G473" s="56"/>
      <c r="H473" s="56"/>
      <c r="I473" s="56"/>
      <c r="J473" s="56"/>
      <c r="K473" s="56"/>
      <c r="L473" s="56"/>
      <c r="M473" s="56"/>
      <c r="N473" s="57"/>
    </row>
    <row r="474" spans="1:14" x14ac:dyDescent="0.2">
      <c r="B474" s="14"/>
      <c r="E474" s="15"/>
    </row>
    <row r="475" spans="1:14" x14ac:dyDescent="0.2">
      <c r="A475" s="17"/>
      <c r="B475" s="17"/>
      <c r="C475" s="17"/>
      <c r="D475" s="17"/>
      <c r="E475" s="17"/>
      <c r="F475" s="17"/>
      <c r="G475" s="17"/>
      <c r="H475" s="17"/>
      <c r="I475" s="17"/>
      <c r="J475" s="17"/>
      <c r="K475" s="17"/>
      <c r="L475" s="17"/>
      <c r="M475" s="17"/>
      <c r="N475" s="17"/>
    </row>
    <row r="476" spans="1:14" x14ac:dyDescent="0.2">
      <c r="A476" s="17"/>
      <c r="B476" s="17"/>
      <c r="C476" s="17"/>
      <c r="D476" s="17"/>
      <c r="E476" s="17"/>
      <c r="F476" s="17"/>
      <c r="G476" s="17"/>
      <c r="H476" s="17"/>
      <c r="I476" s="17"/>
      <c r="J476" s="17"/>
      <c r="K476" s="17"/>
      <c r="L476" s="17"/>
      <c r="M476" s="17"/>
      <c r="N476" s="17"/>
    </row>
    <row r="477" spans="1:14" x14ac:dyDescent="0.2">
      <c r="A477" s="17"/>
      <c r="B477" s="17"/>
      <c r="C477" s="17"/>
      <c r="D477" s="17"/>
      <c r="E477" s="17"/>
      <c r="F477" s="17"/>
      <c r="G477" s="17"/>
      <c r="H477" s="17"/>
      <c r="I477" s="17"/>
      <c r="J477" s="17"/>
      <c r="K477" s="17"/>
      <c r="L477" s="17"/>
      <c r="M477" s="17"/>
      <c r="N477" s="17"/>
    </row>
    <row r="478" spans="1:14" x14ac:dyDescent="0.2">
      <c r="A478" s="17"/>
      <c r="B478" s="17"/>
      <c r="C478" s="17"/>
      <c r="D478" s="17"/>
      <c r="E478" s="17"/>
      <c r="F478" s="17"/>
      <c r="G478" s="17"/>
      <c r="H478" s="17"/>
      <c r="I478" s="17"/>
      <c r="J478" s="17"/>
      <c r="K478" s="17"/>
      <c r="L478" s="17"/>
      <c r="M478" s="17"/>
      <c r="N478" s="17"/>
    </row>
    <row r="479" spans="1:14" x14ac:dyDescent="0.2">
      <c r="A479" s="17"/>
      <c r="B479" s="17"/>
      <c r="C479" s="17"/>
      <c r="D479" s="17"/>
      <c r="E479" s="17"/>
      <c r="F479" s="17"/>
      <c r="G479" s="17"/>
      <c r="H479" s="17"/>
      <c r="I479" s="17"/>
      <c r="J479" s="17"/>
      <c r="K479" s="17"/>
      <c r="L479" s="17"/>
      <c r="M479" s="17"/>
      <c r="N479" s="17"/>
    </row>
    <row r="480" spans="1:14" x14ac:dyDescent="0.2">
      <c r="A480" s="17"/>
      <c r="B480" s="17"/>
      <c r="C480" s="17"/>
      <c r="D480" s="17"/>
      <c r="E480" s="17"/>
      <c r="F480" s="17"/>
      <c r="G480" s="17"/>
      <c r="H480" s="17"/>
      <c r="I480" s="17"/>
      <c r="J480" s="17"/>
      <c r="K480" s="17"/>
      <c r="L480" s="17"/>
      <c r="M480" s="17"/>
      <c r="N480" s="17"/>
    </row>
    <row r="481" spans="1:15" x14ac:dyDescent="0.2">
      <c r="A481" s="17"/>
      <c r="B481" s="17"/>
      <c r="C481" s="17"/>
      <c r="D481" s="17"/>
      <c r="E481" s="17"/>
      <c r="F481" s="17"/>
      <c r="G481" s="17"/>
      <c r="H481" s="17"/>
      <c r="I481" s="17"/>
      <c r="J481" s="17"/>
      <c r="K481" s="17"/>
      <c r="L481" s="17"/>
      <c r="M481" s="17"/>
      <c r="N481" s="17"/>
    </row>
    <row r="482" spans="1:15" ht="13.5" thickBot="1" x14ac:dyDescent="0.25">
      <c r="A482" s="17"/>
      <c r="B482" s="17"/>
      <c r="C482" s="17"/>
      <c r="D482" s="17"/>
      <c r="E482" s="17"/>
      <c r="F482" s="17"/>
      <c r="G482" s="17"/>
      <c r="H482" s="17"/>
      <c r="I482" s="17"/>
      <c r="J482" s="17"/>
      <c r="K482" s="17"/>
      <c r="L482" s="17"/>
      <c r="M482" s="17"/>
      <c r="N482" s="17"/>
    </row>
    <row r="483" spans="1:15" x14ac:dyDescent="0.2">
      <c r="A483" s="20"/>
      <c r="B483" s="21"/>
      <c r="C483" s="21"/>
      <c r="D483" s="21"/>
      <c r="E483" s="22"/>
      <c r="F483" s="22"/>
      <c r="G483" s="22"/>
      <c r="H483" s="22"/>
      <c r="I483" s="22"/>
      <c r="J483" s="22"/>
      <c r="K483" s="22"/>
      <c r="L483" s="22"/>
      <c r="M483" s="22"/>
      <c r="N483" s="23"/>
    </row>
    <row r="484" spans="1:15" ht="15" x14ac:dyDescent="0.2">
      <c r="A484" s="24"/>
      <c r="B484" s="413" t="s">
        <v>1447</v>
      </c>
      <c r="C484" s="414"/>
      <c r="D484" s="414"/>
      <c r="E484" s="414"/>
      <c r="F484" s="414"/>
      <c r="G484" s="414"/>
      <c r="H484" s="414"/>
      <c r="I484" s="414"/>
      <c r="J484" s="414"/>
      <c r="K484" s="414"/>
      <c r="L484" s="414"/>
      <c r="M484" s="415"/>
      <c r="N484" s="25" t="s">
        <v>905</v>
      </c>
    </row>
    <row r="485" spans="1:15" x14ac:dyDescent="0.2">
      <c r="A485" s="24"/>
      <c r="B485" s="26" t="s">
        <v>428</v>
      </c>
      <c r="C485" s="15" t="s">
        <v>1448</v>
      </c>
      <c r="N485" s="27"/>
    </row>
    <row r="486" spans="1:15" x14ac:dyDescent="0.2">
      <c r="A486" s="24"/>
      <c r="B486" s="26" t="s">
        <v>429</v>
      </c>
      <c r="C486" s="15" t="s">
        <v>1449</v>
      </c>
      <c r="N486" s="27"/>
    </row>
    <row r="487" spans="1:15" x14ac:dyDescent="0.2">
      <c r="A487" s="24"/>
      <c r="B487" s="26" t="s">
        <v>427</v>
      </c>
      <c r="C487" s="416" t="s">
        <v>1601</v>
      </c>
      <c r="D487" s="416"/>
      <c r="E487" s="416"/>
      <c r="F487" s="416"/>
      <c r="G487" s="416"/>
      <c r="H487" s="416"/>
      <c r="I487" s="416"/>
      <c r="J487" s="416"/>
      <c r="K487" s="416"/>
      <c r="L487" s="416"/>
      <c r="M487" s="416"/>
      <c r="N487" s="417"/>
    </row>
    <row r="488" spans="1:15" x14ac:dyDescent="0.2">
      <c r="A488" s="24"/>
      <c r="C488" s="416"/>
      <c r="D488" s="416"/>
      <c r="E488" s="416"/>
      <c r="F488" s="416"/>
      <c r="G488" s="416"/>
      <c r="H488" s="416"/>
      <c r="I488" s="416"/>
      <c r="J488" s="416"/>
      <c r="K488" s="416"/>
      <c r="L488" s="416"/>
      <c r="M488" s="416"/>
      <c r="N488" s="417"/>
    </row>
    <row r="489" spans="1:15" x14ac:dyDescent="0.2">
      <c r="A489" s="24"/>
      <c r="B489" s="26" t="s">
        <v>426</v>
      </c>
      <c r="N489" s="27"/>
    </row>
    <row r="490" spans="1:15" ht="13.5" thickBot="1" x14ac:dyDescent="0.25">
      <c r="A490" s="28"/>
      <c r="B490" s="43" t="s">
        <v>430</v>
      </c>
      <c r="C490" s="29"/>
      <c r="D490" s="29"/>
      <c r="E490" s="30"/>
      <c r="F490" s="30"/>
      <c r="G490" s="30"/>
      <c r="H490" s="30"/>
      <c r="I490" s="30"/>
      <c r="J490" s="30"/>
      <c r="L490" s="30"/>
      <c r="M490" s="30"/>
      <c r="N490" s="31"/>
    </row>
    <row r="491" spans="1:15" x14ac:dyDescent="0.2">
      <c r="A491" s="20"/>
      <c r="B491" s="21" t="s">
        <v>263</v>
      </c>
      <c r="C491" s="21"/>
      <c r="D491" s="21"/>
      <c r="E491" s="22"/>
      <c r="F491" s="22"/>
      <c r="G491" s="22"/>
      <c r="H491" s="22"/>
      <c r="I491" s="23"/>
      <c r="J491" s="33"/>
      <c r="K491" s="33" t="s">
        <v>1754</v>
      </c>
      <c r="L491" s="33"/>
      <c r="M491" s="32"/>
      <c r="N491" s="33"/>
    </row>
    <row r="492" spans="1:15" ht="13.5" thickBot="1" x14ac:dyDescent="0.25">
      <c r="A492" s="24"/>
      <c r="J492" s="36" t="s">
        <v>909</v>
      </c>
      <c r="K492" s="36" t="s">
        <v>612</v>
      </c>
      <c r="L492" s="36" t="s">
        <v>123</v>
      </c>
      <c r="M492" s="55"/>
      <c r="N492" s="55"/>
    </row>
    <row r="493" spans="1:15" x14ac:dyDescent="0.2">
      <c r="A493" s="20"/>
      <c r="B493" s="412" t="s">
        <v>67</v>
      </c>
      <c r="C493" s="412"/>
      <c r="D493" s="412"/>
      <c r="E493" s="22"/>
      <c r="F493" s="22" t="s">
        <v>1180</v>
      </c>
      <c r="G493" s="22" t="s">
        <v>68</v>
      </c>
      <c r="H493" s="22" t="s">
        <v>702</v>
      </c>
      <c r="I493" s="22"/>
      <c r="J493" s="66">
        <f>100/O1*O2</f>
        <v>204.08163265306123</v>
      </c>
      <c r="K493" s="66">
        <f>130/O1*O2</f>
        <v>265.30612244897958</v>
      </c>
      <c r="L493" s="68">
        <f>110/O1*O2</f>
        <v>224.48979591836735</v>
      </c>
      <c r="M493" s="38"/>
      <c r="N493" s="38"/>
    </row>
    <row r="494" spans="1:15" x14ac:dyDescent="0.2">
      <c r="A494" s="24"/>
      <c r="B494" s="411" t="s">
        <v>67</v>
      </c>
      <c r="C494" s="411"/>
      <c r="D494" s="411"/>
      <c r="F494" s="16" t="s">
        <v>1181</v>
      </c>
      <c r="G494" s="16" t="s">
        <v>68</v>
      </c>
      <c r="H494" s="16" t="s">
        <v>702</v>
      </c>
      <c r="J494" s="66">
        <f>57.5/O1*O2</f>
        <v>117.34693877551021</v>
      </c>
      <c r="K494" s="66">
        <f>75/O1*O2</f>
        <v>153.06122448979593</v>
      </c>
      <c r="L494" s="66">
        <f>65/O1*O2</f>
        <v>132.65306122448979</v>
      </c>
      <c r="M494" s="40"/>
      <c r="N494" s="40"/>
    </row>
    <row r="495" spans="1:15" x14ac:dyDescent="0.2">
      <c r="A495" s="24"/>
      <c r="B495" s="411" t="s">
        <v>67</v>
      </c>
      <c r="C495" s="411"/>
      <c r="D495" s="411"/>
      <c r="F495" s="16" t="s">
        <v>1182</v>
      </c>
      <c r="G495" s="16" t="s">
        <v>68</v>
      </c>
      <c r="H495" s="16" t="s">
        <v>702</v>
      </c>
      <c r="J495" s="66">
        <f>43.5/O1*O2</f>
        <v>88.775510204081641</v>
      </c>
      <c r="K495" s="66">
        <f>87.5/O1*O2</f>
        <v>178.57142857142858</v>
      </c>
      <c r="L495" s="66">
        <f>77.5/O1*O2</f>
        <v>158.16326530612244</v>
      </c>
      <c r="M495" s="40"/>
      <c r="N495" s="40"/>
      <c r="O495" s="16"/>
    </row>
    <row r="496" spans="1:15" ht="13.5" thickBot="1" x14ac:dyDescent="0.25">
      <c r="A496" s="28"/>
      <c r="B496" s="418" t="s">
        <v>902</v>
      </c>
      <c r="C496" s="418"/>
      <c r="D496" s="418"/>
      <c r="E496" s="30"/>
      <c r="F496" s="30"/>
      <c r="G496" s="30" t="s">
        <v>1484</v>
      </c>
      <c r="H496" s="30" t="s">
        <v>702</v>
      </c>
      <c r="I496" s="30"/>
      <c r="J496" s="67">
        <f>28/O1*O2</f>
        <v>57.142857142857146</v>
      </c>
      <c r="K496" s="67">
        <f>30/O1*O2</f>
        <v>61.224489795918366</v>
      </c>
      <c r="L496" s="67">
        <f>30/O1*O2</f>
        <v>61.224489795918366</v>
      </c>
      <c r="M496" s="42"/>
      <c r="N496" s="42"/>
      <c r="O496" s="16"/>
    </row>
    <row r="497" spans="1:15" ht="13.5" thickBot="1" x14ac:dyDescent="0.25">
      <c r="O497" s="16"/>
    </row>
    <row r="498" spans="1:15" x14ac:dyDescent="0.2">
      <c r="A498" s="20"/>
      <c r="B498" s="21"/>
      <c r="C498" s="21"/>
      <c r="D498" s="21"/>
      <c r="E498" s="22"/>
      <c r="F498" s="22"/>
      <c r="G498" s="22"/>
      <c r="H498" s="22"/>
      <c r="I498" s="22"/>
      <c r="J498" s="22"/>
      <c r="K498" s="22"/>
      <c r="L498" s="22"/>
      <c r="M498" s="22"/>
      <c r="N498" s="23"/>
      <c r="O498" s="16"/>
    </row>
    <row r="499" spans="1:15" ht="15" x14ac:dyDescent="0.2">
      <c r="A499" s="24"/>
      <c r="B499" s="413" t="s">
        <v>808</v>
      </c>
      <c r="C499" s="414"/>
      <c r="D499" s="414"/>
      <c r="E499" s="414"/>
      <c r="F499" s="414"/>
      <c r="G499" s="414"/>
      <c r="H499" s="414"/>
      <c r="I499" s="414"/>
      <c r="J499" s="414"/>
      <c r="K499" s="414"/>
      <c r="L499" s="414"/>
      <c r="M499" s="415"/>
      <c r="N499" s="25" t="s">
        <v>905</v>
      </c>
      <c r="O499" s="16"/>
    </row>
    <row r="500" spans="1:15" x14ac:dyDescent="0.2">
      <c r="A500" s="24"/>
      <c r="B500" s="26" t="s">
        <v>428</v>
      </c>
      <c r="C500" s="15" t="s">
        <v>809</v>
      </c>
      <c r="N500" s="27"/>
      <c r="O500" s="16"/>
    </row>
    <row r="501" spans="1:15" x14ac:dyDescent="0.2">
      <c r="A501" s="24"/>
      <c r="B501" s="26" t="s">
        <v>429</v>
      </c>
      <c r="C501" s="15" t="s">
        <v>810</v>
      </c>
      <c r="N501" s="27"/>
      <c r="O501" s="16"/>
    </row>
    <row r="502" spans="1:15" x14ac:dyDescent="0.2">
      <c r="A502" s="24"/>
      <c r="B502" s="26" t="s">
        <v>427</v>
      </c>
      <c r="C502" s="416" t="s">
        <v>1602</v>
      </c>
      <c r="D502" s="416"/>
      <c r="E502" s="416"/>
      <c r="F502" s="416"/>
      <c r="G502" s="416"/>
      <c r="H502" s="416"/>
      <c r="I502" s="416"/>
      <c r="J502" s="416"/>
      <c r="K502" s="416"/>
      <c r="L502" s="416"/>
      <c r="M502" s="416"/>
      <c r="N502" s="417"/>
      <c r="O502" s="16"/>
    </row>
    <row r="503" spans="1:15" x14ac:dyDescent="0.2">
      <c r="A503" s="24"/>
      <c r="B503" s="26"/>
      <c r="C503" s="416"/>
      <c r="D503" s="416"/>
      <c r="E503" s="416"/>
      <c r="F503" s="416"/>
      <c r="G503" s="416"/>
      <c r="H503" s="416"/>
      <c r="I503" s="416"/>
      <c r="J503" s="416"/>
      <c r="K503" s="416"/>
      <c r="L503" s="416"/>
      <c r="M503" s="416"/>
      <c r="N503" s="417"/>
      <c r="O503" s="16"/>
    </row>
    <row r="504" spans="1:15" x14ac:dyDescent="0.2">
      <c r="A504" s="24"/>
      <c r="C504" s="416"/>
      <c r="D504" s="416"/>
      <c r="E504" s="416"/>
      <c r="F504" s="416"/>
      <c r="G504" s="416"/>
      <c r="H504" s="416"/>
      <c r="I504" s="416"/>
      <c r="J504" s="416"/>
      <c r="K504" s="416"/>
      <c r="L504" s="416"/>
      <c r="M504" s="416"/>
      <c r="N504" s="417"/>
      <c r="O504" s="16"/>
    </row>
    <row r="505" spans="1:15" x14ac:dyDescent="0.2">
      <c r="A505" s="24"/>
      <c r="C505" s="416"/>
      <c r="D505" s="416"/>
      <c r="E505" s="416"/>
      <c r="F505" s="416"/>
      <c r="G505" s="416"/>
      <c r="H505" s="416"/>
      <c r="I505" s="416"/>
      <c r="J505" s="416"/>
      <c r="K505" s="416"/>
      <c r="L505" s="416"/>
      <c r="M505" s="416"/>
      <c r="N505" s="417"/>
      <c r="O505" s="16"/>
    </row>
    <row r="506" spans="1:15" x14ac:dyDescent="0.2">
      <c r="A506" s="24"/>
      <c r="B506" s="26" t="s">
        <v>426</v>
      </c>
      <c r="H506" s="15"/>
      <c r="N506" s="27"/>
      <c r="O506" s="16"/>
    </row>
    <row r="507" spans="1:15" ht="13.5" thickBot="1" x14ac:dyDescent="0.25">
      <c r="A507" s="28"/>
      <c r="B507" s="26" t="s">
        <v>430</v>
      </c>
      <c r="C507" s="29"/>
      <c r="D507" s="29"/>
      <c r="E507" s="30"/>
      <c r="F507" s="30"/>
      <c r="G507" s="30"/>
      <c r="H507" s="30"/>
      <c r="I507" s="30"/>
      <c r="J507" s="30"/>
      <c r="K507" s="30"/>
      <c r="L507" s="30"/>
      <c r="M507" s="30"/>
      <c r="N507" s="31"/>
      <c r="O507" s="16"/>
    </row>
    <row r="508" spans="1:15" ht="13.5" thickBot="1" x14ac:dyDescent="0.25">
      <c r="A508" s="24"/>
      <c r="B508" s="21" t="s">
        <v>263</v>
      </c>
      <c r="J508" s="30"/>
      <c r="K508" s="30"/>
      <c r="L508" s="30"/>
      <c r="M508" s="30"/>
      <c r="N508" s="27"/>
      <c r="O508" s="16"/>
    </row>
    <row r="509" spans="1:15" ht="13.5" thickBot="1" x14ac:dyDescent="0.25">
      <c r="A509" s="20"/>
      <c r="B509" s="21" t="s">
        <v>263</v>
      </c>
      <c r="C509" s="21"/>
      <c r="D509" s="21"/>
      <c r="E509" s="22"/>
      <c r="F509" s="22"/>
      <c r="G509" s="22"/>
      <c r="H509" s="22"/>
      <c r="I509" s="22"/>
      <c r="J509" s="50" t="s">
        <v>753</v>
      </c>
      <c r="K509" s="50" t="s">
        <v>206</v>
      </c>
      <c r="L509" s="50"/>
      <c r="M509" s="50"/>
      <c r="N509" s="33"/>
      <c r="O509" s="16"/>
    </row>
    <row r="510" spans="1:15" x14ac:dyDescent="0.2">
      <c r="A510" s="20"/>
      <c r="B510" s="412" t="s">
        <v>67</v>
      </c>
      <c r="C510" s="412"/>
      <c r="D510" s="412"/>
      <c r="E510" s="22"/>
      <c r="F510" s="22" t="s">
        <v>1180</v>
      </c>
      <c r="G510" s="22" t="s">
        <v>68</v>
      </c>
      <c r="H510" s="22" t="s">
        <v>702</v>
      </c>
      <c r="I510" s="22"/>
      <c r="J510" s="66">
        <f>57.5/O1*O2</f>
        <v>117.34693877551021</v>
      </c>
      <c r="K510" s="66">
        <f>70.8/O1*O2</f>
        <v>144.48979591836735</v>
      </c>
      <c r="L510" s="40"/>
      <c r="M510" s="40"/>
      <c r="N510" s="38"/>
      <c r="O510" s="16"/>
    </row>
    <row r="511" spans="1:15" x14ac:dyDescent="0.2">
      <c r="A511" s="24"/>
      <c r="B511" s="411" t="s">
        <v>67</v>
      </c>
      <c r="C511" s="411"/>
      <c r="D511" s="411"/>
      <c r="F511" s="16" t="s">
        <v>1181</v>
      </c>
      <c r="G511" s="16" t="s">
        <v>68</v>
      </c>
      <c r="H511" s="16" t="s">
        <v>702</v>
      </c>
      <c r="J511" s="66">
        <f>31.5/O1*O2</f>
        <v>64.285714285714292</v>
      </c>
      <c r="K511" s="66">
        <f>39.8/O1*O2</f>
        <v>81.224489795918359</v>
      </c>
      <c r="L511" s="40"/>
      <c r="M511" s="40"/>
      <c r="N511" s="40"/>
      <c r="O511" s="16"/>
    </row>
    <row r="512" spans="1:15" x14ac:dyDescent="0.2">
      <c r="A512" s="24"/>
      <c r="B512" s="411" t="s">
        <v>67</v>
      </c>
      <c r="C512" s="411"/>
      <c r="D512" s="411"/>
      <c r="F512" s="16" t="s">
        <v>1182</v>
      </c>
      <c r="G512" s="16" t="s">
        <v>68</v>
      </c>
      <c r="H512" s="16" t="s">
        <v>702</v>
      </c>
      <c r="J512" s="66">
        <f>24.5/O1*O2</f>
        <v>50</v>
      </c>
      <c r="K512" s="66">
        <f>31.7/O1*O2</f>
        <v>64.693877551020407</v>
      </c>
      <c r="L512" s="40"/>
      <c r="M512" s="40"/>
      <c r="N512" s="40"/>
      <c r="O512" s="16"/>
    </row>
    <row r="513" spans="1:15" ht="13.5" thickBot="1" x14ac:dyDescent="0.25">
      <c r="A513" s="28"/>
      <c r="B513" s="418" t="s">
        <v>902</v>
      </c>
      <c r="C513" s="418"/>
      <c r="D513" s="418"/>
      <c r="E513" s="30"/>
      <c r="F513" s="30"/>
      <c r="G513" s="30"/>
      <c r="H513" s="30"/>
      <c r="I513" s="30"/>
      <c r="J513" s="67">
        <f>14/O1*O2</f>
        <v>28.571428571428573</v>
      </c>
      <c r="K513" s="67">
        <f>14/O1*O2</f>
        <v>28.571428571428573</v>
      </c>
      <c r="L513" s="42"/>
      <c r="M513" s="42"/>
      <c r="N513" s="42"/>
      <c r="O513" s="16"/>
    </row>
    <row r="514" spans="1:15" ht="13.5" thickBot="1" x14ac:dyDescent="0.25">
      <c r="O514" s="16"/>
    </row>
    <row r="515" spans="1:15" x14ac:dyDescent="0.2">
      <c r="A515" s="20"/>
      <c r="B515" s="21"/>
      <c r="C515" s="21"/>
      <c r="D515" s="21"/>
      <c r="E515" s="22"/>
      <c r="F515" s="22"/>
      <c r="G515" s="22"/>
      <c r="H515" s="22"/>
      <c r="I515" s="22"/>
      <c r="J515" s="22"/>
      <c r="K515" s="22"/>
      <c r="L515" s="22"/>
      <c r="M515" s="22"/>
      <c r="N515" s="23"/>
      <c r="O515" s="16"/>
    </row>
    <row r="516" spans="1:15" ht="15" x14ac:dyDescent="0.2">
      <c r="A516" s="24"/>
      <c r="B516" s="413" t="s">
        <v>1173</v>
      </c>
      <c r="C516" s="414"/>
      <c r="D516" s="414"/>
      <c r="E516" s="414"/>
      <c r="F516" s="414"/>
      <c r="G516" s="414"/>
      <c r="H516" s="414"/>
      <c r="I516" s="414"/>
      <c r="J516" s="414"/>
      <c r="K516" s="414"/>
      <c r="L516" s="414"/>
      <c r="M516" s="415"/>
      <c r="N516" s="25" t="s">
        <v>905</v>
      </c>
      <c r="O516" s="16"/>
    </row>
    <row r="517" spans="1:15" x14ac:dyDescent="0.2">
      <c r="A517" s="24"/>
      <c r="B517" s="26" t="s">
        <v>428</v>
      </c>
      <c r="C517" s="15" t="s">
        <v>1174</v>
      </c>
      <c r="N517" s="27"/>
      <c r="O517" s="16"/>
    </row>
    <row r="518" spans="1:15" x14ac:dyDescent="0.2">
      <c r="A518" s="24"/>
      <c r="B518" s="26" t="s">
        <v>429</v>
      </c>
      <c r="C518" s="15" t="s">
        <v>1175</v>
      </c>
      <c r="N518" s="27"/>
      <c r="O518" s="16"/>
    </row>
    <row r="519" spans="1:15" x14ac:dyDescent="0.2">
      <c r="A519" s="24"/>
      <c r="B519" s="26" t="s">
        <v>427</v>
      </c>
      <c r="C519" s="416" t="s">
        <v>1603</v>
      </c>
      <c r="D519" s="416"/>
      <c r="E519" s="416"/>
      <c r="F519" s="416"/>
      <c r="G519" s="416"/>
      <c r="H519" s="416"/>
      <c r="I519" s="416"/>
      <c r="J519" s="416"/>
      <c r="K519" s="416"/>
      <c r="L519" s="416"/>
      <c r="M519" s="416"/>
      <c r="N519" s="417"/>
      <c r="O519" s="16"/>
    </row>
    <row r="520" spans="1:15" x14ac:dyDescent="0.2">
      <c r="A520" s="24"/>
      <c r="C520" s="416"/>
      <c r="D520" s="416"/>
      <c r="E520" s="416"/>
      <c r="F520" s="416"/>
      <c r="G520" s="416"/>
      <c r="H520" s="416"/>
      <c r="I520" s="416"/>
      <c r="J520" s="416"/>
      <c r="K520" s="416"/>
      <c r="L520" s="416"/>
      <c r="M520" s="416"/>
      <c r="N520" s="417"/>
      <c r="O520" s="16"/>
    </row>
    <row r="521" spans="1:15" x14ac:dyDescent="0.2">
      <c r="A521" s="24"/>
      <c r="C521" s="416"/>
      <c r="D521" s="416"/>
      <c r="E521" s="416"/>
      <c r="F521" s="416"/>
      <c r="G521" s="416"/>
      <c r="H521" s="416"/>
      <c r="I521" s="416"/>
      <c r="J521" s="416"/>
      <c r="K521" s="416"/>
      <c r="L521" s="416"/>
      <c r="M521" s="416"/>
      <c r="N521" s="417"/>
      <c r="O521" s="16"/>
    </row>
    <row r="522" spans="1:15" x14ac:dyDescent="0.2">
      <c r="A522" s="24"/>
      <c r="B522" s="26" t="s">
        <v>426</v>
      </c>
      <c r="C522" s="15" t="s">
        <v>1363</v>
      </c>
      <c r="H522" s="15"/>
      <c r="N522" s="27"/>
      <c r="O522" s="16"/>
    </row>
    <row r="523" spans="1:15" ht="13.5" thickBot="1" x14ac:dyDescent="0.25">
      <c r="A523" s="28"/>
      <c r="B523" s="26" t="s">
        <v>430</v>
      </c>
      <c r="C523" s="29"/>
      <c r="D523" s="29"/>
      <c r="E523" s="30"/>
      <c r="F523" s="30"/>
      <c r="G523" s="30"/>
      <c r="H523" s="30"/>
      <c r="I523" s="30"/>
      <c r="J523" s="30"/>
      <c r="K523" s="30"/>
      <c r="L523" s="30"/>
      <c r="M523" s="30"/>
      <c r="N523" s="31"/>
      <c r="O523" s="16"/>
    </row>
    <row r="524" spans="1:15" ht="13.5" thickBot="1" x14ac:dyDescent="0.25">
      <c r="A524" s="20"/>
      <c r="B524" s="21" t="s">
        <v>263</v>
      </c>
      <c r="C524" s="21"/>
      <c r="D524" s="21"/>
      <c r="E524" s="22"/>
      <c r="F524" s="22"/>
      <c r="G524" s="22"/>
      <c r="H524" s="22"/>
      <c r="I524" s="22"/>
      <c r="J524" s="33" t="s">
        <v>907</v>
      </c>
      <c r="K524" s="33" t="s">
        <v>753</v>
      </c>
      <c r="L524" s="33" t="s">
        <v>206</v>
      </c>
      <c r="M524" s="33"/>
      <c r="N524" s="33"/>
      <c r="O524" s="16"/>
    </row>
    <row r="525" spans="1:15" x14ac:dyDescent="0.2">
      <c r="A525" s="20"/>
      <c r="B525" s="412" t="s">
        <v>67</v>
      </c>
      <c r="C525" s="412"/>
      <c r="D525" s="412"/>
      <c r="E525" s="22"/>
      <c r="F525" s="22" t="s">
        <v>1180</v>
      </c>
      <c r="G525" s="22" t="s">
        <v>68</v>
      </c>
      <c r="H525" s="22" t="s">
        <v>702</v>
      </c>
      <c r="I525" s="22"/>
      <c r="J525" s="66">
        <f>53/O1*O2</f>
        <v>108.16326530612245</v>
      </c>
      <c r="K525" s="66">
        <f>57/O1*O2</f>
        <v>116.32653061224489</v>
      </c>
      <c r="L525" s="66">
        <f>64/O1*O2</f>
        <v>130.61224489795919</v>
      </c>
      <c r="M525" s="40"/>
      <c r="N525" s="38"/>
      <c r="O525" s="16"/>
    </row>
    <row r="526" spans="1:15" x14ac:dyDescent="0.2">
      <c r="A526" s="24"/>
      <c r="B526" s="411" t="s">
        <v>67</v>
      </c>
      <c r="C526" s="411"/>
      <c r="D526" s="411"/>
      <c r="F526" s="16" t="s">
        <v>1181</v>
      </c>
      <c r="G526" s="16" t="s">
        <v>68</v>
      </c>
      <c r="H526" s="16" t="s">
        <v>702</v>
      </c>
      <c r="J526" s="66">
        <f>28/O1*O2</f>
        <v>57.142857142857146</v>
      </c>
      <c r="K526" s="66">
        <f>31/O1*O2</f>
        <v>63.265306122448983</v>
      </c>
      <c r="L526" s="66">
        <f>34/O1*O2</f>
        <v>69.387755102040813</v>
      </c>
      <c r="M526" s="40"/>
      <c r="N526" s="40"/>
      <c r="O526" s="16"/>
    </row>
    <row r="527" spans="1:15" x14ac:dyDescent="0.2">
      <c r="A527" s="24"/>
      <c r="B527" s="411" t="s">
        <v>67</v>
      </c>
      <c r="C527" s="411"/>
      <c r="D527" s="411"/>
      <c r="F527" s="16" t="s">
        <v>1182</v>
      </c>
      <c r="G527" s="16" t="s">
        <v>68</v>
      </c>
      <c r="H527" s="16" t="s">
        <v>702</v>
      </c>
      <c r="J527" s="66">
        <f>22.5/O1*O2</f>
        <v>45.91836734693878</v>
      </c>
      <c r="K527" s="66">
        <f>24/O1*O2</f>
        <v>48.979591836734691</v>
      </c>
      <c r="L527" s="66">
        <f>25.66/O1*O2</f>
        <v>52.367346938775512</v>
      </c>
      <c r="M527" s="40"/>
      <c r="N527" s="40"/>
    </row>
    <row r="528" spans="1:15" ht="13.5" thickBot="1" x14ac:dyDescent="0.25">
      <c r="A528" s="28"/>
      <c r="B528" s="418" t="s">
        <v>902</v>
      </c>
      <c r="C528" s="418"/>
      <c r="D528" s="418"/>
      <c r="E528" s="30"/>
      <c r="F528" s="30"/>
      <c r="G528" s="30"/>
      <c r="H528" s="30"/>
      <c r="I528" s="31"/>
      <c r="J528" s="67">
        <f>15/O1*O2</f>
        <v>30.612244897959183</v>
      </c>
      <c r="K528" s="67">
        <f>15/O1*O2</f>
        <v>30.612244897959183</v>
      </c>
      <c r="L528" s="67">
        <f>16/O1*O2</f>
        <v>32.653061224489797</v>
      </c>
      <c r="M528" s="42"/>
      <c r="N528" s="42"/>
    </row>
    <row r="529" spans="1:14" x14ac:dyDescent="0.2">
      <c r="J529" s="68"/>
      <c r="K529" s="68"/>
      <c r="L529" s="68"/>
      <c r="M529" s="47"/>
      <c r="N529" s="47"/>
    </row>
    <row r="530" spans="1:14" x14ac:dyDescent="0.2">
      <c r="J530" s="68"/>
      <c r="K530" s="68"/>
      <c r="L530" s="68"/>
      <c r="M530" s="47"/>
      <c r="N530" s="47"/>
    </row>
    <row r="531" spans="1:14" x14ac:dyDescent="0.2">
      <c r="J531" s="68"/>
      <c r="K531" s="68"/>
      <c r="L531" s="68"/>
      <c r="M531" s="47"/>
      <c r="N531" s="47"/>
    </row>
    <row r="532" spans="1:14" x14ac:dyDescent="0.2">
      <c r="J532" s="68"/>
      <c r="K532" s="68"/>
      <c r="L532" s="68"/>
      <c r="M532" s="47"/>
      <c r="N532" s="47"/>
    </row>
    <row r="533" spans="1:14" x14ac:dyDescent="0.2">
      <c r="J533" s="68"/>
      <c r="K533" s="68"/>
      <c r="L533" s="68"/>
      <c r="M533" s="47"/>
      <c r="N533" s="47"/>
    </row>
    <row r="534" spans="1:14" x14ac:dyDescent="0.2">
      <c r="J534" s="68"/>
      <c r="K534" s="68"/>
      <c r="L534" s="68"/>
      <c r="M534" s="47"/>
      <c r="N534" s="47"/>
    </row>
    <row r="535" spans="1:14" x14ac:dyDescent="0.2">
      <c r="J535" s="68"/>
      <c r="K535" s="68"/>
      <c r="L535" s="68"/>
      <c r="M535" s="47"/>
      <c r="N535" s="47"/>
    </row>
    <row r="536" spans="1:14" x14ac:dyDescent="0.2">
      <c r="J536" s="68"/>
      <c r="K536" s="68"/>
      <c r="L536" s="68"/>
      <c r="M536" s="47"/>
      <c r="N536" s="47"/>
    </row>
    <row r="537" spans="1:14" x14ac:dyDescent="0.2">
      <c r="J537" s="68"/>
      <c r="K537" s="68"/>
      <c r="L537" s="68"/>
      <c r="M537" s="47"/>
      <c r="N537" s="47"/>
    </row>
    <row r="538" spans="1:14" x14ac:dyDescent="0.2">
      <c r="J538" s="68"/>
      <c r="K538" s="68"/>
      <c r="L538" s="68"/>
      <c r="M538" s="47"/>
      <c r="N538" s="47"/>
    </row>
    <row r="539" spans="1:14" ht="13.5" thickBot="1" x14ac:dyDescent="0.25"/>
    <row r="540" spans="1:14" x14ac:dyDescent="0.2">
      <c r="A540" s="20"/>
      <c r="B540" s="21"/>
      <c r="C540" s="21"/>
      <c r="D540" s="21"/>
      <c r="E540" s="22"/>
      <c r="F540" s="22"/>
      <c r="G540" s="22"/>
      <c r="H540" s="22"/>
      <c r="I540" s="22"/>
      <c r="J540" s="22"/>
      <c r="K540" s="22"/>
      <c r="L540" s="22"/>
      <c r="M540" s="22"/>
      <c r="N540" s="23"/>
    </row>
    <row r="541" spans="1:14" ht="15" x14ac:dyDescent="0.2">
      <c r="A541" s="24"/>
      <c r="B541" s="413" t="s">
        <v>274</v>
      </c>
      <c r="C541" s="414"/>
      <c r="D541" s="414"/>
      <c r="E541" s="414"/>
      <c r="F541" s="414"/>
      <c r="G541" s="414"/>
      <c r="H541" s="414"/>
      <c r="I541" s="414"/>
      <c r="J541" s="414"/>
      <c r="K541" s="414"/>
      <c r="L541" s="414"/>
      <c r="M541" s="415"/>
      <c r="N541" s="25" t="s">
        <v>96</v>
      </c>
    </row>
    <row r="542" spans="1:14" x14ac:dyDescent="0.2">
      <c r="A542" s="24"/>
      <c r="B542" s="26" t="s">
        <v>428</v>
      </c>
      <c r="C542" s="15" t="s">
        <v>275</v>
      </c>
      <c r="N542" s="27"/>
    </row>
    <row r="543" spans="1:14" x14ac:dyDescent="0.2">
      <c r="A543" s="24"/>
      <c r="B543" s="26" t="s">
        <v>429</v>
      </c>
      <c r="C543" s="15" t="s">
        <v>276</v>
      </c>
      <c r="N543" s="27"/>
    </row>
    <row r="544" spans="1:14" x14ac:dyDescent="0.2">
      <c r="A544" s="24"/>
      <c r="B544" s="26" t="s">
        <v>427</v>
      </c>
      <c r="C544" s="409" t="s">
        <v>1604</v>
      </c>
      <c r="D544" s="409"/>
      <c r="E544" s="409"/>
      <c r="F544" s="409"/>
      <c r="G544" s="409"/>
      <c r="H544" s="409"/>
      <c r="I544" s="409"/>
      <c r="J544" s="409"/>
      <c r="K544" s="409"/>
      <c r="L544" s="409"/>
      <c r="M544" s="409"/>
      <c r="N544" s="410"/>
    </row>
    <row r="545" spans="1:14" x14ac:dyDescent="0.2">
      <c r="A545" s="24"/>
      <c r="B545" s="26"/>
      <c r="C545" s="409"/>
      <c r="D545" s="409"/>
      <c r="E545" s="409"/>
      <c r="F545" s="409"/>
      <c r="G545" s="409"/>
      <c r="H545" s="409"/>
      <c r="I545" s="409"/>
      <c r="J545" s="409"/>
      <c r="K545" s="409"/>
      <c r="L545" s="409"/>
      <c r="M545" s="409"/>
      <c r="N545" s="410"/>
    </row>
    <row r="546" spans="1:14" x14ac:dyDescent="0.2">
      <c r="A546" s="24"/>
      <c r="C546" s="409"/>
      <c r="D546" s="409"/>
      <c r="E546" s="409"/>
      <c r="F546" s="409"/>
      <c r="G546" s="409"/>
      <c r="H546" s="409"/>
      <c r="I546" s="409"/>
      <c r="J546" s="409"/>
      <c r="K546" s="409"/>
      <c r="L546" s="409"/>
      <c r="M546" s="409"/>
      <c r="N546" s="410"/>
    </row>
    <row r="547" spans="1:14" x14ac:dyDescent="0.2">
      <c r="A547" s="24"/>
      <c r="B547" s="26" t="s">
        <v>426</v>
      </c>
      <c r="N547" s="27"/>
    </row>
    <row r="548" spans="1:14" ht="13.5" thickBot="1" x14ac:dyDescent="0.25">
      <c r="A548" s="28"/>
      <c r="B548" s="43" t="s">
        <v>430</v>
      </c>
      <c r="C548" s="29" t="s">
        <v>589</v>
      </c>
      <c r="D548" s="29"/>
      <c r="E548" s="30"/>
      <c r="F548" s="30"/>
      <c r="G548" s="30"/>
      <c r="H548" s="30"/>
      <c r="I548" s="30"/>
      <c r="J548" s="30"/>
      <c r="K548" s="30"/>
      <c r="L548" s="30"/>
      <c r="M548" s="30"/>
      <c r="N548" s="31"/>
    </row>
    <row r="549" spans="1:14" x14ac:dyDescent="0.2">
      <c r="A549" s="20"/>
      <c r="B549" s="51" t="s">
        <v>263</v>
      </c>
      <c r="C549" s="21"/>
      <c r="D549" s="21"/>
      <c r="E549" s="22"/>
      <c r="F549" s="22"/>
      <c r="G549" s="22"/>
      <c r="H549" s="22"/>
      <c r="I549" s="22"/>
      <c r="J549" s="33" t="s">
        <v>909</v>
      </c>
      <c r="K549" s="76" t="s">
        <v>513</v>
      </c>
      <c r="L549" s="33" t="s">
        <v>514</v>
      </c>
      <c r="M549" s="33"/>
      <c r="N549" s="33"/>
    </row>
    <row r="550" spans="1:14" ht="13.5" thickBot="1" x14ac:dyDescent="0.25">
      <c r="A550" s="28"/>
      <c r="B550" s="29"/>
      <c r="C550" s="29"/>
      <c r="D550" s="29"/>
      <c r="E550" s="30"/>
      <c r="F550" s="30"/>
      <c r="G550" s="30"/>
      <c r="H550" s="30"/>
      <c r="I550" s="30"/>
      <c r="J550" s="36" t="s">
        <v>77</v>
      </c>
      <c r="K550" s="36" t="s">
        <v>612</v>
      </c>
      <c r="L550" s="36" t="s">
        <v>76</v>
      </c>
      <c r="M550" s="77"/>
      <c r="N550" s="36"/>
    </row>
    <row r="551" spans="1:14" x14ac:dyDescent="0.2">
      <c r="A551" s="20"/>
      <c r="B551" s="412" t="s">
        <v>67</v>
      </c>
      <c r="C551" s="412"/>
      <c r="D551" s="412"/>
      <c r="E551" s="22"/>
      <c r="F551" s="22" t="s">
        <v>1180</v>
      </c>
      <c r="G551" s="22" t="s">
        <v>68</v>
      </c>
      <c r="H551" s="22" t="s">
        <v>702</v>
      </c>
      <c r="I551" s="22"/>
      <c r="J551" s="66">
        <f>86/O1*O2</f>
        <v>175.51020408163265</v>
      </c>
      <c r="K551" s="66">
        <f>97/O1*O2</f>
        <v>197.9591836734694</v>
      </c>
      <c r="L551" s="66">
        <f>90/O1*O2</f>
        <v>183.67346938775512</v>
      </c>
      <c r="M551" s="17"/>
      <c r="N551" s="38"/>
    </row>
    <row r="552" spans="1:14" x14ac:dyDescent="0.2">
      <c r="A552" s="24"/>
      <c r="B552" s="411" t="s">
        <v>67</v>
      </c>
      <c r="C552" s="411"/>
      <c r="D552" s="411"/>
      <c r="F552" s="16" t="s">
        <v>1181</v>
      </c>
      <c r="G552" s="16" t="s">
        <v>68</v>
      </c>
      <c r="H552" s="16" t="s">
        <v>702</v>
      </c>
      <c r="J552" s="66">
        <f>45.5/O1*O2</f>
        <v>92.857142857142861</v>
      </c>
      <c r="K552" s="66">
        <f>51/O1*O2</f>
        <v>104.08163265306122</v>
      </c>
      <c r="L552" s="66">
        <f>47.5/O1*O2</f>
        <v>96.938775510204081</v>
      </c>
      <c r="M552" s="17"/>
      <c r="N552" s="40"/>
    </row>
    <row r="553" spans="1:14" x14ac:dyDescent="0.2">
      <c r="A553" s="24"/>
      <c r="B553" s="411" t="s">
        <v>67</v>
      </c>
      <c r="C553" s="411"/>
      <c r="D553" s="411"/>
      <c r="F553" s="16" t="s">
        <v>1182</v>
      </c>
      <c r="G553" s="16" t="s">
        <v>68</v>
      </c>
      <c r="H553" s="16" t="s">
        <v>702</v>
      </c>
      <c r="J553" s="66" t="s">
        <v>864</v>
      </c>
      <c r="K553" s="66">
        <f>41.5/O1*O2</f>
        <v>84.693877551020407</v>
      </c>
      <c r="L553" s="66">
        <f>39/O1*O2</f>
        <v>79.591836734693885</v>
      </c>
      <c r="M553" s="17"/>
      <c r="N553" s="40"/>
    </row>
    <row r="554" spans="1:14" ht="13.5" thickBot="1" x14ac:dyDescent="0.25">
      <c r="A554" s="28"/>
      <c r="B554" s="418"/>
      <c r="C554" s="418"/>
      <c r="D554" s="418"/>
      <c r="E554" s="30"/>
      <c r="F554" s="30"/>
      <c r="G554" s="30"/>
      <c r="H554" s="30"/>
      <c r="I554" s="30"/>
      <c r="J554" s="67"/>
      <c r="K554" s="67"/>
      <c r="L554" s="67"/>
      <c r="M554" s="77"/>
      <c r="N554" s="42"/>
    </row>
    <row r="555" spans="1:14" ht="13.5" thickBot="1" x14ac:dyDescent="0.25">
      <c r="A555" s="17"/>
      <c r="B555" s="17"/>
      <c r="C555" s="17"/>
      <c r="D555" s="17"/>
      <c r="E555" s="17"/>
      <c r="F555" s="17"/>
      <c r="G555" s="17"/>
      <c r="H555" s="17"/>
      <c r="I555" s="17"/>
      <c r="J555" s="17"/>
      <c r="K555" s="17"/>
      <c r="L555" s="17"/>
      <c r="M555" s="17"/>
      <c r="N555" s="17"/>
    </row>
    <row r="556" spans="1:14" x14ac:dyDescent="0.2">
      <c r="A556" s="20"/>
      <c r="B556" s="21"/>
      <c r="C556" s="21"/>
      <c r="D556" s="21"/>
      <c r="E556" s="22"/>
      <c r="F556" s="22"/>
      <c r="G556" s="22"/>
      <c r="H556" s="22"/>
      <c r="I556" s="22"/>
      <c r="J556" s="22"/>
      <c r="K556" s="22"/>
      <c r="L556" s="22"/>
      <c r="M556" s="22"/>
      <c r="N556" s="23"/>
    </row>
    <row r="557" spans="1:14" ht="15" x14ac:dyDescent="0.2">
      <c r="A557" s="24"/>
      <c r="B557" s="413" t="s">
        <v>1394</v>
      </c>
      <c r="C557" s="414"/>
      <c r="D557" s="414"/>
      <c r="E557" s="414"/>
      <c r="F557" s="414"/>
      <c r="G557" s="414"/>
      <c r="H557" s="414"/>
      <c r="I557" s="414"/>
      <c r="J557" s="414"/>
      <c r="K557" s="414"/>
      <c r="L557" s="414"/>
      <c r="M557" s="415"/>
      <c r="N557" s="25" t="s">
        <v>96</v>
      </c>
    </row>
    <row r="558" spans="1:14" x14ac:dyDescent="0.2">
      <c r="A558" s="24"/>
      <c r="B558" s="26" t="s">
        <v>428</v>
      </c>
      <c r="C558" s="15" t="s">
        <v>1165</v>
      </c>
      <c r="N558" s="27"/>
    </row>
    <row r="559" spans="1:14" x14ac:dyDescent="0.2">
      <c r="A559" s="24"/>
      <c r="B559" s="26" t="s">
        <v>429</v>
      </c>
      <c r="C559" s="15" t="s">
        <v>1166</v>
      </c>
      <c r="N559" s="27"/>
    </row>
    <row r="560" spans="1:14" x14ac:dyDescent="0.2">
      <c r="A560" s="24"/>
      <c r="B560" s="26" t="s">
        <v>427</v>
      </c>
      <c r="C560" s="409" t="s">
        <v>1605</v>
      </c>
      <c r="D560" s="409"/>
      <c r="E560" s="409"/>
      <c r="F560" s="409"/>
      <c r="G560" s="409"/>
      <c r="H560" s="409"/>
      <c r="I560" s="409"/>
      <c r="J560" s="409"/>
      <c r="K560" s="409"/>
      <c r="L560" s="409"/>
      <c r="M560" s="409"/>
      <c r="N560" s="410"/>
    </row>
    <row r="561" spans="1:14" x14ac:dyDescent="0.2">
      <c r="A561" s="24"/>
      <c r="C561" s="409"/>
      <c r="D561" s="409"/>
      <c r="E561" s="409"/>
      <c r="F561" s="409"/>
      <c r="G561" s="409"/>
      <c r="H561" s="409"/>
      <c r="I561" s="409"/>
      <c r="J561" s="409"/>
      <c r="K561" s="409"/>
      <c r="L561" s="409"/>
      <c r="M561" s="409"/>
      <c r="N561" s="410"/>
    </row>
    <row r="562" spans="1:14" x14ac:dyDescent="0.2">
      <c r="A562" s="24"/>
      <c r="C562" s="409"/>
      <c r="D562" s="409"/>
      <c r="E562" s="409"/>
      <c r="F562" s="409"/>
      <c r="G562" s="409"/>
      <c r="H562" s="409"/>
      <c r="I562" s="409"/>
      <c r="J562" s="409"/>
      <c r="K562" s="409"/>
      <c r="L562" s="409"/>
      <c r="M562" s="409"/>
      <c r="N562" s="410"/>
    </row>
    <row r="563" spans="1:14" x14ac:dyDescent="0.2">
      <c r="A563" s="24"/>
      <c r="B563" s="26" t="s">
        <v>426</v>
      </c>
      <c r="C563" s="15" t="s">
        <v>1167</v>
      </c>
      <c r="J563" s="15"/>
      <c r="N563" s="27"/>
    </row>
    <row r="564" spans="1:14" ht="13.5" thickBot="1" x14ac:dyDescent="0.25">
      <c r="A564" s="28"/>
      <c r="B564" s="26" t="s">
        <v>430</v>
      </c>
      <c r="C564" s="29"/>
      <c r="D564" s="29"/>
      <c r="E564" s="30"/>
      <c r="F564" s="30"/>
      <c r="G564" s="30"/>
      <c r="H564" s="30"/>
      <c r="I564" s="30"/>
      <c r="J564" s="30"/>
      <c r="K564" s="30"/>
      <c r="L564" s="30"/>
      <c r="M564" s="30"/>
      <c r="N564" s="31"/>
    </row>
    <row r="565" spans="1:14" x14ac:dyDescent="0.2">
      <c r="A565" s="20"/>
      <c r="B565" s="21" t="s">
        <v>263</v>
      </c>
      <c r="C565" s="21"/>
      <c r="D565" s="21"/>
      <c r="E565" s="22"/>
      <c r="F565" s="22"/>
      <c r="G565" s="22"/>
      <c r="H565" s="22"/>
      <c r="I565" s="22"/>
      <c r="J565" s="33" t="s">
        <v>907</v>
      </c>
      <c r="K565" s="33" t="s">
        <v>753</v>
      </c>
      <c r="L565" s="33" t="s">
        <v>513</v>
      </c>
      <c r="M565" s="33" t="s">
        <v>1341</v>
      </c>
      <c r="N565" s="33"/>
    </row>
    <row r="566" spans="1:14" ht="13.5" thickBot="1" x14ac:dyDescent="0.25">
      <c r="A566" s="28"/>
      <c r="B566" s="29"/>
      <c r="C566" s="29"/>
      <c r="D566" s="29"/>
      <c r="E566" s="30"/>
      <c r="F566" s="30"/>
      <c r="G566" s="30"/>
      <c r="H566" s="30"/>
      <c r="I566" s="30"/>
      <c r="J566" s="35"/>
      <c r="K566" s="36" t="s">
        <v>123</v>
      </c>
      <c r="L566" s="36" t="s">
        <v>612</v>
      </c>
      <c r="M566" s="36"/>
      <c r="N566" s="36"/>
    </row>
    <row r="567" spans="1:14" x14ac:dyDescent="0.2">
      <c r="A567" s="20"/>
      <c r="B567" s="412" t="s">
        <v>67</v>
      </c>
      <c r="C567" s="412"/>
      <c r="D567" s="412"/>
      <c r="E567" s="22"/>
      <c r="F567" s="22" t="s">
        <v>1180</v>
      </c>
      <c r="G567" s="22" t="s">
        <v>68</v>
      </c>
      <c r="H567" s="22" t="s">
        <v>702</v>
      </c>
      <c r="I567" s="22"/>
      <c r="J567" s="66">
        <f>65/O1*O2</f>
        <v>132.65306122448979</v>
      </c>
      <c r="K567" s="66">
        <f>94/O1*O2</f>
        <v>191.83673469387756</v>
      </c>
      <c r="L567" s="66">
        <f>115/O1*O2</f>
        <v>234.69387755102042</v>
      </c>
      <c r="M567" s="40">
        <f>110/O1*O2</f>
        <v>224.48979591836735</v>
      </c>
      <c r="N567" s="38"/>
    </row>
    <row r="568" spans="1:14" x14ac:dyDescent="0.2">
      <c r="A568" s="24"/>
      <c r="B568" s="411" t="s">
        <v>67</v>
      </c>
      <c r="C568" s="411"/>
      <c r="D568" s="411"/>
      <c r="F568" s="16" t="s">
        <v>1181</v>
      </c>
      <c r="G568" s="16" t="s">
        <v>68</v>
      </c>
      <c r="H568" s="16" t="s">
        <v>702</v>
      </c>
      <c r="J568" s="66">
        <f>40/O1*O2</f>
        <v>81.632653061224488</v>
      </c>
      <c r="K568" s="66">
        <f>52/O1*O2</f>
        <v>106.12244897959184</v>
      </c>
      <c r="L568" s="66">
        <f>69/O1*O2</f>
        <v>140.81632653061226</v>
      </c>
      <c r="M568" s="40">
        <f>62.5/O1*O2</f>
        <v>127.55102040816327</v>
      </c>
      <c r="N568" s="40"/>
    </row>
    <row r="569" spans="1:14" x14ac:dyDescent="0.2">
      <c r="A569" s="24"/>
      <c r="B569" s="411" t="s">
        <v>67</v>
      </c>
      <c r="C569" s="411"/>
      <c r="D569" s="411"/>
      <c r="F569" s="16" t="s">
        <v>1182</v>
      </c>
      <c r="G569" s="16" t="s">
        <v>68</v>
      </c>
      <c r="H569" s="16" t="s">
        <v>702</v>
      </c>
      <c r="J569" s="66">
        <f>32.5/O1*O2</f>
        <v>66.326530612244895</v>
      </c>
      <c r="K569" s="66">
        <f>41.5/O1*O2</f>
        <v>84.693877551020407</v>
      </c>
      <c r="L569" s="66">
        <f>54/O1*O2</f>
        <v>110.20408163265306</v>
      </c>
      <c r="M569" s="40">
        <f>49/O1*O2</f>
        <v>100</v>
      </c>
      <c r="N569" s="40"/>
    </row>
    <row r="570" spans="1:14" ht="13.5" thickBot="1" x14ac:dyDescent="0.25">
      <c r="A570" s="28"/>
      <c r="B570" s="418" t="s">
        <v>902</v>
      </c>
      <c r="C570" s="418"/>
      <c r="D570" s="418"/>
      <c r="E570" s="30"/>
      <c r="F570" s="30"/>
      <c r="G570" s="30"/>
      <c r="H570" s="30" t="s">
        <v>702</v>
      </c>
      <c r="I570" s="30"/>
      <c r="J570" s="67">
        <f>23/O1*O2</f>
        <v>46.938775510204081</v>
      </c>
      <c r="K570" s="67">
        <f>23/O1*O2</f>
        <v>46.938775510204081</v>
      </c>
      <c r="L570" s="67">
        <f>23/O1*O2</f>
        <v>46.938775510204081</v>
      </c>
      <c r="M570" s="42">
        <f>23/O1*O2</f>
        <v>46.938775510204081</v>
      </c>
      <c r="N570" s="42"/>
    </row>
    <row r="571" spans="1:14" ht="13.5" thickBot="1" x14ac:dyDescent="0.25">
      <c r="A571" s="17"/>
      <c r="B571" s="17"/>
      <c r="C571" s="17"/>
      <c r="D571" s="17"/>
      <c r="E571" s="17"/>
      <c r="F571" s="17"/>
      <c r="G571" s="17"/>
      <c r="H571" s="17"/>
      <c r="I571" s="17"/>
      <c r="J571" s="17"/>
      <c r="K571" s="17"/>
      <c r="L571" s="17"/>
      <c r="M571" s="17"/>
      <c r="N571" s="17"/>
    </row>
    <row r="572" spans="1:14" x14ac:dyDescent="0.2">
      <c r="A572" s="20"/>
      <c r="B572" s="21"/>
      <c r="C572" s="21"/>
      <c r="D572" s="21"/>
      <c r="E572" s="22"/>
      <c r="F572" s="22"/>
      <c r="G572" s="22"/>
      <c r="H572" s="22"/>
      <c r="I572" s="22"/>
      <c r="J572" s="22"/>
      <c r="K572" s="22"/>
      <c r="L572" s="22"/>
      <c r="M572" s="22"/>
      <c r="N572" s="23"/>
    </row>
    <row r="573" spans="1:14" ht="15" x14ac:dyDescent="0.2">
      <c r="A573" s="24"/>
      <c r="B573" s="413" t="s">
        <v>1457</v>
      </c>
      <c r="C573" s="414"/>
      <c r="D573" s="414"/>
      <c r="E573" s="414"/>
      <c r="F573" s="414"/>
      <c r="G573" s="414"/>
      <c r="H573" s="414"/>
      <c r="I573" s="414"/>
      <c r="J573" s="414"/>
      <c r="K573" s="414"/>
      <c r="L573" s="414"/>
      <c r="M573" s="415"/>
      <c r="N573" s="25" t="s">
        <v>96</v>
      </c>
    </row>
    <row r="574" spans="1:14" x14ac:dyDescent="0.2">
      <c r="A574" s="24"/>
      <c r="B574" s="26" t="s">
        <v>428</v>
      </c>
      <c r="C574" s="15" t="s">
        <v>1458</v>
      </c>
      <c r="N574" s="27"/>
    </row>
    <row r="575" spans="1:14" x14ac:dyDescent="0.2">
      <c r="A575" s="24"/>
      <c r="B575" s="26" t="s">
        <v>429</v>
      </c>
      <c r="C575" s="15" t="s">
        <v>1459</v>
      </c>
      <c r="N575" s="27"/>
    </row>
    <row r="576" spans="1:14" x14ac:dyDescent="0.2">
      <c r="A576" s="24"/>
      <c r="B576" s="26" t="s">
        <v>427</v>
      </c>
      <c r="C576" s="409" t="s">
        <v>1606</v>
      </c>
      <c r="D576" s="409"/>
      <c r="E576" s="409"/>
      <c r="F576" s="409"/>
      <c r="G576" s="409"/>
      <c r="H576" s="409"/>
      <c r="I576" s="409"/>
      <c r="J576" s="409"/>
      <c r="K576" s="409"/>
      <c r="L576" s="409"/>
      <c r="M576" s="409"/>
      <c r="N576" s="410"/>
    </row>
    <row r="577" spans="1:14" x14ac:dyDescent="0.2">
      <c r="A577" s="24"/>
      <c r="B577" s="26"/>
      <c r="C577" s="409"/>
      <c r="D577" s="409"/>
      <c r="E577" s="409"/>
      <c r="F577" s="409"/>
      <c r="G577" s="409"/>
      <c r="H577" s="409"/>
      <c r="I577" s="409"/>
      <c r="J577" s="409"/>
      <c r="K577" s="409"/>
      <c r="L577" s="409"/>
      <c r="M577" s="409"/>
      <c r="N577" s="410"/>
    </row>
    <row r="578" spans="1:14" x14ac:dyDescent="0.2">
      <c r="A578" s="24"/>
      <c r="C578" s="409"/>
      <c r="D578" s="409"/>
      <c r="E578" s="409"/>
      <c r="F578" s="409"/>
      <c r="G578" s="409"/>
      <c r="H578" s="409"/>
      <c r="I578" s="409"/>
      <c r="J578" s="409"/>
      <c r="K578" s="409"/>
      <c r="L578" s="409"/>
      <c r="M578" s="409"/>
      <c r="N578" s="410"/>
    </row>
    <row r="579" spans="1:14" x14ac:dyDescent="0.2">
      <c r="A579" s="24"/>
      <c r="B579" s="26" t="s">
        <v>426</v>
      </c>
      <c r="C579" s="15" t="s">
        <v>1355</v>
      </c>
      <c r="J579" s="15"/>
      <c r="N579" s="27"/>
    </row>
    <row r="580" spans="1:14" ht="13.5" thickBot="1" x14ac:dyDescent="0.25">
      <c r="A580" s="28"/>
      <c r="B580" s="26" t="s">
        <v>430</v>
      </c>
      <c r="C580" s="29"/>
      <c r="D580" s="29"/>
      <c r="E580" s="30"/>
      <c r="F580" s="30"/>
      <c r="G580" s="30"/>
      <c r="H580" s="30"/>
      <c r="I580" s="30"/>
      <c r="J580" s="30"/>
      <c r="K580" s="30"/>
      <c r="L580" s="30"/>
      <c r="M580" s="30"/>
      <c r="N580" s="31"/>
    </row>
    <row r="581" spans="1:14" x14ac:dyDescent="0.2">
      <c r="A581" s="20"/>
      <c r="B581" s="21" t="s">
        <v>263</v>
      </c>
      <c r="C581" s="21"/>
      <c r="D581" s="21"/>
      <c r="E581" s="22"/>
      <c r="F581" s="22"/>
      <c r="G581" s="22"/>
      <c r="H581" s="22"/>
      <c r="I581" s="22"/>
      <c r="J581" s="33" t="s">
        <v>907</v>
      </c>
      <c r="K581" s="33" t="s">
        <v>753</v>
      </c>
      <c r="L581" s="33" t="s">
        <v>513</v>
      </c>
      <c r="M581" s="33"/>
      <c r="N581" s="33"/>
    </row>
    <row r="582" spans="1:14" x14ac:dyDescent="0.2">
      <c r="A582" s="24"/>
      <c r="J582" s="58" t="s">
        <v>123</v>
      </c>
      <c r="K582" s="55" t="s">
        <v>1341</v>
      </c>
      <c r="L582" s="55" t="s">
        <v>612</v>
      </c>
      <c r="M582" s="55"/>
      <c r="N582" s="55"/>
    </row>
    <row r="583" spans="1:14" ht="13.5" thickBot="1" x14ac:dyDescent="0.25">
      <c r="A583" s="24"/>
      <c r="J583" s="35" t="s">
        <v>76</v>
      </c>
      <c r="K583" s="36" t="s">
        <v>77</v>
      </c>
      <c r="L583" s="36"/>
      <c r="M583" s="36"/>
      <c r="N583" s="55"/>
    </row>
    <row r="584" spans="1:14" x14ac:dyDescent="0.2">
      <c r="A584" s="20"/>
      <c r="B584" s="412" t="s">
        <v>67</v>
      </c>
      <c r="C584" s="412"/>
      <c r="D584" s="412"/>
      <c r="E584" s="22"/>
      <c r="F584" s="22" t="s">
        <v>1180</v>
      </c>
      <c r="G584" s="22" t="s">
        <v>68</v>
      </c>
      <c r="H584" s="22" t="s">
        <v>702</v>
      </c>
      <c r="I584" s="22"/>
      <c r="J584" s="66">
        <f>98/O1*O2</f>
        <v>200</v>
      </c>
      <c r="K584" s="66">
        <f>109/O1*O2</f>
        <v>222.44897959183675</v>
      </c>
      <c r="L584" s="66">
        <f>130/O1*O2</f>
        <v>265.30612244897958</v>
      </c>
      <c r="M584" s="40"/>
      <c r="N584" s="38"/>
    </row>
    <row r="585" spans="1:14" x14ac:dyDescent="0.2">
      <c r="A585" s="24"/>
      <c r="B585" s="411" t="s">
        <v>67</v>
      </c>
      <c r="C585" s="411"/>
      <c r="D585" s="411"/>
      <c r="F585" s="16" t="s">
        <v>1181</v>
      </c>
      <c r="G585" s="16" t="s">
        <v>68</v>
      </c>
      <c r="H585" s="16" t="s">
        <v>702</v>
      </c>
      <c r="J585" s="66">
        <f>55/O1*O2</f>
        <v>112.24489795918367</v>
      </c>
      <c r="K585" s="66">
        <f>60/O1*O2</f>
        <v>122.44897959183673</v>
      </c>
      <c r="L585" s="66">
        <f>70/O1*O2</f>
        <v>142.85714285714286</v>
      </c>
      <c r="M585" s="40"/>
      <c r="N585" s="40"/>
    </row>
    <row r="586" spans="1:14" x14ac:dyDescent="0.2">
      <c r="A586" s="24"/>
      <c r="B586" s="411" t="s">
        <v>67</v>
      </c>
      <c r="C586" s="411"/>
      <c r="D586" s="411"/>
      <c r="F586" s="16" t="s">
        <v>1182</v>
      </c>
      <c r="G586" s="16" t="s">
        <v>68</v>
      </c>
      <c r="H586" s="16" t="s">
        <v>702</v>
      </c>
      <c r="J586" s="66">
        <f>40/O1*O2</f>
        <v>81.632653061224488</v>
      </c>
      <c r="K586" s="66">
        <f>47/O1*O2</f>
        <v>95.91836734693878</v>
      </c>
      <c r="L586" s="66">
        <f>54/O1*O2</f>
        <v>110.20408163265306</v>
      </c>
      <c r="M586" s="40"/>
      <c r="N586" s="40"/>
    </row>
    <row r="587" spans="1:14" ht="13.5" thickBot="1" x14ac:dyDescent="0.25">
      <c r="A587" s="28"/>
      <c r="B587" s="418" t="s">
        <v>902</v>
      </c>
      <c r="C587" s="418"/>
      <c r="D587" s="418"/>
      <c r="E587" s="30"/>
      <c r="F587" s="30"/>
      <c r="G587" s="30"/>
      <c r="H587" s="30"/>
      <c r="I587" s="30"/>
      <c r="J587" s="67">
        <f>26/O1*O2</f>
        <v>53.061224489795919</v>
      </c>
      <c r="K587" s="67">
        <f>26/O1*O2</f>
        <v>53.061224489795919</v>
      </c>
      <c r="L587" s="67">
        <f>26/O1*O2</f>
        <v>53.061224489795919</v>
      </c>
      <c r="M587" s="42"/>
      <c r="N587" s="42"/>
    </row>
    <row r="588" spans="1:14" x14ac:dyDescent="0.2">
      <c r="A588" s="17"/>
      <c r="B588" s="17"/>
      <c r="C588" s="17"/>
      <c r="D588" s="17"/>
      <c r="E588" s="17"/>
      <c r="F588" s="17"/>
      <c r="G588" s="17"/>
      <c r="H588" s="17"/>
      <c r="I588" s="17"/>
      <c r="J588" s="17"/>
      <c r="K588" s="17"/>
      <c r="L588" s="17"/>
      <c r="M588" s="17"/>
      <c r="N588" s="17"/>
    </row>
    <row r="589" spans="1:14" x14ac:dyDescent="0.2">
      <c r="A589" s="17"/>
      <c r="B589" s="17"/>
      <c r="C589" s="17"/>
      <c r="D589" s="17"/>
      <c r="E589" s="17"/>
      <c r="F589" s="17"/>
      <c r="G589" s="17"/>
      <c r="H589" s="17"/>
      <c r="I589" s="17"/>
      <c r="J589" s="17"/>
      <c r="K589" s="17"/>
      <c r="L589" s="17"/>
      <c r="M589" s="17"/>
      <c r="N589" s="17"/>
    </row>
    <row r="590" spans="1:14" x14ac:dyDescent="0.2">
      <c r="A590" s="17"/>
      <c r="B590" s="17"/>
      <c r="C590" s="17"/>
      <c r="D590" s="17"/>
      <c r="E590" s="17"/>
      <c r="F590" s="17"/>
      <c r="G590" s="17"/>
      <c r="H590" s="17"/>
      <c r="I590" s="17"/>
      <c r="J590" s="17"/>
      <c r="K590" s="17"/>
      <c r="L590" s="17"/>
      <c r="M590" s="17"/>
      <c r="N590" s="17"/>
    </row>
    <row r="591" spans="1:14" x14ac:dyDescent="0.2">
      <c r="A591" s="17"/>
      <c r="B591" s="17"/>
      <c r="C591" s="17"/>
      <c r="D591" s="17"/>
      <c r="E591" s="17"/>
      <c r="F591" s="17"/>
      <c r="G591" s="17"/>
      <c r="H591" s="17"/>
      <c r="I591" s="17"/>
      <c r="J591" s="17"/>
      <c r="K591" s="17"/>
      <c r="L591" s="17"/>
      <c r="M591" s="17"/>
      <c r="N591" s="17"/>
    </row>
    <row r="592" spans="1:14" x14ac:dyDescent="0.2">
      <c r="A592" s="17"/>
      <c r="B592" s="17"/>
      <c r="C592" s="17"/>
      <c r="D592" s="17"/>
      <c r="E592" s="17"/>
      <c r="F592" s="17"/>
      <c r="G592" s="17"/>
      <c r="H592" s="17"/>
      <c r="I592" s="17"/>
      <c r="J592" s="17"/>
      <c r="K592" s="17"/>
      <c r="L592" s="17"/>
      <c r="M592" s="17"/>
      <c r="N592" s="17"/>
    </row>
    <row r="593" spans="1:16" x14ac:dyDescent="0.2">
      <c r="A593" s="17"/>
      <c r="B593" s="17"/>
      <c r="C593" s="17"/>
      <c r="D593" s="17"/>
      <c r="E593" s="17"/>
      <c r="F593" s="17"/>
      <c r="G593" s="17"/>
      <c r="H593" s="17"/>
      <c r="I593" s="17"/>
      <c r="J593" s="17"/>
      <c r="K593" s="17"/>
      <c r="L593" s="17"/>
      <c r="M593" s="17"/>
      <c r="N593" s="17"/>
    </row>
    <row r="594" spans="1:16" x14ac:dyDescent="0.2">
      <c r="A594" s="17"/>
      <c r="B594" s="17"/>
      <c r="C594" s="17"/>
      <c r="D594" s="17"/>
      <c r="E594" s="17"/>
      <c r="F594" s="17"/>
      <c r="G594" s="17"/>
      <c r="H594" s="17"/>
      <c r="I594" s="17"/>
      <c r="J594" s="17"/>
      <c r="K594" s="17"/>
      <c r="L594" s="17"/>
      <c r="M594" s="17"/>
      <c r="N594" s="17"/>
    </row>
    <row r="595" spans="1:16" x14ac:dyDescent="0.2">
      <c r="A595" s="17"/>
      <c r="B595" s="17"/>
      <c r="C595" s="17"/>
      <c r="D595" s="17"/>
      <c r="E595" s="17"/>
      <c r="F595" s="17"/>
      <c r="G595" s="17"/>
      <c r="H595" s="17"/>
      <c r="I595" s="17"/>
      <c r="J595" s="17"/>
      <c r="K595" s="17"/>
      <c r="L595" s="17"/>
      <c r="M595" s="17"/>
      <c r="N595" s="17"/>
    </row>
    <row r="596" spans="1:16" x14ac:dyDescent="0.2">
      <c r="A596" s="17"/>
      <c r="B596" s="17"/>
      <c r="C596" s="17"/>
      <c r="D596" s="17"/>
      <c r="E596" s="17"/>
      <c r="F596" s="17"/>
      <c r="G596" s="17"/>
      <c r="H596" s="17"/>
      <c r="I596" s="17"/>
      <c r="J596" s="17"/>
      <c r="K596" s="17"/>
      <c r="L596" s="17"/>
      <c r="M596" s="17"/>
      <c r="N596" s="17"/>
    </row>
    <row r="597" spans="1:16" x14ac:dyDescent="0.2">
      <c r="B597" s="19"/>
      <c r="C597" s="19"/>
      <c r="D597" s="19"/>
      <c r="E597" s="19"/>
      <c r="F597" s="19"/>
      <c r="G597" s="19"/>
      <c r="H597" s="19"/>
      <c r="I597" s="19"/>
      <c r="J597" s="19"/>
      <c r="K597" s="19"/>
      <c r="L597" s="19"/>
      <c r="M597" s="19"/>
      <c r="N597" s="19"/>
      <c r="P597" s="52"/>
    </row>
    <row r="598" spans="1:16" x14ac:dyDescent="0.2">
      <c r="P598" s="52"/>
    </row>
    <row r="599" spans="1:16" ht="13.5" thickBot="1" x14ac:dyDescent="0.25"/>
    <row r="600" spans="1:16" x14ac:dyDescent="0.2">
      <c r="A600" s="20"/>
      <c r="B600" s="21"/>
      <c r="C600" s="21"/>
      <c r="D600" s="21"/>
      <c r="E600" s="22"/>
      <c r="F600" s="22"/>
      <c r="G600" s="22"/>
      <c r="H600" s="22"/>
      <c r="I600" s="22"/>
      <c r="J600" s="22"/>
      <c r="K600" s="22"/>
      <c r="L600" s="22"/>
      <c r="M600" s="22"/>
      <c r="N600" s="23"/>
    </row>
    <row r="601" spans="1:16" ht="15" x14ac:dyDescent="0.2">
      <c r="A601" s="24"/>
      <c r="B601" s="413" t="s">
        <v>1651</v>
      </c>
      <c r="C601" s="414"/>
      <c r="D601" s="414"/>
      <c r="E601" s="414"/>
      <c r="F601" s="414"/>
      <c r="G601" s="414"/>
      <c r="H601" s="414"/>
      <c r="I601" s="414"/>
      <c r="J601" s="414"/>
      <c r="K601" s="414"/>
      <c r="L601" s="414"/>
      <c r="M601" s="415"/>
      <c r="N601" s="25" t="s">
        <v>96</v>
      </c>
    </row>
    <row r="602" spans="1:16" x14ac:dyDescent="0.2">
      <c r="A602" s="24"/>
      <c r="B602" s="26" t="s">
        <v>428</v>
      </c>
      <c r="C602" s="15" t="s">
        <v>1652</v>
      </c>
      <c r="N602" s="27"/>
    </row>
    <row r="603" spans="1:16" x14ac:dyDescent="0.2">
      <c r="A603" s="24"/>
      <c r="B603" s="26" t="s">
        <v>429</v>
      </c>
      <c r="C603" s="15" t="s">
        <v>1653</v>
      </c>
      <c r="N603" s="27"/>
    </row>
    <row r="604" spans="1:16" x14ac:dyDescent="0.2">
      <c r="A604" s="24"/>
      <c r="B604" s="26" t="s">
        <v>427</v>
      </c>
      <c r="C604" s="416" t="s">
        <v>1654</v>
      </c>
      <c r="D604" s="416"/>
      <c r="E604" s="416"/>
      <c r="F604" s="416"/>
      <c r="G604" s="416"/>
      <c r="H604" s="416"/>
      <c r="I604" s="416"/>
      <c r="J604" s="416"/>
      <c r="K604" s="416"/>
      <c r="L604" s="416"/>
      <c r="M604" s="416"/>
      <c r="N604" s="417"/>
    </row>
    <row r="605" spans="1:16" x14ac:dyDescent="0.2">
      <c r="A605" s="24"/>
      <c r="C605" s="416"/>
      <c r="D605" s="416"/>
      <c r="E605" s="416"/>
      <c r="F605" s="416"/>
      <c r="G605" s="416"/>
      <c r="H605" s="416"/>
      <c r="I605" s="416"/>
      <c r="J605" s="416"/>
      <c r="K605" s="416"/>
      <c r="L605" s="416"/>
      <c r="M605" s="416"/>
      <c r="N605" s="417"/>
    </row>
    <row r="606" spans="1:16" x14ac:dyDescent="0.2">
      <c r="A606" s="24"/>
      <c r="B606" s="26" t="s">
        <v>426</v>
      </c>
      <c r="N606" s="27"/>
    </row>
    <row r="607" spans="1:16" ht="13.5" thickBot="1" x14ac:dyDescent="0.25">
      <c r="A607" s="28"/>
      <c r="B607" s="26" t="s">
        <v>430</v>
      </c>
      <c r="C607" s="29"/>
      <c r="D607" s="29"/>
      <c r="E607" s="30"/>
      <c r="F607" s="30"/>
      <c r="G607" s="30"/>
      <c r="H607" s="30"/>
      <c r="I607" s="30"/>
      <c r="J607" s="30"/>
      <c r="K607" s="30"/>
      <c r="L607" s="30"/>
      <c r="M607" s="30"/>
      <c r="N607" s="31"/>
    </row>
    <row r="608" spans="1:16" ht="13.5" thickBot="1" x14ac:dyDescent="0.25">
      <c r="A608" s="24"/>
      <c r="B608" s="21" t="s">
        <v>263</v>
      </c>
      <c r="J608" s="58" t="s">
        <v>1177</v>
      </c>
      <c r="K608" s="55"/>
      <c r="L608" s="55"/>
      <c r="M608" s="55"/>
      <c r="N608" s="55"/>
    </row>
    <row r="609" spans="1:14" x14ac:dyDescent="0.2">
      <c r="A609" s="20"/>
      <c r="B609" s="412" t="s">
        <v>67</v>
      </c>
      <c r="C609" s="412"/>
      <c r="D609" s="412"/>
      <c r="E609" s="22"/>
      <c r="F609" s="22" t="s">
        <v>1180</v>
      </c>
      <c r="G609" s="22" t="s">
        <v>68</v>
      </c>
      <c r="H609" s="22" t="s">
        <v>702</v>
      </c>
      <c r="J609" s="66">
        <f>70/O1*O2</f>
        <v>142.85714285714286</v>
      </c>
      <c r="K609" s="66"/>
      <c r="L609" s="40"/>
      <c r="M609" s="38"/>
      <c r="N609" s="38"/>
    </row>
    <row r="610" spans="1:14" x14ac:dyDescent="0.2">
      <c r="A610" s="24"/>
      <c r="B610" s="411" t="s">
        <v>67</v>
      </c>
      <c r="C610" s="411"/>
      <c r="D610" s="411"/>
      <c r="F610" s="16" t="s">
        <v>1181</v>
      </c>
      <c r="G610" s="16" t="s">
        <v>68</v>
      </c>
      <c r="H610" s="16" t="s">
        <v>702</v>
      </c>
      <c r="J610" s="66">
        <f>40/O1*O2</f>
        <v>81.632653061224488</v>
      </c>
      <c r="K610" s="66"/>
      <c r="L610" s="40"/>
      <c r="M610" s="40"/>
      <c r="N610" s="40"/>
    </row>
    <row r="611" spans="1:14" x14ac:dyDescent="0.2">
      <c r="A611" s="24"/>
      <c r="B611" s="59"/>
      <c r="F611" s="16" t="s">
        <v>1182</v>
      </c>
      <c r="G611" s="16" t="s">
        <v>68</v>
      </c>
      <c r="H611" s="16" t="s">
        <v>702</v>
      </c>
      <c r="J611" s="66">
        <f>32/O1*O2</f>
        <v>65.306122448979593</v>
      </c>
      <c r="K611" s="66"/>
      <c r="L611" s="40"/>
      <c r="M611" s="40"/>
      <c r="N611" s="40"/>
    </row>
    <row r="612" spans="1:14" ht="13.5" thickBot="1" x14ac:dyDescent="0.25">
      <c r="A612" s="28"/>
      <c r="B612" s="418" t="s">
        <v>902</v>
      </c>
      <c r="C612" s="418"/>
      <c r="D612" s="418"/>
      <c r="E612" s="30"/>
      <c r="F612" s="80"/>
      <c r="G612" s="80"/>
      <c r="H612" s="30" t="s">
        <v>702</v>
      </c>
      <c r="I612" s="30"/>
      <c r="J612" s="67"/>
      <c r="K612" s="67"/>
      <c r="L612" s="42"/>
      <c r="M612" s="42"/>
      <c r="N612" s="42"/>
    </row>
    <row r="613" spans="1:14" ht="13.5" thickBot="1" x14ac:dyDescent="0.25"/>
    <row r="614" spans="1:14" x14ac:dyDescent="0.2">
      <c r="A614" s="20"/>
      <c r="B614" s="21"/>
      <c r="C614" s="21"/>
      <c r="D614" s="21"/>
      <c r="E614" s="22"/>
      <c r="F614" s="22"/>
      <c r="G614" s="22"/>
      <c r="H614" s="22"/>
      <c r="I614" s="22"/>
      <c r="J614" s="22"/>
      <c r="K614" s="22"/>
      <c r="L614" s="22"/>
      <c r="M614" s="22"/>
      <c r="N614" s="23"/>
    </row>
    <row r="615" spans="1:14" ht="15" x14ac:dyDescent="0.2">
      <c r="A615" s="24"/>
      <c r="B615" s="413" t="s">
        <v>649</v>
      </c>
      <c r="C615" s="414"/>
      <c r="D615" s="414"/>
      <c r="E615" s="414"/>
      <c r="F615" s="414"/>
      <c r="G615" s="414"/>
      <c r="H615" s="414"/>
      <c r="I615" s="414"/>
      <c r="J615" s="414"/>
      <c r="K615" s="414"/>
      <c r="L615" s="414"/>
      <c r="M615" s="415"/>
      <c r="N615" s="25" t="s">
        <v>96</v>
      </c>
    </row>
    <row r="616" spans="1:14" x14ac:dyDescent="0.2">
      <c r="A616" s="24"/>
      <c r="B616" s="26" t="s">
        <v>428</v>
      </c>
      <c r="C616" s="15" t="s">
        <v>650</v>
      </c>
      <c r="N616" s="27"/>
    </row>
    <row r="617" spans="1:14" x14ac:dyDescent="0.2">
      <c r="A617" s="24"/>
      <c r="B617" s="26" t="s">
        <v>429</v>
      </c>
      <c r="C617" s="15" t="s">
        <v>651</v>
      </c>
      <c r="N617" s="27"/>
    </row>
    <row r="618" spans="1:14" x14ac:dyDescent="0.2">
      <c r="A618" s="24"/>
      <c r="B618" s="26" t="s">
        <v>427</v>
      </c>
      <c r="C618" s="409" t="s">
        <v>1607</v>
      </c>
      <c r="D618" s="409"/>
      <c r="E618" s="409"/>
      <c r="F618" s="409"/>
      <c r="G618" s="409"/>
      <c r="H618" s="409"/>
      <c r="I618" s="409"/>
      <c r="J618" s="409"/>
      <c r="K618" s="409"/>
      <c r="L618" s="409"/>
      <c r="M618" s="409"/>
      <c r="N618" s="410"/>
    </row>
    <row r="619" spans="1:14" x14ac:dyDescent="0.2">
      <c r="A619" s="24"/>
      <c r="C619" s="409"/>
      <c r="D619" s="409"/>
      <c r="E619" s="409"/>
      <c r="F619" s="409"/>
      <c r="G619" s="409"/>
      <c r="H619" s="409"/>
      <c r="I619" s="409"/>
      <c r="J619" s="409"/>
      <c r="K619" s="409"/>
      <c r="L619" s="409"/>
      <c r="M619" s="409"/>
      <c r="N619" s="410"/>
    </row>
    <row r="620" spans="1:14" x14ac:dyDescent="0.2">
      <c r="A620" s="24"/>
      <c r="B620" s="26" t="s">
        <v>426</v>
      </c>
      <c r="J620" s="15"/>
      <c r="N620" s="27"/>
    </row>
    <row r="621" spans="1:14" ht="13.5" thickBot="1" x14ac:dyDescent="0.25">
      <c r="A621" s="28"/>
      <c r="B621" s="43" t="s">
        <v>430</v>
      </c>
      <c r="C621" s="29" t="s">
        <v>1499</v>
      </c>
      <c r="D621" s="29"/>
      <c r="E621" s="30"/>
      <c r="F621" s="30"/>
      <c r="G621" s="30"/>
      <c r="H621" s="30"/>
      <c r="I621" s="30"/>
      <c r="J621" s="29"/>
      <c r="K621" s="30"/>
      <c r="L621" s="30"/>
      <c r="M621" s="30"/>
      <c r="N621" s="31"/>
    </row>
    <row r="622" spans="1:14" x14ac:dyDescent="0.2">
      <c r="A622" s="24"/>
      <c r="B622" s="21" t="s">
        <v>263</v>
      </c>
      <c r="J622" s="33" t="s">
        <v>858</v>
      </c>
      <c r="K622" s="33"/>
      <c r="L622" s="207" t="s">
        <v>753</v>
      </c>
      <c r="M622" s="16" t="s">
        <v>513</v>
      </c>
      <c r="N622" s="55"/>
    </row>
    <row r="623" spans="1:14" ht="13.5" thickBot="1" x14ac:dyDescent="0.25">
      <c r="A623" s="24"/>
      <c r="J623" s="36" t="s">
        <v>512</v>
      </c>
      <c r="K623" s="78" t="s">
        <v>1420</v>
      </c>
      <c r="L623" s="36" t="s">
        <v>514</v>
      </c>
      <c r="M623" s="16" t="s">
        <v>832</v>
      </c>
      <c r="N623" s="55" t="s">
        <v>481</v>
      </c>
    </row>
    <row r="624" spans="1:14" x14ac:dyDescent="0.2">
      <c r="A624" s="20"/>
      <c r="B624" s="412" t="s">
        <v>67</v>
      </c>
      <c r="C624" s="412"/>
      <c r="D624" s="412"/>
      <c r="E624" s="22"/>
      <c r="F624" s="22" t="s">
        <v>1180</v>
      </c>
      <c r="G624" s="22" t="s">
        <v>68</v>
      </c>
      <c r="H624" s="22" t="s">
        <v>702</v>
      </c>
      <c r="I624" s="22"/>
      <c r="J624" s="66">
        <f>74/O1*O2</f>
        <v>151.0204081632653</v>
      </c>
      <c r="K624" s="66">
        <f>78/O1*O2</f>
        <v>159.18367346938777</v>
      </c>
      <c r="L624" s="66">
        <f>95/O1*O2</f>
        <v>193.87755102040816</v>
      </c>
      <c r="M624" s="65">
        <f>111/O1*O2</f>
        <v>226.53061224489795</v>
      </c>
      <c r="N624" s="65">
        <f>103/O1*O2</f>
        <v>210.20408163265307</v>
      </c>
    </row>
    <row r="625" spans="1:14" x14ac:dyDescent="0.2">
      <c r="A625" s="24"/>
      <c r="B625" s="411" t="s">
        <v>67</v>
      </c>
      <c r="C625" s="411"/>
      <c r="D625" s="411"/>
      <c r="F625" s="16" t="s">
        <v>1181</v>
      </c>
      <c r="G625" s="16" t="s">
        <v>68</v>
      </c>
      <c r="H625" s="16" t="s">
        <v>702</v>
      </c>
      <c r="J625" s="66">
        <f>39/O1*O2</f>
        <v>79.591836734693885</v>
      </c>
      <c r="K625" s="66">
        <f>41/O1*O2</f>
        <v>83.673469387755105</v>
      </c>
      <c r="L625" s="66">
        <f>49.5/O1*O2</f>
        <v>101.0204081632653</v>
      </c>
      <c r="M625" s="66">
        <f>57.5/O1*O2</f>
        <v>117.34693877551021</v>
      </c>
      <c r="N625" s="66">
        <f>53.5/O1*O2</f>
        <v>109.18367346938776</v>
      </c>
    </row>
    <row r="626" spans="1:14" x14ac:dyDescent="0.2">
      <c r="A626" s="24"/>
      <c r="B626" s="411" t="s">
        <v>67</v>
      </c>
      <c r="C626" s="411"/>
      <c r="D626" s="411"/>
      <c r="F626" s="16" t="s">
        <v>1182</v>
      </c>
      <c r="G626" s="16" t="s">
        <v>68</v>
      </c>
      <c r="H626" s="16" t="s">
        <v>702</v>
      </c>
      <c r="J626" s="66">
        <f>31.6/O1*O2</f>
        <v>64.489795918367349</v>
      </c>
      <c r="K626" s="66">
        <f>33/O1*O2</f>
        <v>67.34693877551021</v>
      </c>
      <c r="L626" s="66">
        <f>38.5/O1*O2</f>
        <v>78.571428571428569</v>
      </c>
      <c r="M626" s="66">
        <f>44/O1*O2</f>
        <v>89.795918367346943</v>
      </c>
      <c r="N626" s="66">
        <f>41.5/O1*O2</f>
        <v>84.693877551020407</v>
      </c>
    </row>
    <row r="627" spans="1:14" ht="13.5" thickBot="1" x14ac:dyDescent="0.25">
      <c r="A627" s="28"/>
      <c r="B627" s="418" t="s">
        <v>902</v>
      </c>
      <c r="C627" s="418"/>
      <c r="D627" s="418"/>
      <c r="E627" s="30"/>
      <c r="F627" s="30"/>
      <c r="G627" s="30"/>
      <c r="H627" s="30" t="s">
        <v>702</v>
      </c>
      <c r="I627" s="30"/>
      <c r="J627" s="67">
        <f>11/O1*O2</f>
        <v>22.448979591836736</v>
      </c>
      <c r="K627" s="67">
        <f>11/O1*O2</f>
        <v>22.448979591836736</v>
      </c>
      <c r="L627" s="67">
        <f>11/O1*O2</f>
        <v>22.448979591836736</v>
      </c>
      <c r="M627" s="67">
        <f>11/O1*O2</f>
        <v>22.448979591836736</v>
      </c>
      <c r="N627" s="67">
        <f>11/O1*O2</f>
        <v>22.448979591836736</v>
      </c>
    </row>
    <row r="629" spans="1:14" ht="13.5" thickBot="1" x14ac:dyDescent="0.25">
      <c r="J629" s="68"/>
      <c r="K629" s="68"/>
      <c r="L629" s="68"/>
      <c r="M629" s="47"/>
      <c r="N629" s="47"/>
    </row>
    <row r="630" spans="1:14" x14ac:dyDescent="0.2">
      <c r="A630" s="20"/>
      <c r="B630" s="21"/>
      <c r="C630" s="21"/>
      <c r="D630" s="21"/>
      <c r="E630" s="22"/>
      <c r="F630" s="22"/>
      <c r="G630" s="22"/>
      <c r="H630" s="22"/>
      <c r="I630" s="22"/>
      <c r="J630" s="22"/>
      <c r="K630" s="22"/>
      <c r="L630" s="22"/>
      <c r="M630" s="22"/>
      <c r="N630" s="23"/>
    </row>
    <row r="631" spans="1:14" ht="15" x14ac:dyDescent="0.2">
      <c r="A631" s="24"/>
      <c r="B631" s="413" t="s">
        <v>359</v>
      </c>
      <c r="C631" s="414"/>
      <c r="D631" s="414"/>
      <c r="E631" s="414"/>
      <c r="F631" s="414"/>
      <c r="G631" s="414"/>
      <c r="H631" s="414"/>
      <c r="I631" s="414"/>
      <c r="J631" s="414"/>
      <c r="K631" s="414"/>
      <c r="L631" s="414"/>
      <c r="M631" s="415"/>
      <c r="N631" s="25" t="s">
        <v>96</v>
      </c>
    </row>
    <row r="632" spans="1:14" x14ac:dyDescent="0.2">
      <c r="A632" s="24"/>
      <c r="B632" s="26" t="s">
        <v>428</v>
      </c>
      <c r="C632" s="15" t="s">
        <v>223</v>
      </c>
      <c r="N632" s="27"/>
    </row>
    <row r="633" spans="1:14" x14ac:dyDescent="0.2">
      <c r="A633" s="24"/>
      <c r="B633" s="26" t="s">
        <v>429</v>
      </c>
      <c r="C633" s="15" t="s">
        <v>224</v>
      </c>
      <c r="N633" s="27"/>
    </row>
    <row r="634" spans="1:14" x14ac:dyDescent="0.2">
      <c r="A634" s="24"/>
      <c r="B634" s="26" t="s">
        <v>427</v>
      </c>
      <c r="C634" s="409" t="s">
        <v>1608</v>
      </c>
      <c r="D634" s="409"/>
      <c r="E634" s="409"/>
      <c r="F634" s="409"/>
      <c r="G634" s="409"/>
      <c r="H634" s="409"/>
      <c r="I634" s="409"/>
      <c r="J634" s="409"/>
      <c r="K634" s="409"/>
      <c r="L634" s="409"/>
      <c r="M634" s="409"/>
      <c r="N634" s="410"/>
    </row>
    <row r="635" spans="1:14" x14ac:dyDescent="0.2">
      <c r="A635" s="24"/>
      <c r="B635" s="26"/>
      <c r="C635" s="421"/>
      <c r="D635" s="421"/>
      <c r="E635" s="421"/>
      <c r="F635" s="421"/>
      <c r="G635" s="421"/>
      <c r="H635" s="421"/>
      <c r="I635" s="421"/>
      <c r="J635" s="421"/>
      <c r="K635" s="421"/>
      <c r="L635" s="421"/>
      <c r="M635" s="421"/>
      <c r="N635" s="422"/>
    </row>
    <row r="636" spans="1:14" x14ac:dyDescent="0.2">
      <c r="A636" s="24"/>
      <c r="B636" s="26" t="s">
        <v>426</v>
      </c>
      <c r="C636" s="15" t="s">
        <v>1364</v>
      </c>
      <c r="N636" s="27"/>
    </row>
    <row r="637" spans="1:14" ht="13.5" thickBot="1" x14ac:dyDescent="0.25">
      <c r="A637" s="28"/>
      <c r="B637" s="26" t="s">
        <v>430</v>
      </c>
      <c r="C637" s="29"/>
      <c r="D637" s="29"/>
      <c r="E637" s="30"/>
      <c r="F637" s="30"/>
      <c r="G637" s="30"/>
      <c r="H637" s="30"/>
      <c r="I637" s="30"/>
      <c r="J637" s="30"/>
      <c r="K637" s="30"/>
      <c r="L637" s="30"/>
      <c r="M637" s="30"/>
      <c r="N637" s="31"/>
    </row>
    <row r="638" spans="1:14" x14ac:dyDescent="0.2">
      <c r="A638" s="20"/>
      <c r="B638" s="21" t="s">
        <v>263</v>
      </c>
      <c r="C638" s="21"/>
      <c r="D638" s="21"/>
      <c r="E638" s="22"/>
      <c r="F638" s="22"/>
      <c r="G638" s="22"/>
      <c r="H638" s="22"/>
      <c r="I638" s="22"/>
      <c r="J638" s="32" t="s">
        <v>908</v>
      </c>
      <c r="K638" s="33"/>
      <c r="L638" s="33"/>
      <c r="M638" s="33"/>
      <c r="N638" s="33"/>
    </row>
    <row r="639" spans="1:14" ht="13.5" thickBot="1" x14ac:dyDescent="0.25">
      <c r="A639" s="28"/>
      <c r="B639" s="29"/>
      <c r="C639" s="29"/>
      <c r="D639" s="29"/>
      <c r="E639" s="30"/>
      <c r="F639" s="30"/>
      <c r="G639" s="30"/>
      <c r="H639" s="30"/>
      <c r="I639" s="30"/>
      <c r="J639" s="35" t="s">
        <v>612</v>
      </c>
      <c r="K639" s="36" t="s">
        <v>514</v>
      </c>
      <c r="L639" s="36"/>
      <c r="M639" s="36"/>
      <c r="N639" s="36"/>
    </row>
    <row r="640" spans="1:14" x14ac:dyDescent="0.2">
      <c r="A640" s="20"/>
      <c r="B640" s="412" t="s">
        <v>67</v>
      </c>
      <c r="C640" s="412"/>
      <c r="D640" s="412"/>
      <c r="E640" s="22"/>
      <c r="F640" s="22" t="s">
        <v>1180</v>
      </c>
      <c r="G640" s="22" t="s">
        <v>68</v>
      </c>
      <c r="H640" s="22" t="s">
        <v>702</v>
      </c>
      <c r="I640" s="22"/>
      <c r="J640" s="65">
        <f>79.5/O1*O2</f>
        <v>162.24489795918367</v>
      </c>
      <c r="K640" s="65">
        <f>67.7/O1*O2</f>
        <v>138.16326530612247</v>
      </c>
      <c r="L640" s="68"/>
      <c r="M640" s="65"/>
      <c r="N640" s="38"/>
    </row>
    <row r="641" spans="1:14" x14ac:dyDescent="0.2">
      <c r="A641" s="24"/>
      <c r="B641" s="411" t="s">
        <v>67</v>
      </c>
      <c r="C641" s="411"/>
      <c r="D641" s="411"/>
      <c r="F641" s="16" t="s">
        <v>1181</v>
      </c>
      <c r="G641" s="16" t="s">
        <v>68</v>
      </c>
      <c r="H641" s="16" t="s">
        <v>702</v>
      </c>
      <c r="J641" s="66">
        <f>42.5/O1*O2</f>
        <v>86.734693877551024</v>
      </c>
      <c r="K641" s="66">
        <f>36.5/O1*O2</f>
        <v>74.489795918367349</v>
      </c>
      <c r="L641" s="66"/>
      <c r="M641" s="66"/>
      <c r="N641" s="40"/>
    </row>
    <row r="642" spans="1:14" x14ac:dyDescent="0.2">
      <c r="A642" s="24"/>
      <c r="B642" s="411" t="s">
        <v>67</v>
      </c>
      <c r="C642" s="411"/>
      <c r="D642" s="411"/>
      <c r="F642" s="16" t="s">
        <v>1182</v>
      </c>
      <c r="G642" s="16" t="s">
        <v>68</v>
      </c>
      <c r="H642" s="16" t="s">
        <v>702</v>
      </c>
      <c r="J642" s="66">
        <f>35.7/O1*O2</f>
        <v>72.857142857142861</v>
      </c>
      <c r="K642" s="66">
        <f>32.5/O1*O2</f>
        <v>66.326530612244895</v>
      </c>
      <c r="L642" s="66"/>
      <c r="M642" s="66"/>
      <c r="N642" s="40"/>
    </row>
    <row r="643" spans="1:14" ht="13.5" thickBot="1" x14ac:dyDescent="0.25">
      <c r="A643" s="28"/>
      <c r="B643" s="418" t="s">
        <v>902</v>
      </c>
      <c r="C643" s="418"/>
      <c r="D643" s="418"/>
      <c r="E643" s="30"/>
      <c r="F643" s="30"/>
      <c r="G643" s="30"/>
      <c r="H643" s="30"/>
      <c r="I643" s="30"/>
      <c r="J643" s="67">
        <f>17/O1*O2</f>
        <v>34.693877551020407</v>
      </c>
      <c r="K643" s="67">
        <f>17/O1*O2</f>
        <v>34.693877551020407</v>
      </c>
      <c r="L643" s="67"/>
      <c r="M643" s="67"/>
      <c r="N643" s="42"/>
    </row>
    <row r="644" spans="1:14" x14ac:dyDescent="0.2">
      <c r="J644" s="68"/>
      <c r="K644" s="68"/>
      <c r="L644" s="68"/>
      <c r="M644" s="68"/>
      <c r="N644" s="47"/>
    </row>
    <row r="645" spans="1:14" x14ac:dyDescent="0.2">
      <c r="J645" s="68"/>
      <c r="K645" s="68"/>
      <c r="L645" s="68"/>
      <c r="M645" s="68"/>
      <c r="N645" s="47"/>
    </row>
    <row r="646" spans="1:14" x14ac:dyDescent="0.2">
      <c r="J646" s="68"/>
      <c r="K646" s="68"/>
      <c r="L646" s="68"/>
      <c r="M646" s="68"/>
      <c r="N646" s="47"/>
    </row>
    <row r="647" spans="1:14" x14ac:dyDescent="0.2">
      <c r="J647" s="68"/>
      <c r="K647" s="68"/>
      <c r="L647" s="68"/>
      <c r="M647" s="68"/>
      <c r="N647" s="47"/>
    </row>
    <row r="648" spans="1:14" x14ac:dyDescent="0.2">
      <c r="J648" s="68"/>
      <c r="K648" s="68"/>
      <c r="L648" s="68"/>
      <c r="M648" s="68"/>
      <c r="N648" s="47"/>
    </row>
    <row r="649" spans="1:14" x14ac:dyDescent="0.2">
      <c r="J649" s="68"/>
      <c r="K649" s="68"/>
      <c r="L649" s="68"/>
      <c r="M649" s="68"/>
      <c r="N649" s="47"/>
    </row>
    <row r="650" spans="1:14" x14ac:dyDescent="0.2">
      <c r="J650" s="68"/>
      <c r="K650" s="68"/>
      <c r="L650" s="68"/>
      <c r="M650" s="68"/>
      <c r="N650" s="47"/>
    </row>
    <row r="651" spans="1:14" x14ac:dyDescent="0.2">
      <c r="J651" s="68"/>
      <c r="K651" s="68"/>
      <c r="L651" s="68"/>
      <c r="M651" s="68"/>
      <c r="N651" s="47"/>
    </row>
    <row r="652" spans="1:14" x14ac:dyDescent="0.2">
      <c r="J652" s="68"/>
      <c r="K652" s="68"/>
      <c r="L652" s="68"/>
      <c r="M652" s="68"/>
      <c r="N652" s="47"/>
    </row>
    <row r="653" spans="1:14" x14ac:dyDescent="0.2">
      <c r="J653" s="68"/>
      <c r="K653" s="68"/>
      <c r="L653" s="68"/>
      <c r="M653" s="68"/>
      <c r="N653" s="47"/>
    </row>
    <row r="654" spans="1:14" x14ac:dyDescent="0.2">
      <c r="J654" s="68"/>
      <c r="K654" s="68"/>
      <c r="L654" s="68"/>
      <c r="M654" s="68"/>
      <c r="N654" s="47"/>
    </row>
    <row r="655" spans="1:14" ht="13.5" thickBot="1" x14ac:dyDescent="0.25">
      <c r="J655" s="68"/>
      <c r="K655" s="68"/>
      <c r="L655" s="68"/>
      <c r="M655" s="47"/>
      <c r="N655" s="47"/>
    </row>
    <row r="656" spans="1:14" x14ac:dyDescent="0.2">
      <c r="A656" s="20"/>
      <c r="B656" s="21"/>
      <c r="C656" s="21"/>
      <c r="D656" s="21"/>
      <c r="E656" s="22"/>
      <c r="F656" s="22"/>
      <c r="G656" s="22"/>
      <c r="H656" s="22"/>
      <c r="I656" s="22"/>
      <c r="J656" s="22"/>
      <c r="K656" s="22"/>
      <c r="L656" s="22"/>
      <c r="M656" s="22"/>
      <c r="N656" s="23"/>
    </row>
    <row r="657" spans="1:14" ht="15" x14ac:dyDescent="0.2">
      <c r="A657" s="24"/>
      <c r="B657" s="413" t="s">
        <v>1511</v>
      </c>
      <c r="C657" s="414"/>
      <c r="D657" s="414"/>
      <c r="E657" s="414"/>
      <c r="F657" s="414"/>
      <c r="G657" s="414"/>
      <c r="H657" s="414"/>
      <c r="I657" s="414"/>
      <c r="J657" s="414"/>
      <c r="K657" s="414"/>
      <c r="L657" s="414"/>
      <c r="M657" s="415"/>
      <c r="N657" s="25" t="s">
        <v>96</v>
      </c>
    </row>
    <row r="658" spans="1:14" x14ac:dyDescent="0.2">
      <c r="A658" s="24"/>
      <c r="B658" s="26" t="s">
        <v>428</v>
      </c>
      <c r="C658" s="15" t="s">
        <v>910</v>
      </c>
      <c r="N658" s="27"/>
    </row>
    <row r="659" spans="1:14" x14ac:dyDescent="0.2">
      <c r="A659" s="24"/>
      <c r="B659" s="26" t="s">
        <v>429</v>
      </c>
      <c r="C659" s="15" t="s">
        <v>884</v>
      </c>
      <c r="N659" s="27"/>
    </row>
    <row r="660" spans="1:14" x14ac:dyDescent="0.2">
      <c r="A660" s="24"/>
      <c r="B660" s="26" t="s">
        <v>427</v>
      </c>
      <c r="C660" s="409" t="s">
        <v>1609</v>
      </c>
      <c r="D660" s="409"/>
      <c r="E660" s="409"/>
      <c r="F660" s="409"/>
      <c r="G660" s="409"/>
      <c r="H660" s="409"/>
      <c r="I660" s="409"/>
      <c r="J660" s="409"/>
      <c r="K660" s="409"/>
      <c r="L660" s="409"/>
      <c r="M660" s="409"/>
      <c r="N660" s="410"/>
    </row>
    <row r="661" spans="1:14" x14ac:dyDescent="0.2">
      <c r="A661" s="24"/>
      <c r="B661" s="26"/>
      <c r="C661" s="409"/>
      <c r="D661" s="409"/>
      <c r="E661" s="409"/>
      <c r="F661" s="409"/>
      <c r="G661" s="409"/>
      <c r="H661" s="409"/>
      <c r="I661" s="409"/>
      <c r="J661" s="409"/>
      <c r="K661" s="409"/>
      <c r="L661" s="409"/>
      <c r="M661" s="409"/>
      <c r="N661" s="410"/>
    </row>
    <row r="662" spans="1:14" x14ac:dyDescent="0.2">
      <c r="A662" s="24"/>
      <c r="B662" s="26"/>
      <c r="C662" s="409"/>
      <c r="D662" s="409"/>
      <c r="E662" s="409"/>
      <c r="F662" s="409"/>
      <c r="G662" s="409"/>
      <c r="H662" s="409"/>
      <c r="I662" s="409"/>
      <c r="J662" s="409"/>
      <c r="K662" s="409"/>
      <c r="L662" s="409"/>
      <c r="M662" s="409"/>
      <c r="N662" s="410"/>
    </row>
    <row r="663" spans="1:14" x14ac:dyDescent="0.2">
      <c r="A663" s="24"/>
      <c r="C663" s="409"/>
      <c r="D663" s="409"/>
      <c r="E663" s="409"/>
      <c r="F663" s="409"/>
      <c r="G663" s="409"/>
      <c r="H663" s="409"/>
      <c r="I663" s="409"/>
      <c r="J663" s="409"/>
      <c r="K663" s="409"/>
      <c r="L663" s="409"/>
      <c r="M663" s="409"/>
      <c r="N663" s="410"/>
    </row>
    <row r="664" spans="1:14" x14ac:dyDescent="0.2">
      <c r="A664" s="24"/>
      <c r="B664" s="26" t="s">
        <v>426</v>
      </c>
      <c r="C664" s="15" t="s">
        <v>1358</v>
      </c>
      <c r="N664" s="27"/>
    </row>
    <row r="665" spans="1:14" ht="13.5" thickBot="1" x14ac:dyDescent="0.25">
      <c r="A665" s="28"/>
      <c r="B665" s="26" t="s">
        <v>430</v>
      </c>
      <c r="C665" s="29"/>
      <c r="D665" s="29"/>
      <c r="E665" s="30"/>
      <c r="F665" s="30"/>
      <c r="G665" s="30"/>
      <c r="H665" s="30"/>
      <c r="I665" s="30"/>
      <c r="J665" s="30"/>
      <c r="K665" s="30"/>
      <c r="L665" s="30"/>
      <c r="M665" s="30"/>
      <c r="N665" s="31"/>
    </row>
    <row r="666" spans="1:14" ht="13.5" thickBot="1" x14ac:dyDescent="0.25">
      <c r="A666" s="20"/>
      <c r="B666" s="21" t="s">
        <v>263</v>
      </c>
      <c r="C666" s="21"/>
      <c r="D666" s="21"/>
      <c r="E666" s="22"/>
      <c r="F666" s="22"/>
      <c r="G666" s="22"/>
      <c r="H666" s="22"/>
      <c r="I666" s="22"/>
      <c r="J666" s="32" t="s">
        <v>909</v>
      </c>
      <c r="K666" s="33" t="s">
        <v>1776</v>
      </c>
      <c r="L666" s="33"/>
      <c r="M666" s="33"/>
      <c r="N666" s="33"/>
    </row>
    <row r="667" spans="1:14" x14ac:dyDescent="0.2">
      <c r="A667" s="20"/>
      <c r="B667" s="412" t="s">
        <v>67</v>
      </c>
      <c r="C667" s="412"/>
      <c r="D667" s="412"/>
      <c r="E667" s="22"/>
      <c r="F667" s="22" t="s">
        <v>1180</v>
      </c>
      <c r="G667" s="22" t="s">
        <v>68</v>
      </c>
      <c r="H667" s="22" t="s">
        <v>702</v>
      </c>
      <c r="I667" s="22"/>
      <c r="J667" s="65">
        <f>46/O1*O2</f>
        <v>93.877551020408163</v>
      </c>
      <c r="K667" s="65">
        <f>58/O1*O2</f>
        <v>118.36734693877551</v>
      </c>
      <c r="L667" s="68"/>
      <c r="M667" s="38"/>
      <c r="N667" s="38"/>
    </row>
    <row r="668" spans="1:14" x14ac:dyDescent="0.2">
      <c r="A668" s="24"/>
      <c r="B668" s="411" t="s">
        <v>67</v>
      </c>
      <c r="C668" s="411"/>
      <c r="D668" s="411"/>
      <c r="F668" s="16" t="s">
        <v>1181</v>
      </c>
      <c r="G668" s="16" t="s">
        <v>68</v>
      </c>
      <c r="H668" s="16" t="s">
        <v>702</v>
      </c>
      <c r="J668" s="66">
        <f>24.5/O1*O2</f>
        <v>50</v>
      </c>
      <c r="K668" s="66">
        <f>35/O1*O2</f>
        <v>71.428571428571431</v>
      </c>
      <c r="L668" s="66"/>
      <c r="M668" s="40"/>
      <c r="N668" s="40"/>
    </row>
    <row r="669" spans="1:14" x14ac:dyDescent="0.2">
      <c r="A669" s="24"/>
      <c r="B669" s="411" t="s">
        <v>67</v>
      </c>
      <c r="C669" s="411"/>
      <c r="D669" s="411"/>
      <c r="F669" s="16" t="s">
        <v>1182</v>
      </c>
      <c r="G669" s="16" t="s">
        <v>68</v>
      </c>
      <c r="H669" s="16" t="s">
        <v>702</v>
      </c>
      <c r="J669" s="66">
        <f>19.6/O1*O2</f>
        <v>40.000000000000007</v>
      </c>
      <c r="K669" s="66">
        <f>27.6/O1*O2</f>
        <v>56.326530612244902</v>
      </c>
      <c r="L669" s="66"/>
      <c r="M669" s="40"/>
      <c r="N669" s="40"/>
    </row>
    <row r="670" spans="1:14" ht="13.5" thickBot="1" x14ac:dyDescent="0.25">
      <c r="A670" s="28"/>
      <c r="B670" s="418"/>
      <c r="C670" s="418"/>
      <c r="D670" s="418"/>
      <c r="E670" s="30"/>
      <c r="F670" s="30"/>
      <c r="G670" s="30"/>
      <c r="H670" s="30"/>
      <c r="I670" s="30"/>
      <c r="J670" s="67"/>
      <c r="K670" s="67"/>
      <c r="L670" s="67"/>
      <c r="M670" s="42"/>
      <c r="N670" s="42"/>
    </row>
    <row r="671" spans="1:14" ht="13.5" thickBot="1" x14ac:dyDescent="0.25">
      <c r="A671" s="75"/>
      <c r="B671" s="49" t="s">
        <v>78</v>
      </c>
      <c r="C671" s="49"/>
      <c r="D671" s="49"/>
      <c r="E671" s="56"/>
      <c r="F671" s="56"/>
      <c r="G671" s="56"/>
      <c r="H671" s="56"/>
      <c r="I671" s="56"/>
      <c r="J671" s="72"/>
      <c r="K671" s="72"/>
      <c r="L671" s="72"/>
      <c r="M671" s="72"/>
      <c r="N671" s="73"/>
    </row>
    <row r="672" spans="1:14" ht="13.5" thickBot="1" x14ac:dyDescent="0.25">
      <c r="J672" s="47"/>
      <c r="K672" s="47"/>
      <c r="L672" s="47"/>
      <c r="M672" s="47"/>
      <c r="N672" s="47"/>
    </row>
    <row r="673" spans="1:14" x14ac:dyDescent="0.2">
      <c r="A673" s="20"/>
      <c r="B673" s="21"/>
      <c r="C673" s="21"/>
      <c r="D673" s="21"/>
      <c r="E673" s="22"/>
      <c r="F673" s="22"/>
      <c r="G673" s="22"/>
      <c r="H673" s="22"/>
      <c r="I673" s="22"/>
      <c r="J673" s="22"/>
      <c r="K673" s="22"/>
      <c r="L673" s="22"/>
      <c r="M673" s="22"/>
      <c r="N673" s="23"/>
    </row>
    <row r="674" spans="1:14" ht="15" x14ac:dyDescent="0.2">
      <c r="A674" s="24"/>
      <c r="B674" s="413" t="s">
        <v>726</v>
      </c>
      <c r="C674" s="414"/>
      <c r="D674" s="414"/>
      <c r="E674" s="414"/>
      <c r="F674" s="414"/>
      <c r="G674" s="414"/>
      <c r="H674" s="414"/>
      <c r="I674" s="414"/>
      <c r="J674" s="414"/>
      <c r="K674" s="414"/>
      <c r="L674" s="414"/>
      <c r="M674" s="415"/>
      <c r="N674" s="25" t="s">
        <v>96</v>
      </c>
    </row>
    <row r="675" spans="1:14" x14ac:dyDescent="0.2">
      <c r="A675" s="24"/>
      <c r="B675" s="26" t="s">
        <v>428</v>
      </c>
      <c r="C675" s="15" t="s">
        <v>192</v>
      </c>
      <c r="N675" s="27"/>
    </row>
    <row r="676" spans="1:14" x14ac:dyDescent="0.2">
      <c r="A676" s="24"/>
      <c r="B676" s="26" t="s">
        <v>429</v>
      </c>
      <c r="C676" s="15" t="s">
        <v>885</v>
      </c>
      <c r="N676" s="27"/>
    </row>
    <row r="677" spans="1:14" x14ac:dyDescent="0.2">
      <c r="A677" s="24"/>
      <c r="B677" s="26" t="s">
        <v>427</v>
      </c>
      <c r="C677" s="409" t="s">
        <v>1755</v>
      </c>
      <c r="D677" s="409"/>
      <c r="E677" s="409"/>
      <c r="F677" s="409"/>
      <c r="G677" s="409"/>
      <c r="H677" s="409"/>
      <c r="I677" s="409"/>
      <c r="J677" s="409"/>
      <c r="K677" s="409"/>
      <c r="L677" s="409"/>
      <c r="M677" s="409"/>
      <c r="N677" s="410"/>
    </row>
    <row r="678" spans="1:14" x14ac:dyDescent="0.2">
      <c r="A678" s="24"/>
      <c r="B678" s="26"/>
      <c r="C678" s="409"/>
      <c r="D678" s="409"/>
      <c r="E678" s="409"/>
      <c r="F678" s="409"/>
      <c r="G678" s="409"/>
      <c r="H678" s="409"/>
      <c r="I678" s="409"/>
      <c r="J678" s="409"/>
      <c r="K678" s="409"/>
      <c r="L678" s="409"/>
      <c r="M678" s="409"/>
      <c r="N678" s="410"/>
    </row>
    <row r="679" spans="1:14" x14ac:dyDescent="0.2">
      <c r="A679" s="24"/>
      <c r="C679" s="409"/>
      <c r="D679" s="409"/>
      <c r="E679" s="409"/>
      <c r="F679" s="409"/>
      <c r="G679" s="409"/>
      <c r="H679" s="409"/>
      <c r="I679" s="409"/>
      <c r="J679" s="409"/>
      <c r="K679" s="409"/>
      <c r="L679" s="409"/>
      <c r="M679" s="409"/>
      <c r="N679" s="410"/>
    </row>
    <row r="680" spans="1:14" x14ac:dyDescent="0.2">
      <c r="A680" s="24"/>
      <c r="C680" s="409"/>
      <c r="D680" s="409"/>
      <c r="E680" s="409"/>
      <c r="F680" s="409"/>
      <c r="G680" s="409"/>
      <c r="H680" s="409"/>
      <c r="I680" s="409"/>
      <c r="J680" s="409"/>
      <c r="K680" s="409"/>
      <c r="L680" s="409"/>
      <c r="M680" s="409"/>
      <c r="N680" s="410"/>
    </row>
    <row r="681" spans="1:14" x14ac:dyDescent="0.2">
      <c r="A681" s="24"/>
      <c r="B681" s="26" t="s">
        <v>426</v>
      </c>
      <c r="J681" s="15"/>
      <c r="N681" s="27"/>
    </row>
    <row r="682" spans="1:14" ht="13.5" thickBot="1" x14ac:dyDescent="0.25">
      <c r="A682" s="28"/>
      <c r="B682" s="26" t="s">
        <v>430</v>
      </c>
      <c r="C682" s="29"/>
      <c r="D682" s="29"/>
      <c r="E682" s="30"/>
      <c r="F682" s="30"/>
      <c r="G682" s="30"/>
      <c r="H682" s="30"/>
      <c r="I682" s="30"/>
      <c r="J682" s="30"/>
      <c r="K682" s="30"/>
      <c r="L682" s="30"/>
      <c r="M682" s="30"/>
      <c r="N682" s="31"/>
    </row>
    <row r="683" spans="1:14" x14ac:dyDescent="0.2">
      <c r="A683" s="20"/>
      <c r="B683" s="21" t="s">
        <v>263</v>
      </c>
      <c r="C683" s="21"/>
      <c r="D683" s="21"/>
      <c r="E683" s="22"/>
      <c r="F683" s="22"/>
      <c r="G683" s="22"/>
      <c r="H683" s="22"/>
      <c r="I683" s="22"/>
      <c r="J683" s="33" t="s">
        <v>909</v>
      </c>
      <c r="K683" s="33" t="s">
        <v>1753</v>
      </c>
      <c r="L683" s="33"/>
      <c r="M683" s="33"/>
      <c r="N683" s="33"/>
    </row>
    <row r="684" spans="1:14" ht="13.5" thickBot="1" x14ac:dyDescent="0.25">
      <c r="A684" s="24"/>
      <c r="J684" s="36" t="s">
        <v>1435</v>
      </c>
      <c r="K684" s="36" t="s">
        <v>612</v>
      </c>
      <c r="L684" s="36"/>
      <c r="M684" s="36"/>
      <c r="N684" s="36"/>
    </row>
    <row r="685" spans="1:14" x14ac:dyDescent="0.2">
      <c r="A685" s="20"/>
      <c r="B685" s="412" t="s">
        <v>67</v>
      </c>
      <c r="C685" s="412"/>
      <c r="D685" s="412"/>
      <c r="E685" s="22"/>
      <c r="F685" s="22" t="s">
        <v>1180</v>
      </c>
      <c r="G685" s="22" t="s">
        <v>68</v>
      </c>
      <c r="H685" s="22" t="s">
        <v>702</v>
      </c>
      <c r="I685" s="22"/>
      <c r="J685" s="66">
        <f>66/O1*O2</f>
        <v>134.69387755102042</v>
      </c>
      <c r="K685" s="66">
        <f>80/O1*O2</f>
        <v>163.26530612244898</v>
      </c>
      <c r="L685" s="40"/>
      <c r="M685" s="40"/>
      <c r="N685" s="38"/>
    </row>
    <row r="686" spans="1:14" x14ac:dyDescent="0.2">
      <c r="A686" s="24"/>
      <c r="B686" s="411" t="s">
        <v>67</v>
      </c>
      <c r="C686" s="411"/>
      <c r="D686" s="411"/>
      <c r="F686" s="16" t="s">
        <v>1181</v>
      </c>
      <c r="G686" s="16" t="s">
        <v>68</v>
      </c>
      <c r="H686" s="16" t="s">
        <v>702</v>
      </c>
      <c r="J686" s="66">
        <f>37/O1*O2</f>
        <v>75.510204081632651</v>
      </c>
      <c r="K686" s="66">
        <f>43/O1*O2</f>
        <v>87.755102040816325</v>
      </c>
      <c r="L686" s="40"/>
      <c r="M686" s="40"/>
      <c r="N686" s="40"/>
    </row>
    <row r="687" spans="1:14" x14ac:dyDescent="0.2">
      <c r="A687" s="24"/>
      <c r="B687" s="411" t="s">
        <v>67</v>
      </c>
      <c r="C687" s="411"/>
      <c r="D687" s="411"/>
      <c r="F687" s="16" t="s">
        <v>1182</v>
      </c>
      <c r="G687" s="16" t="s">
        <v>68</v>
      </c>
      <c r="H687" s="16" t="s">
        <v>702</v>
      </c>
      <c r="J687" s="66">
        <f>36.6/O1*O2</f>
        <v>74.693877551020407</v>
      </c>
      <c r="K687" s="66">
        <f>41.5/O1*O2</f>
        <v>84.693877551020407</v>
      </c>
      <c r="L687" s="40"/>
      <c r="M687" s="40"/>
      <c r="N687" s="40"/>
    </row>
    <row r="688" spans="1:14" ht="13.5" thickBot="1" x14ac:dyDescent="0.25">
      <c r="A688" s="28"/>
      <c r="B688" s="418" t="s">
        <v>902</v>
      </c>
      <c r="C688" s="418"/>
      <c r="D688" s="418"/>
      <c r="E688" s="30"/>
      <c r="F688" s="30"/>
      <c r="G688" s="30"/>
      <c r="H688" s="30" t="s">
        <v>702</v>
      </c>
      <c r="I688" s="31"/>
      <c r="J688" s="67">
        <f>17/O1*O2</f>
        <v>34.693877551020407</v>
      </c>
      <c r="K688" s="67">
        <f>17/O1*O2</f>
        <v>34.693877551020407</v>
      </c>
      <c r="L688" s="42"/>
      <c r="M688" s="42"/>
      <c r="N688" s="42"/>
    </row>
    <row r="689" spans="1:14" ht="13.5" thickBot="1" x14ac:dyDescent="0.25">
      <c r="J689" s="47"/>
      <c r="K689" s="47"/>
      <c r="L689" s="47"/>
      <c r="M689" s="47"/>
      <c r="N689" s="47"/>
    </row>
    <row r="690" spans="1:14" x14ac:dyDescent="0.2">
      <c r="A690" s="20"/>
      <c r="B690" s="21"/>
      <c r="C690" s="21"/>
      <c r="D690" s="21"/>
      <c r="E690" s="22"/>
      <c r="F690" s="22"/>
      <c r="G690" s="22"/>
      <c r="H690" s="22"/>
      <c r="I690" s="22"/>
      <c r="J690" s="22"/>
      <c r="K690" s="22"/>
      <c r="L690" s="22"/>
      <c r="M690" s="22"/>
      <c r="N690" s="23"/>
    </row>
    <row r="691" spans="1:14" ht="15" x14ac:dyDescent="0.2">
      <c r="A691" s="24"/>
      <c r="B691" s="413" t="s">
        <v>89</v>
      </c>
      <c r="C691" s="414"/>
      <c r="D691" s="414"/>
      <c r="E691" s="414"/>
      <c r="F691" s="414"/>
      <c r="G691" s="414"/>
      <c r="H691" s="414"/>
      <c r="I691" s="414"/>
      <c r="J691" s="414"/>
      <c r="K691" s="414"/>
      <c r="L691" s="414"/>
      <c r="M691" s="415"/>
      <c r="N691" s="25" t="s">
        <v>96</v>
      </c>
    </row>
    <row r="692" spans="1:14" x14ac:dyDescent="0.2">
      <c r="A692" s="24"/>
      <c r="B692" s="26" t="s">
        <v>428</v>
      </c>
      <c r="C692" s="15" t="s">
        <v>90</v>
      </c>
      <c r="N692" s="27"/>
    </row>
    <row r="693" spans="1:14" x14ac:dyDescent="0.2">
      <c r="A693" s="24"/>
      <c r="B693" s="26" t="s">
        <v>429</v>
      </c>
      <c r="C693" s="15" t="s">
        <v>337</v>
      </c>
      <c r="N693" s="27"/>
    </row>
    <row r="694" spans="1:14" x14ac:dyDescent="0.2">
      <c r="A694" s="24"/>
      <c r="B694" s="26" t="s">
        <v>427</v>
      </c>
      <c r="C694" s="409" t="s">
        <v>1610</v>
      </c>
      <c r="D694" s="409"/>
      <c r="E694" s="409"/>
      <c r="F694" s="409"/>
      <c r="G694" s="409"/>
      <c r="H694" s="409"/>
      <c r="I694" s="409"/>
      <c r="J694" s="409"/>
      <c r="K694" s="409"/>
      <c r="L694" s="409"/>
      <c r="M694" s="409"/>
      <c r="N694" s="410"/>
    </row>
    <row r="695" spans="1:14" x14ac:dyDescent="0.2">
      <c r="A695" s="24"/>
      <c r="B695" s="26"/>
      <c r="C695" s="409"/>
      <c r="D695" s="409"/>
      <c r="E695" s="409"/>
      <c r="F695" s="409"/>
      <c r="G695" s="409"/>
      <c r="H695" s="409"/>
      <c r="I695" s="409"/>
      <c r="J695" s="409"/>
      <c r="K695" s="409"/>
      <c r="L695" s="409"/>
      <c r="M695" s="409"/>
      <c r="N695" s="410"/>
    </row>
    <row r="696" spans="1:14" x14ac:dyDescent="0.2">
      <c r="A696" s="24"/>
      <c r="C696" s="409"/>
      <c r="D696" s="409"/>
      <c r="E696" s="409"/>
      <c r="F696" s="409"/>
      <c r="G696" s="409"/>
      <c r="H696" s="409"/>
      <c r="I696" s="409"/>
      <c r="J696" s="409"/>
      <c r="K696" s="409"/>
      <c r="L696" s="409"/>
      <c r="M696" s="409"/>
      <c r="N696" s="410"/>
    </row>
    <row r="697" spans="1:14" x14ac:dyDescent="0.2">
      <c r="A697" s="24"/>
      <c r="B697" s="26" t="s">
        <v>426</v>
      </c>
      <c r="N697" s="27"/>
    </row>
    <row r="698" spans="1:14" ht="13.5" thickBot="1" x14ac:dyDescent="0.25">
      <c r="A698" s="28"/>
      <c r="B698" s="26" t="s">
        <v>430</v>
      </c>
      <c r="C698" s="29"/>
      <c r="D698" s="29"/>
      <c r="E698" s="30"/>
      <c r="F698" s="30"/>
      <c r="G698" s="30"/>
      <c r="H698" s="30"/>
      <c r="I698" s="30"/>
      <c r="J698" s="30"/>
      <c r="K698" s="30"/>
      <c r="L698" s="30"/>
      <c r="M698" s="30"/>
      <c r="N698" s="31"/>
    </row>
    <row r="699" spans="1:14" x14ac:dyDescent="0.2">
      <c r="A699" s="20"/>
      <c r="B699" s="21" t="s">
        <v>263</v>
      </c>
      <c r="C699" s="21"/>
      <c r="D699" s="21"/>
      <c r="E699" s="22"/>
      <c r="F699" s="22"/>
      <c r="G699" s="22"/>
      <c r="H699" s="22"/>
      <c r="I699" s="22"/>
      <c r="J699" s="32" t="s">
        <v>907</v>
      </c>
      <c r="K699" s="33" t="s">
        <v>339</v>
      </c>
      <c r="L699" s="33" t="s">
        <v>514</v>
      </c>
      <c r="M699" s="33"/>
      <c r="N699" s="33"/>
    </row>
    <row r="700" spans="1:14" ht="13.5" thickBot="1" x14ac:dyDescent="0.25">
      <c r="A700" s="28"/>
      <c r="B700" s="29"/>
      <c r="C700" s="29"/>
      <c r="D700" s="29"/>
      <c r="E700" s="30"/>
      <c r="F700" s="30"/>
      <c r="G700" s="30"/>
      <c r="H700" s="30"/>
      <c r="I700" s="30"/>
      <c r="J700" s="35"/>
      <c r="K700" s="36" t="s">
        <v>1749</v>
      </c>
      <c r="L700" s="36"/>
      <c r="M700" s="36"/>
      <c r="N700" s="36"/>
    </row>
    <row r="701" spans="1:14" x14ac:dyDescent="0.2">
      <c r="A701" s="20"/>
      <c r="B701" s="412" t="s">
        <v>67</v>
      </c>
      <c r="C701" s="412"/>
      <c r="D701" s="412"/>
      <c r="E701" s="22"/>
      <c r="F701" s="22" t="s">
        <v>1180</v>
      </c>
      <c r="G701" s="22" t="s">
        <v>68</v>
      </c>
      <c r="H701" s="22" t="s">
        <v>702</v>
      </c>
      <c r="I701" s="22"/>
      <c r="J701" s="65">
        <f>55/O1*O2</f>
        <v>112.24489795918367</v>
      </c>
      <c r="K701" s="65">
        <f>79/O1*O2</f>
        <v>161.22448979591837</v>
      </c>
      <c r="L701" s="65">
        <f>67/O1*O2</f>
        <v>136.73469387755102</v>
      </c>
      <c r="M701" s="38"/>
      <c r="N701" s="38"/>
    </row>
    <row r="702" spans="1:14" x14ac:dyDescent="0.2">
      <c r="A702" s="24"/>
      <c r="B702" s="411" t="s">
        <v>67</v>
      </c>
      <c r="C702" s="411"/>
      <c r="D702" s="411"/>
      <c r="F702" s="16" t="s">
        <v>1181</v>
      </c>
      <c r="G702" s="16" t="s">
        <v>68</v>
      </c>
      <c r="H702" s="16" t="s">
        <v>702</v>
      </c>
      <c r="J702" s="66">
        <f>27.5/O1*O2</f>
        <v>56.122448979591837</v>
      </c>
      <c r="K702" s="66">
        <f>39.5/O1*O2</f>
        <v>80.612244897959187</v>
      </c>
      <c r="L702" s="66">
        <f>33.5/O1*O2</f>
        <v>68.367346938775512</v>
      </c>
      <c r="M702" s="40"/>
      <c r="N702" s="40"/>
    </row>
    <row r="703" spans="1:14" x14ac:dyDescent="0.2">
      <c r="A703" s="24"/>
      <c r="B703" s="411" t="s">
        <v>67</v>
      </c>
      <c r="C703" s="411"/>
      <c r="D703" s="411"/>
      <c r="F703" s="16" t="s">
        <v>1182</v>
      </c>
      <c r="G703" s="16" t="s">
        <v>68</v>
      </c>
      <c r="H703" s="16" t="s">
        <v>702</v>
      </c>
      <c r="J703" s="66">
        <f>23.5/O1*O2</f>
        <v>47.95918367346939</v>
      </c>
      <c r="K703" s="66">
        <f>31.5/O1*O2</f>
        <v>64.285714285714292</v>
      </c>
      <c r="L703" s="66">
        <f>27.5/O1*O2</f>
        <v>56.122448979591837</v>
      </c>
      <c r="M703" s="40"/>
      <c r="N703" s="40"/>
    </row>
    <row r="704" spans="1:14" ht="13.5" thickBot="1" x14ac:dyDescent="0.25">
      <c r="A704" s="28"/>
      <c r="B704" s="418" t="s">
        <v>902</v>
      </c>
      <c r="C704" s="418"/>
      <c r="D704" s="418"/>
      <c r="E704" s="30"/>
      <c r="F704" s="30"/>
      <c r="G704" s="30"/>
      <c r="H704" s="30"/>
      <c r="I704" s="30"/>
      <c r="J704" s="67">
        <f>15/O1*O2</f>
        <v>30.612244897959183</v>
      </c>
      <c r="K704" s="67">
        <f>15/O1*O2</f>
        <v>30.612244897959183</v>
      </c>
      <c r="L704" s="67">
        <f>15/O1*O2</f>
        <v>30.612244897959183</v>
      </c>
      <c r="M704" s="42"/>
      <c r="N704" s="42"/>
    </row>
    <row r="705" spans="1:14" x14ac:dyDescent="0.2">
      <c r="J705" s="68"/>
      <c r="K705" s="68"/>
      <c r="L705" s="68"/>
      <c r="M705" s="47"/>
      <c r="N705" s="47"/>
    </row>
    <row r="709" spans="1:14" ht="13.5" thickBot="1" x14ac:dyDescent="0.25">
      <c r="A709" s="17"/>
      <c r="B709" s="17"/>
      <c r="C709" s="17"/>
      <c r="D709" s="17"/>
      <c r="E709" s="17"/>
      <c r="F709" s="17"/>
      <c r="G709" s="17"/>
      <c r="H709" s="17"/>
      <c r="I709" s="17"/>
      <c r="J709" s="17"/>
      <c r="K709" s="17"/>
      <c r="L709" s="17"/>
      <c r="M709" s="17"/>
      <c r="N709" s="17"/>
    </row>
    <row r="710" spans="1:14" x14ac:dyDescent="0.2">
      <c r="A710" s="20"/>
      <c r="B710" s="21"/>
      <c r="C710" s="21"/>
      <c r="D710" s="21"/>
      <c r="E710" s="22"/>
      <c r="F710" s="22"/>
      <c r="G710" s="22"/>
      <c r="H710" s="22"/>
      <c r="I710" s="22"/>
      <c r="J710" s="22"/>
      <c r="K710" s="22"/>
      <c r="L710" s="22"/>
      <c r="M710" s="22"/>
      <c r="N710" s="23"/>
    </row>
    <row r="711" spans="1:14" ht="15" x14ac:dyDescent="0.2">
      <c r="A711" s="24"/>
      <c r="B711" s="413" t="s">
        <v>95</v>
      </c>
      <c r="C711" s="414"/>
      <c r="D711" s="414"/>
      <c r="E711" s="414"/>
      <c r="F711" s="414"/>
      <c r="G711" s="414"/>
      <c r="H711" s="414"/>
      <c r="I711" s="414"/>
      <c r="J711" s="414"/>
      <c r="K711" s="414"/>
      <c r="L711" s="414"/>
      <c r="M711" s="415"/>
      <c r="N711" s="25" t="s">
        <v>96</v>
      </c>
    </row>
    <row r="712" spans="1:14" x14ac:dyDescent="0.2">
      <c r="A712" s="24"/>
      <c r="B712" s="26" t="s">
        <v>428</v>
      </c>
      <c r="C712" s="15" t="s">
        <v>169</v>
      </c>
      <c r="N712" s="27"/>
    </row>
    <row r="713" spans="1:14" x14ac:dyDescent="0.2">
      <c r="A713" s="24"/>
      <c r="B713" s="26" t="s">
        <v>429</v>
      </c>
      <c r="C713" s="15" t="s">
        <v>651</v>
      </c>
      <c r="N713" s="27"/>
    </row>
    <row r="714" spans="1:14" x14ac:dyDescent="0.2">
      <c r="A714" s="24"/>
      <c r="B714" s="26" t="s">
        <v>427</v>
      </c>
      <c r="C714" s="416" t="s">
        <v>1224</v>
      </c>
      <c r="D714" s="416"/>
      <c r="E714" s="416"/>
      <c r="F714" s="416"/>
      <c r="G714" s="416"/>
      <c r="H714" s="416"/>
      <c r="I714" s="416"/>
      <c r="J714" s="416"/>
      <c r="K714" s="416"/>
      <c r="L714" s="416"/>
      <c r="M714" s="416"/>
      <c r="N714" s="417"/>
    </row>
    <row r="715" spans="1:14" x14ac:dyDescent="0.2">
      <c r="A715" s="24"/>
      <c r="B715" s="26"/>
      <c r="C715" s="416"/>
      <c r="D715" s="416"/>
      <c r="E715" s="416"/>
      <c r="F715" s="416"/>
      <c r="G715" s="416"/>
      <c r="H715" s="416"/>
      <c r="I715" s="416"/>
      <c r="J715" s="416"/>
      <c r="K715" s="416"/>
      <c r="L715" s="416"/>
      <c r="M715" s="416"/>
      <c r="N715" s="417"/>
    </row>
    <row r="716" spans="1:14" x14ac:dyDescent="0.2">
      <c r="A716" s="24"/>
      <c r="C716" s="416"/>
      <c r="D716" s="416"/>
      <c r="E716" s="416"/>
      <c r="F716" s="416"/>
      <c r="G716" s="416"/>
      <c r="H716" s="416"/>
      <c r="I716" s="416"/>
      <c r="J716" s="416"/>
      <c r="K716" s="416"/>
      <c r="L716" s="416"/>
      <c r="M716" s="416"/>
      <c r="N716" s="417"/>
    </row>
    <row r="717" spans="1:14" x14ac:dyDescent="0.2">
      <c r="A717" s="24"/>
      <c r="B717" s="26" t="s">
        <v>426</v>
      </c>
      <c r="J717" s="15"/>
      <c r="N717" s="27"/>
    </row>
    <row r="718" spans="1:14" ht="13.5" thickBot="1" x14ac:dyDescent="0.25">
      <c r="A718" s="28"/>
      <c r="B718" s="43" t="s">
        <v>430</v>
      </c>
      <c r="C718" s="29"/>
      <c r="D718" s="29"/>
      <c r="E718" s="30"/>
      <c r="F718" s="30"/>
      <c r="G718" s="30"/>
      <c r="H718" s="30"/>
      <c r="I718" s="30"/>
      <c r="J718" s="29"/>
      <c r="K718" s="30"/>
      <c r="L718" s="30"/>
      <c r="M718" s="30"/>
      <c r="N718" s="31"/>
    </row>
    <row r="719" spans="1:14" x14ac:dyDescent="0.2">
      <c r="A719" s="20"/>
      <c r="B719" s="21" t="s">
        <v>263</v>
      </c>
      <c r="C719" s="21"/>
      <c r="D719" s="21"/>
      <c r="E719" s="22"/>
      <c r="F719" s="22"/>
      <c r="G719" s="22"/>
      <c r="H719" s="22"/>
      <c r="I719" s="22"/>
      <c r="J719" s="79" t="s">
        <v>94</v>
      </c>
      <c r="K719" s="33" t="s">
        <v>1756</v>
      </c>
      <c r="L719" s="33" t="s">
        <v>753</v>
      </c>
      <c r="M719" s="33" t="s">
        <v>513</v>
      </c>
      <c r="N719" s="33"/>
    </row>
    <row r="720" spans="1:14" x14ac:dyDescent="0.2">
      <c r="A720" s="24"/>
      <c r="J720" s="208" t="s">
        <v>514</v>
      </c>
      <c r="K720" s="55" t="s">
        <v>77</v>
      </c>
      <c r="L720" s="55"/>
      <c r="M720" s="58" t="s">
        <v>612</v>
      </c>
      <c r="N720" s="55"/>
    </row>
    <row r="721" spans="1:14" ht="13.5" thickBot="1" x14ac:dyDescent="0.25">
      <c r="A721" s="28"/>
      <c r="B721" s="17"/>
      <c r="C721" s="29"/>
      <c r="D721" s="29"/>
      <c r="E721" s="30"/>
      <c r="F721" s="30"/>
      <c r="G721" s="30"/>
      <c r="H721" s="30"/>
      <c r="I721" s="30"/>
      <c r="J721" s="294" t="s">
        <v>76</v>
      </c>
      <c r="K721" s="36"/>
      <c r="L721" s="36"/>
      <c r="M721" s="35"/>
      <c r="N721" s="36"/>
    </row>
    <row r="722" spans="1:14" x14ac:dyDescent="0.2">
      <c r="A722" s="20"/>
      <c r="B722" s="412" t="s">
        <v>67</v>
      </c>
      <c r="C722" s="412"/>
      <c r="D722" s="412"/>
      <c r="E722" s="22"/>
      <c r="F722" s="22" t="s">
        <v>1180</v>
      </c>
      <c r="G722" s="22" t="s">
        <v>68</v>
      </c>
      <c r="H722" s="22" t="s">
        <v>702</v>
      </c>
      <c r="I722" s="22"/>
      <c r="J722" s="65">
        <f>74/O1*O2</f>
        <v>151.0204081632653</v>
      </c>
      <c r="K722" s="66">
        <f>86/O1*O2</f>
        <v>175.51020408163265</v>
      </c>
      <c r="L722" s="65">
        <f>90/O1*O2</f>
        <v>183.67346938775512</v>
      </c>
      <c r="M722" s="63">
        <f>103/O1*O2</f>
        <v>210.20408163265307</v>
      </c>
      <c r="N722" s="55"/>
    </row>
    <row r="723" spans="1:14" x14ac:dyDescent="0.2">
      <c r="A723" s="24"/>
      <c r="B723" s="411" t="s">
        <v>67</v>
      </c>
      <c r="C723" s="411"/>
      <c r="D723" s="411"/>
      <c r="F723" s="16" t="s">
        <v>1181</v>
      </c>
      <c r="G723" s="16" t="s">
        <v>68</v>
      </c>
      <c r="H723" s="16" t="s">
        <v>702</v>
      </c>
      <c r="J723" s="66">
        <f>39/O1*O2</f>
        <v>79.591836734693885</v>
      </c>
      <c r="K723" s="66">
        <f>45/O1*O2</f>
        <v>91.83673469387756</v>
      </c>
      <c r="L723" s="66">
        <f>48/O1*O2</f>
        <v>97.959183673469383</v>
      </c>
      <c r="M723" s="63">
        <f>53.5/O1*O2</f>
        <v>109.18367346938776</v>
      </c>
      <c r="N723" s="55"/>
    </row>
    <row r="724" spans="1:14" x14ac:dyDescent="0.2">
      <c r="A724" s="24"/>
      <c r="B724" s="411" t="s">
        <v>67</v>
      </c>
      <c r="C724" s="411"/>
      <c r="D724" s="411"/>
      <c r="F724" s="16" t="s">
        <v>1182</v>
      </c>
      <c r="G724" s="16" t="s">
        <v>68</v>
      </c>
      <c r="H724" s="16" t="s">
        <v>702</v>
      </c>
      <c r="J724" s="66">
        <f>31.6/O1*O2</f>
        <v>64.489795918367349</v>
      </c>
      <c r="K724" s="66">
        <f>35.6/O1*O2</f>
        <v>72.653061224489804</v>
      </c>
      <c r="L724" s="66">
        <f>37/O1*O2</f>
        <v>75.510204081632651</v>
      </c>
      <c r="M724" s="63">
        <f>41.5/O1*O2</f>
        <v>84.693877551020407</v>
      </c>
      <c r="N724" s="55"/>
    </row>
    <row r="725" spans="1:14" ht="13.5" thickBot="1" x14ac:dyDescent="0.25">
      <c r="A725" s="28"/>
      <c r="B725" s="418" t="s">
        <v>902</v>
      </c>
      <c r="C725" s="418"/>
      <c r="D725" s="418"/>
      <c r="E725" s="30"/>
      <c r="F725" s="30"/>
      <c r="G725" s="30"/>
      <c r="H725" s="30"/>
      <c r="I725" s="30"/>
      <c r="J725" s="67">
        <f>11/O1*O2</f>
        <v>22.448979591836736</v>
      </c>
      <c r="K725" s="67">
        <f>11/O1*O2</f>
        <v>22.448979591836736</v>
      </c>
      <c r="L725" s="67">
        <f>11/O1*O2</f>
        <v>22.448979591836736</v>
      </c>
      <c r="M725" s="64">
        <f>11/O1*O2</f>
        <v>22.448979591836736</v>
      </c>
      <c r="N725" s="36"/>
    </row>
    <row r="726" spans="1:14" ht="13.5" thickBot="1" x14ac:dyDescent="0.25"/>
    <row r="727" spans="1:14" x14ac:dyDescent="0.2">
      <c r="A727" s="20"/>
      <c r="B727" s="21"/>
      <c r="C727" s="21"/>
      <c r="D727" s="21"/>
      <c r="E727" s="22"/>
      <c r="F727" s="22"/>
      <c r="G727" s="22"/>
      <c r="H727" s="22"/>
      <c r="I727" s="22"/>
      <c r="J727" s="22"/>
      <c r="K727" s="22"/>
      <c r="L727" s="22"/>
      <c r="M727" s="22"/>
      <c r="N727" s="23"/>
    </row>
    <row r="728" spans="1:14" ht="15" x14ac:dyDescent="0.2">
      <c r="A728" s="24"/>
      <c r="B728" s="413" t="s">
        <v>170</v>
      </c>
      <c r="C728" s="414"/>
      <c r="D728" s="414"/>
      <c r="E728" s="414"/>
      <c r="F728" s="414"/>
      <c r="G728" s="414"/>
      <c r="H728" s="414"/>
      <c r="I728" s="414"/>
      <c r="J728" s="414"/>
      <c r="K728" s="414"/>
      <c r="L728" s="414"/>
      <c r="M728" s="415"/>
      <c r="N728" s="25" t="s">
        <v>96</v>
      </c>
    </row>
    <row r="729" spans="1:14" x14ac:dyDescent="0.2">
      <c r="A729" s="24"/>
      <c r="B729" s="26" t="s">
        <v>428</v>
      </c>
      <c r="C729" s="15" t="s">
        <v>171</v>
      </c>
      <c r="N729" s="27"/>
    </row>
    <row r="730" spans="1:14" x14ac:dyDescent="0.2">
      <c r="A730" s="24"/>
      <c r="B730" s="26" t="s">
        <v>429</v>
      </c>
      <c r="C730" s="15" t="s">
        <v>172</v>
      </c>
      <c r="N730" s="27"/>
    </row>
    <row r="731" spans="1:14" x14ac:dyDescent="0.2">
      <c r="A731" s="24"/>
      <c r="B731" s="26" t="s">
        <v>427</v>
      </c>
      <c r="C731" s="416" t="s">
        <v>1225</v>
      </c>
      <c r="D731" s="416"/>
      <c r="E731" s="416"/>
      <c r="F731" s="416"/>
      <c r="G731" s="416"/>
      <c r="H731" s="416"/>
      <c r="I731" s="416"/>
      <c r="J731" s="416"/>
      <c r="K731" s="416"/>
      <c r="L731" s="416"/>
      <c r="M731" s="416"/>
      <c r="N731" s="417"/>
    </row>
    <row r="732" spans="1:14" x14ac:dyDescent="0.2">
      <c r="A732" s="24"/>
      <c r="B732" s="26"/>
      <c r="C732" s="416"/>
      <c r="D732" s="416"/>
      <c r="E732" s="416"/>
      <c r="F732" s="416"/>
      <c r="G732" s="416"/>
      <c r="H732" s="416"/>
      <c r="I732" s="416"/>
      <c r="J732" s="416"/>
      <c r="K732" s="416"/>
      <c r="L732" s="416"/>
      <c r="M732" s="416"/>
      <c r="N732" s="417"/>
    </row>
    <row r="733" spans="1:14" x14ac:dyDescent="0.2">
      <c r="A733" s="24"/>
      <c r="B733" s="26"/>
      <c r="C733" s="416"/>
      <c r="D733" s="416"/>
      <c r="E733" s="416"/>
      <c r="F733" s="416"/>
      <c r="G733" s="416"/>
      <c r="H733" s="416"/>
      <c r="I733" s="416"/>
      <c r="J733" s="416"/>
      <c r="K733" s="416"/>
      <c r="L733" s="416"/>
      <c r="M733" s="416"/>
      <c r="N733" s="417"/>
    </row>
    <row r="734" spans="1:14" x14ac:dyDescent="0.2">
      <c r="A734" s="24"/>
      <c r="C734" s="416"/>
      <c r="D734" s="416"/>
      <c r="E734" s="416"/>
      <c r="F734" s="416"/>
      <c r="G734" s="416"/>
      <c r="H734" s="416"/>
      <c r="I734" s="416"/>
      <c r="J734" s="416"/>
      <c r="K734" s="416"/>
      <c r="L734" s="416"/>
      <c r="M734" s="416"/>
      <c r="N734" s="417"/>
    </row>
    <row r="735" spans="1:14" x14ac:dyDescent="0.2">
      <c r="A735" s="24"/>
      <c r="B735" s="26" t="s">
        <v>426</v>
      </c>
      <c r="J735" s="15"/>
      <c r="N735" s="27"/>
    </row>
    <row r="736" spans="1:14" ht="13.5" thickBot="1" x14ac:dyDescent="0.25">
      <c r="A736" s="28"/>
      <c r="B736" s="26" t="s">
        <v>430</v>
      </c>
      <c r="C736" s="29" t="s">
        <v>1499</v>
      </c>
      <c r="D736" s="29"/>
      <c r="E736" s="30"/>
      <c r="F736" s="30"/>
      <c r="G736" s="30"/>
      <c r="H736" s="30"/>
      <c r="I736" s="30"/>
      <c r="J736" s="30"/>
      <c r="K736" s="30"/>
      <c r="L736" s="30"/>
      <c r="M736" s="30"/>
      <c r="N736" s="31"/>
    </row>
    <row r="737" spans="1:14" x14ac:dyDescent="0.2">
      <c r="A737" s="20"/>
      <c r="B737" s="21" t="s">
        <v>263</v>
      </c>
      <c r="C737" s="21"/>
      <c r="D737" s="21"/>
      <c r="E737" s="22"/>
      <c r="F737" s="22"/>
      <c r="G737" s="22"/>
      <c r="H737" s="22"/>
      <c r="I737" s="22"/>
      <c r="J737" s="32" t="s">
        <v>753</v>
      </c>
      <c r="K737" s="33" t="s">
        <v>513</v>
      </c>
      <c r="L737" s="33"/>
      <c r="M737" s="33"/>
      <c r="N737" s="33"/>
    </row>
    <row r="738" spans="1:14" ht="13.5" thickBot="1" x14ac:dyDescent="0.25">
      <c r="A738" s="28"/>
      <c r="B738" s="29"/>
      <c r="C738" s="29"/>
      <c r="D738" s="29"/>
      <c r="E738" s="30"/>
      <c r="F738" s="30"/>
      <c r="G738" s="30"/>
      <c r="H738" s="30"/>
      <c r="I738" s="30"/>
      <c r="J738" s="35" t="s">
        <v>514</v>
      </c>
      <c r="K738" s="36" t="s">
        <v>612</v>
      </c>
      <c r="L738" s="36"/>
      <c r="M738" s="36"/>
      <c r="N738" s="36"/>
    </row>
    <row r="739" spans="1:14" x14ac:dyDescent="0.2">
      <c r="A739" s="20"/>
      <c r="B739" s="412" t="s">
        <v>67</v>
      </c>
      <c r="C739" s="412"/>
      <c r="D739" s="412"/>
      <c r="E739" s="22"/>
      <c r="F739" s="22" t="s">
        <v>1180</v>
      </c>
      <c r="G739" s="22" t="s">
        <v>68</v>
      </c>
      <c r="H739" s="22" t="s">
        <v>702</v>
      </c>
      <c r="I739" s="22"/>
      <c r="J739" s="66">
        <f>69.6/O1*O2</f>
        <v>142.0408163265306</v>
      </c>
      <c r="K739" s="66">
        <f>88.5/O1*O2</f>
        <v>180.61224489795919</v>
      </c>
      <c r="L739" s="66"/>
      <c r="M739" s="40"/>
      <c r="N739" s="38"/>
    </row>
    <row r="740" spans="1:14" x14ac:dyDescent="0.2">
      <c r="A740" s="24"/>
      <c r="B740" s="411" t="s">
        <v>67</v>
      </c>
      <c r="C740" s="411"/>
      <c r="D740" s="411"/>
      <c r="F740" s="16" t="s">
        <v>1181</v>
      </c>
      <c r="G740" s="16" t="s">
        <v>68</v>
      </c>
      <c r="H740" s="16" t="s">
        <v>702</v>
      </c>
      <c r="J740" s="66">
        <f>38.5/O1*O2</f>
        <v>78.571428571428569</v>
      </c>
      <c r="K740" s="66">
        <f>48.7/O1*O2</f>
        <v>99.387755102040828</v>
      </c>
      <c r="L740" s="66"/>
      <c r="M740" s="40"/>
      <c r="N740" s="40"/>
    </row>
    <row r="741" spans="1:14" x14ac:dyDescent="0.2">
      <c r="A741" s="24"/>
      <c r="B741" s="411" t="s">
        <v>67</v>
      </c>
      <c r="C741" s="411"/>
      <c r="D741" s="411"/>
      <c r="F741" s="16" t="s">
        <v>1182</v>
      </c>
      <c r="G741" s="16" t="s">
        <v>68</v>
      </c>
      <c r="H741" s="16" t="s">
        <v>702</v>
      </c>
      <c r="J741" s="66">
        <f>31.5/O1*O2</f>
        <v>64.285714285714292</v>
      </c>
      <c r="K741" s="66">
        <f>42.5/O1*O2</f>
        <v>86.734693877551024</v>
      </c>
      <c r="L741" s="66"/>
      <c r="M741" s="40"/>
      <c r="N741" s="40"/>
    </row>
    <row r="742" spans="1:14" ht="13.5" thickBot="1" x14ac:dyDescent="0.25">
      <c r="A742" s="28"/>
      <c r="B742" s="418" t="s">
        <v>902</v>
      </c>
      <c r="C742" s="418"/>
      <c r="D742" s="418"/>
      <c r="E742" s="30"/>
      <c r="F742" s="30"/>
      <c r="G742" s="30"/>
      <c r="H742" s="30" t="s">
        <v>702</v>
      </c>
      <c r="I742" s="30"/>
      <c r="J742" s="67">
        <f>14/O1*O2</f>
        <v>28.571428571428573</v>
      </c>
      <c r="K742" s="67">
        <f>14/O1*O2</f>
        <v>28.571428571428573</v>
      </c>
      <c r="L742" s="67"/>
      <c r="M742" s="42"/>
      <c r="N742" s="42"/>
    </row>
    <row r="743" spans="1:14" ht="13.5" thickBot="1" x14ac:dyDescent="0.25">
      <c r="J743" s="68"/>
      <c r="K743" s="68"/>
      <c r="L743" s="68"/>
      <c r="M743" s="47"/>
      <c r="N743" s="47"/>
    </row>
    <row r="744" spans="1:14" x14ac:dyDescent="0.2">
      <c r="A744" s="20"/>
      <c r="B744" s="21"/>
      <c r="C744" s="21"/>
      <c r="D744" s="21"/>
      <c r="E744" s="22"/>
      <c r="F744" s="22"/>
      <c r="G744" s="22"/>
      <c r="H744" s="22"/>
      <c r="I744" s="22"/>
      <c r="J744" s="22"/>
      <c r="K744" s="22"/>
      <c r="L744" s="22"/>
      <c r="M744" s="22"/>
      <c r="N744" s="23"/>
    </row>
    <row r="745" spans="1:14" ht="15" x14ac:dyDescent="0.2">
      <c r="A745" s="24"/>
      <c r="B745" s="413" t="s">
        <v>453</v>
      </c>
      <c r="C745" s="414"/>
      <c r="D745" s="414"/>
      <c r="E745" s="414"/>
      <c r="F745" s="414"/>
      <c r="G745" s="414"/>
      <c r="H745" s="414"/>
      <c r="I745" s="414"/>
      <c r="J745" s="414"/>
      <c r="K745" s="414"/>
      <c r="L745" s="414"/>
      <c r="M745" s="415"/>
      <c r="N745" s="25" t="s">
        <v>905</v>
      </c>
    </row>
    <row r="746" spans="1:14" x14ac:dyDescent="0.2">
      <c r="A746" s="24"/>
      <c r="B746" s="26" t="s">
        <v>428</v>
      </c>
      <c r="C746" s="15" t="s">
        <v>454</v>
      </c>
      <c r="N746" s="27"/>
    </row>
    <row r="747" spans="1:14" x14ac:dyDescent="0.2">
      <c r="A747" s="24"/>
      <c r="B747" s="26" t="s">
        <v>429</v>
      </c>
      <c r="C747" s="15" t="s">
        <v>455</v>
      </c>
      <c r="N747" s="27"/>
    </row>
    <row r="748" spans="1:14" x14ac:dyDescent="0.2">
      <c r="A748" s="24"/>
      <c r="B748" s="26" t="s">
        <v>427</v>
      </c>
      <c r="C748" s="416" t="s">
        <v>1541</v>
      </c>
      <c r="D748" s="416"/>
      <c r="E748" s="416"/>
      <c r="F748" s="416"/>
      <c r="G748" s="416"/>
      <c r="H748" s="416"/>
      <c r="I748" s="416"/>
      <c r="J748" s="416"/>
      <c r="K748" s="416"/>
      <c r="L748" s="416"/>
      <c r="M748" s="416"/>
      <c r="N748" s="417"/>
    </row>
    <row r="749" spans="1:14" x14ac:dyDescent="0.2">
      <c r="A749" s="24"/>
      <c r="C749" s="416"/>
      <c r="D749" s="416"/>
      <c r="E749" s="416"/>
      <c r="F749" s="416"/>
      <c r="G749" s="416"/>
      <c r="H749" s="416"/>
      <c r="I749" s="416"/>
      <c r="J749" s="416"/>
      <c r="K749" s="416"/>
      <c r="L749" s="416"/>
      <c r="M749" s="416"/>
      <c r="N749" s="417"/>
    </row>
    <row r="750" spans="1:14" x14ac:dyDescent="0.2">
      <c r="A750" s="24"/>
      <c r="C750" s="419"/>
      <c r="D750" s="419"/>
      <c r="E750" s="419"/>
      <c r="F750" s="419"/>
      <c r="G750" s="419"/>
      <c r="H750" s="419"/>
      <c r="I750" s="419"/>
      <c r="J750" s="419"/>
      <c r="K750" s="419"/>
      <c r="L750" s="419"/>
      <c r="M750" s="419"/>
      <c r="N750" s="420"/>
    </row>
    <row r="751" spans="1:14" x14ac:dyDescent="0.2">
      <c r="A751" s="24"/>
      <c r="B751" s="26" t="s">
        <v>426</v>
      </c>
      <c r="C751" s="15" t="s">
        <v>1353</v>
      </c>
      <c r="N751" s="27"/>
    </row>
    <row r="752" spans="1:14" ht="13.5" thickBot="1" x14ac:dyDescent="0.25">
      <c r="A752" s="28"/>
      <c r="B752" s="43" t="s">
        <v>430</v>
      </c>
      <c r="C752" s="29"/>
      <c r="D752" s="29"/>
      <c r="E752" s="30"/>
      <c r="F752" s="30"/>
      <c r="G752" s="30"/>
      <c r="H752" s="30"/>
      <c r="I752" s="30"/>
      <c r="J752" s="30"/>
      <c r="K752" s="30"/>
      <c r="L752" s="30"/>
      <c r="M752" s="30"/>
      <c r="N752" s="31"/>
    </row>
    <row r="753" spans="1:14" x14ac:dyDescent="0.2">
      <c r="A753" s="20"/>
      <c r="B753" s="21" t="s">
        <v>263</v>
      </c>
      <c r="C753" s="21"/>
      <c r="D753" s="21"/>
      <c r="E753" s="22"/>
      <c r="F753" s="22"/>
      <c r="G753" s="22"/>
      <c r="H753" s="22"/>
      <c r="I753" s="22"/>
      <c r="J753" s="33" t="s">
        <v>907</v>
      </c>
      <c r="K753" s="32" t="s">
        <v>339</v>
      </c>
      <c r="L753" s="33" t="s">
        <v>610</v>
      </c>
      <c r="M753" s="33"/>
      <c r="N753" s="33"/>
    </row>
    <row r="754" spans="1:14" ht="13.5" thickBot="1" x14ac:dyDescent="0.25">
      <c r="A754" s="28"/>
      <c r="B754" s="29"/>
      <c r="C754" s="29"/>
      <c r="D754" s="29"/>
      <c r="E754" s="30"/>
      <c r="F754" s="30"/>
      <c r="G754" s="30"/>
      <c r="H754" s="30"/>
      <c r="I754" s="30"/>
      <c r="J754" s="36" t="s">
        <v>512</v>
      </c>
      <c r="K754" s="44" t="s">
        <v>481</v>
      </c>
      <c r="L754" s="36"/>
      <c r="M754" s="36"/>
      <c r="N754" s="36"/>
    </row>
    <row r="755" spans="1:14" x14ac:dyDescent="0.2">
      <c r="A755" s="20"/>
      <c r="B755" s="412" t="s">
        <v>67</v>
      </c>
      <c r="C755" s="412"/>
      <c r="D755" s="412"/>
      <c r="E755" s="22"/>
      <c r="F755" s="22" t="s">
        <v>1180</v>
      </c>
      <c r="G755" s="22" t="s">
        <v>68</v>
      </c>
      <c r="H755" s="22" t="s">
        <v>702</v>
      </c>
      <c r="I755" s="22"/>
      <c r="J755" s="65">
        <f>74/O1*O2</f>
        <v>151.0204081632653</v>
      </c>
      <c r="K755" s="65">
        <f>85/O1*O2</f>
        <v>173.46938775510205</v>
      </c>
      <c r="L755" s="65">
        <f>106/O1*O2</f>
        <v>216.32653061224491</v>
      </c>
      <c r="M755" s="37"/>
      <c r="N755" s="38"/>
    </row>
    <row r="756" spans="1:14" x14ac:dyDescent="0.2">
      <c r="A756" s="24"/>
      <c r="B756" s="411" t="s">
        <v>67</v>
      </c>
      <c r="C756" s="411"/>
      <c r="D756" s="411"/>
      <c r="F756" s="16" t="s">
        <v>1181</v>
      </c>
      <c r="G756" s="16" t="s">
        <v>68</v>
      </c>
      <c r="H756" s="16" t="s">
        <v>702</v>
      </c>
      <c r="J756" s="66">
        <f>41/O1*O2</f>
        <v>83.673469387755105</v>
      </c>
      <c r="K756" s="66">
        <f>46.5/O1*O2</f>
        <v>94.897959183673464</v>
      </c>
      <c r="L756" s="66">
        <f>56.5/O1*O2</f>
        <v>115.30612244897959</v>
      </c>
      <c r="M756" s="39"/>
      <c r="N756" s="40"/>
    </row>
    <row r="757" spans="1:14" x14ac:dyDescent="0.2">
      <c r="A757" s="24"/>
      <c r="B757" s="15" t="s">
        <v>67</v>
      </c>
      <c r="F757" s="16" t="s">
        <v>1182</v>
      </c>
      <c r="G757" s="16" t="s">
        <v>68</v>
      </c>
      <c r="H757" s="16" t="s">
        <v>702</v>
      </c>
      <c r="J757" s="66">
        <f>39.5/O1*O2</f>
        <v>80.612244897959187</v>
      </c>
      <c r="K757" s="66">
        <f>42/O1*O2</f>
        <v>85.714285714285722</v>
      </c>
      <c r="L757" s="66">
        <f>50.5/O1*O2</f>
        <v>103.06122448979592</v>
      </c>
      <c r="M757" s="39"/>
      <c r="N757" s="40"/>
    </row>
    <row r="758" spans="1:14" ht="13.5" thickBot="1" x14ac:dyDescent="0.25">
      <c r="A758" s="28"/>
      <c r="B758" s="418"/>
      <c r="C758" s="418"/>
      <c r="D758" s="418"/>
      <c r="E758" s="30"/>
      <c r="F758" s="30"/>
      <c r="G758" s="30"/>
      <c r="H758" s="30"/>
      <c r="I758" s="30"/>
      <c r="J758" s="67"/>
      <c r="K758" s="67"/>
      <c r="L758" s="67"/>
      <c r="M758" s="41"/>
      <c r="N758" s="42"/>
    </row>
    <row r="760" spans="1:14" x14ac:dyDescent="0.2">
      <c r="J760" s="68"/>
      <c r="K760" s="68"/>
      <c r="L760" s="68"/>
      <c r="M760" s="47"/>
      <c r="N760" s="47"/>
    </row>
    <row r="761" spans="1:14" x14ac:dyDescent="0.2">
      <c r="J761" s="68"/>
      <c r="K761" s="68"/>
      <c r="L761" s="68"/>
      <c r="M761" s="47"/>
      <c r="N761" s="47"/>
    </row>
    <row r="762" spans="1:14" x14ac:dyDescent="0.2">
      <c r="J762" s="68"/>
      <c r="K762" s="68"/>
      <c r="L762" s="68"/>
      <c r="M762" s="47"/>
      <c r="N762" s="47"/>
    </row>
    <row r="763" spans="1:14" x14ac:dyDescent="0.2">
      <c r="J763" s="68"/>
      <c r="K763" s="68"/>
      <c r="L763" s="68"/>
      <c r="M763" s="47"/>
      <c r="N763" s="47"/>
    </row>
    <row r="764" spans="1:14" x14ac:dyDescent="0.2">
      <c r="J764" s="68"/>
      <c r="K764" s="68"/>
      <c r="L764" s="68"/>
      <c r="M764" s="47"/>
      <c r="N764" s="47"/>
    </row>
    <row r="765" spans="1:14" ht="13.5" thickBot="1" x14ac:dyDescent="0.25"/>
    <row r="766" spans="1:14" x14ac:dyDescent="0.2">
      <c r="A766" s="20"/>
      <c r="B766" s="21"/>
      <c r="C766" s="21"/>
      <c r="D766" s="21"/>
      <c r="E766" s="22"/>
      <c r="F766" s="22"/>
      <c r="G766" s="22"/>
      <c r="H766" s="22"/>
      <c r="I766" s="22"/>
      <c r="J766" s="22"/>
      <c r="K766" s="22"/>
      <c r="L766" s="22"/>
      <c r="M766" s="22"/>
      <c r="N766" s="23"/>
    </row>
    <row r="767" spans="1:14" ht="15" x14ac:dyDescent="0.2">
      <c r="A767" s="24"/>
      <c r="B767" s="413" t="s">
        <v>230</v>
      </c>
      <c r="C767" s="414"/>
      <c r="D767" s="414"/>
      <c r="E767" s="414"/>
      <c r="F767" s="414"/>
      <c r="G767" s="414"/>
      <c r="H767" s="414"/>
      <c r="I767" s="414"/>
      <c r="J767" s="414"/>
      <c r="K767" s="414"/>
      <c r="L767" s="414"/>
      <c r="M767" s="415"/>
      <c r="N767" s="25" t="s">
        <v>96</v>
      </c>
    </row>
    <row r="768" spans="1:14" x14ac:dyDescent="0.2">
      <c r="A768" s="24"/>
      <c r="B768" s="26" t="s">
        <v>428</v>
      </c>
      <c r="C768" s="15" t="s">
        <v>231</v>
      </c>
      <c r="N768" s="27"/>
    </row>
    <row r="769" spans="1:14" x14ac:dyDescent="0.2">
      <c r="A769" s="24"/>
      <c r="B769" s="26" t="s">
        <v>429</v>
      </c>
      <c r="C769" s="15" t="s">
        <v>232</v>
      </c>
      <c r="N769" s="27"/>
    </row>
    <row r="770" spans="1:14" x14ac:dyDescent="0.2">
      <c r="A770" s="24"/>
      <c r="B770" s="26" t="s">
        <v>427</v>
      </c>
      <c r="C770" s="416" t="s">
        <v>746</v>
      </c>
      <c r="D770" s="416"/>
      <c r="E770" s="416"/>
      <c r="F770" s="416"/>
      <c r="G770" s="416"/>
      <c r="H770" s="416"/>
      <c r="I770" s="416"/>
      <c r="J770" s="416"/>
      <c r="K770" s="416"/>
      <c r="L770" s="416"/>
      <c r="M770" s="416"/>
      <c r="N770" s="417"/>
    </row>
    <row r="771" spans="1:14" x14ac:dyDescent="0.2">
      <c r="A771" s="24"/>
      <c r="C771" s="416"/>
      <c r="D771" s="416"/>
      <c r="E771" s="416"/>
      <c r="F771" s="416"/>
      <c r="G771" s="416"/>
      <c r="H771" s="416"/>
      <c r="I771" s="416"/>
      <c r="J771" s="416"/>
      <c r="K771" s="416"/>
      <c r="L771" s="416"/>
      <c r="M771" s="416"/>
      <c r="N771" s="417"/>
    </row>
    <row r="772" spans="1:14" x14ac:dyDescent="0.2">
      <c r="A772" s="24"/>
      <c r="C772" s="419"/>
      <c r="D772" s="419"/>
      <c r="E772" s="419"/>
      <c r="F772" s="419"/>
      <c r="G772" s="419"/>
      <c r="H772" s="419"/>
      <c r="I772" s="419"/>
      <c r="J772" s="419"/>
      <c r="K772" s="419"/>
      <c r="L772" s="419"/>
      <c r="M772" s="419"/>
      <c r="N772" s="420"/>
    </row>
    <row r="773" spans="1:14" x14ac:dyDescent="0.2">
      <c r="A773" s="24"/>
      <c r="B773" s="26" t="s">
        <v>426</v>
      </c>
      <c r="J773" s="15"/>
      <c r="N773" s="27"/>
    </row>
    <row r="774" spans="1:14" ht="13.5" thickBot="1" x14ac:dyDescent="0.25">
      <c r="A774" s="28"/>
      <c r="B774" s="26" t="s">
        <v>430</v>
      </c>
      <c r="C774" s="29"/>
      <c r="D774" s="29"/>
      <c r="E774" s="30"/>
      <c r="F774" s="30"/>
      <c r="G774" s="30"/>
      <c r="H774" s="30"/>
      <c r="I774" s="30"/>
      <c r="J774" s="30"/>
      <c r="K774" s="30"/>
      <c r="L774" s="30"/>
      <c r="M774" s="30"/>
      <c r="N774" s="31"/>
    </row>
    <row r="775" spans="1:14" x14ac:dyDescent="0.2">
      <c r="A775" s="20"/>
      <c r="B775" s="21" t="s">
        <v>263</v>
      </c>
      <c r="C775" s="21"/>
      <c r="D775" s="21"/>
      <c r="E775" s="22"/>
      <c r="F775" s="22"/>
      <c r="G775" s="22"/>
      <c r="H775" s="22"/>
      <c r="I775" s="22"/>
      <c r="J775" s="32" t="s">
        <v>907</v>
      </c>
      <c r="K775" s="33" t="s">
        <v>908</v>
      </c>
      <c r="L775" s="33"/>
      <c r="M775" s="33"/>
      <c r="N775" s="33"/>
    </row>
    <row r="776" spans="1:14" ht="13.5" thickBot="1" x14ac:dyDescent="0.25">
      <c r="A776" s="28"/>
      <c r="B776" s="29" t="s">
        <v>263</v>
      </c>
      <c r="C776" s="29"/>
      <c r="D776" s="29"/>
      <c r="E776" s="30"/>
      <c r="F776" s="30"/>
      <c r="G776" s="30"/>
      <c r="H776" s="30"/>
      <c r="I776" s="30"/>
      <c r="J776" s="35" t="s">
        <v>514</v>
      </c>
      <c r="K776" s="36" t="s">
        <v>612</v>
      </c>
      <c r="L776" s="36"/>
      <c r="M776" s="36"/>
      <c r="N776" s="36"/>
    </row>
    <row r="777" spans="1:14" x14ac:dyDescent="0.2">
      <c r="A777" s="20"/>
      <c r="B777" s="412" t="s">
        <v>67</v>
      </c>
      <c r="C777" s="412"/>
      <c r="D777" s="412"/>
      <c r="E777" s="22"/>
      <c r="F777" s="22" t="s">
        <v>1180</v>
      </c>
      <c r="G777" s="22" t="s">
        <v>68</v>
      </c>
      <c r="H777" s="22" t="s">
        <v>702</v>
      </c>
      <c r="I777" s="22"/>
      <c r="J777" s="66">
        <f>73/O1*O2</f>
        <v>148.9795918367347</v>
      </c>
      <c r="K777" s="66">
        <f>99/O1*O2</f>
        <v>202.0408163265306</v>
      </c>
      <c r="L777" s="40"/>
      <c r="M777" s="40"/>
      <c r="N777" s="38"/>
    </row>
    <row r="778" spans="1:14" x14ac:dyDescent="0.2">
      <c r="A778" s="24"/>
      <c r="B778" s="411" t="s">
        <v>67</v>
      </c>
      <c r="C778" s="411"/>
      <c r="D778" s="411"/>
      <c r="F778" s="16" t="s">
        <v>1181</v>
      </c>
      <c r="G778" s="16" t="s">
        <v>68</v>
      </c>
      <c r="H778" s="16" t="s">
        <v>702</v>
      </c>
      <c r="J778" s="66">
        <f>39/O1*O2</f>
        <v>79.591836734693885</v>
      </c>
      <c r="K778" s="66">
        <f>53/O1*O2</f>
        <v>108.16326530612245</v>
      </c>
      <c r="L778" s="40"/>
      <c r="M778" s="40"/>
      <c r="N778" s="40"/>
    </row>
    <row r="779" spans="1:14" x14ac:dyDescent="0.2">
      <c r="A779" s="24"/>
      <c r="B779" s="411" t="s">
        <v>67</v>
      </c>
      <c r="C779" s="411"/>
      <c r="D779" s="411"/>
      <c r="F779" s="16" t="s">
        <v>1182</v>
      </c>
      <c r="G779" s="16" t="s">
        <v>68</v>
      </c>
      <c r="H779" s="16" t="s">
        <v>702</v>
      </c>
      <c r="J779" s="66">
        <f>36/O1*O2</f>
        <v>73.469387755102048</v>
      </c>
      <c r="K779" s="66">
        <f>44/O1*O2</f>
        <v>89.795918367346943</v>
      </c>
      <c r="L779" s="40"/>
      <c r="M779" s="40"/>
      <c r="N779" s="40"/>
    </row>
    <row r="780" spans="1:14" ht="13.5" thickBot="1" x14ac:dyDescent="0.25">
      <c r="A780" s="28"/>
      <c r="B780" s="418" t="s">
        <v>902</v>
      </c>
      <c r="C780" s="418"/>
      <c r="D780" s="418"/>
      <c r="E780" s="30"/>
      <c r="F780" s="30"/>
      <c r="G780" s="30"/>
      <c r="H780" s="30" t="s">
        <v>702</v>
      </c>
      <c r="I780" s="30"/>
      <c r="J780" s="67">
        <f>20/O1*O2</f>
        <v>40.816326530612244</v>
      </c>
      <c r="K780" s="67">
        <f>20/O1*O2</f>
        <v>40.816326530612244</v>
      </c>
      <c r="L780" s="42"/>
      <c r="M780" s="42"/>
      <c r="N780" s="42"/>
    </row>
    <row r="781" spans="1:14" ht="13.5" thickBot="1" x14ac:dyDescent="0.25"/>
    <row r="782" spans="1:14" x14ac:dyDescent="0.2">
      <c r="A782" s="20"/>
      <c r="B782" s="21"/>
      <c r="C782" s="21"/>
      <c r="D782" s="21"/>
      <c r="E782" s="22"/>
      <c r="F782" s="22"/>
      <c r="G782" s="22"/>
      <c r="H782" s="22"/>
      <c r="I782" s="22"/>
      <c r="J782" s="22"/>
      <c r="K782" s="22"/>
      <c r="L782" s="22"/>
      <c r="M782" s="22"/>
      <c r="N782" s="23"/>
    </row>
    <row r="783" spans="1:14" ht="15" x14ac:dyDescent="0.2">
      <c r="A783" s="24"/>
      <c r="B783" s="413" t="s">
        <v>440</v>
      </c>
      <c r="C783" s="414"/>
      <c r="D783" s="414"/>
      <c r="E783" s="414"/>
      <c r="F783" s="414"/>
      <c r="G783" s="414"/>
      <c r="H783" s="414"/>
      <c r="I783" s="414"/>
      <c r="J783" s="414"/>
      <c r="K783" s="414"/>
      <c r="L783" s="414"/>
      <c r="M783" s="415"/>
      <c r="N783" s="25" t="s">
        <v>664</v>
      </c>
    </row>
    <row r="784" spans="1:14" x14ac:dyDescent="0.2">
      <c r="A784" s="24"/>
      <c r="B784" s="26" t="s">
        <v>428</v>
      </c>
      <c r="C784" s="15" t="s">
        <v>737</v>
      </c>
      <c r="N784" s="27"/>
    </row>
    <row r="785" spans="1:14" x14ac:dyDescent="0.2">
      <c r="A785" s="24"/>
      <c r="B785" s="26" t="s">
        <v>429</v>
      </c>
      <c r="C785" s="15" t="s">
        <v>652</v>
      </c>
      <c r="N785" s="27"/>
    </row>
    <row r="786" spans="1:14" x14ac:dyDescent="0.2">
      <c r="A786" s="24"/>
      <c r="B786" s="26" t="s">
        <v>427</v>
      </c>
      <c r="C786" s="409" t="s">
        <v>747</v>
      </c>
      <c r="D786" s="409"/>
      <c r="E786" s="409"/>
      <c r="F786" s="409"/>
      <c r="G786" s="409"/>
      <c r="H786" s="409"/>
      <c r="I786" s="409"/>
      <c r="J786" s="409"/>
      <c r="K786" s="409"/>
      <c r="L786" s="409"/>
      <c r="M786" s="409"/>
      <c r="N786" s="410"/>
    </row>
    <row r="787" spans="1:14" x14ac:dyDescent="0.2">
      <c r="A787" s="24"/>
      <c r="C787" s="409"/>
      <c r="D787" s="409"/>
      <c r="E787" s="409"/>
      <c r="F787" s="409"/>
      <c r="G787" s="409"/>
      <c r="H787" s="409"/>
      <c r="I787" s="409"/>
      <c r="J787" s="409"/>
      <c r="K787" s="409"/>
      <c r="L787" s="409"/>
      <c r="M787" s="409"/>
      <c r="N787" s="410"/>
    </row>
    <row r="788" spans="1:14" x14ac:dyDescent="0.2">
      <c r="A788" s="24"/>
      <c r="B788" s="26" t="s">
        <v>426</v>
      </c>
      <c r="J788" s="15"/>
      <c r="N788" s="27"/>
    </row>
    <row r="789" spans="1:14" ht="13.5" thickBot="1" x14ac:dyDescent="0.25">
      <c r="A789" s="28"/>
      <c r="B789" s="43" t="s">
        <v>430</v>
      </c>
      <c r="C789" s="29" t="s">
        <v>589</v>
      </c>
      <c r="D789" s="29"/>
      <c r="E789" s="30"/>
      <c r="F789" s="30"/>
      <c r="G789" s="30"/>
      <c r="H789" s="30"/>
      <c r="I789" s="30"/>
      <c r="J789" s="29"/>
      <c r="K789" s="30"/>
      <c r="L789" s="30"/>
      <c r="M789" s="30"/>
      <c r="N789" s="31"/>
    </row>
    <row r="790" spans="1:14" ht="13.5" thickBot="1" x14ac:dyDescent="0.25">
      <c r="A790" s="24"/>
      <c r="B790" s="49" t="s">
        <v>263</v>
      </c>
      <c r="J790" s="36" t="s">
        <v>907</v>
      </c>
      <c r="K790" s="36" t="s">
        <v>611</v>
      </c>
      <c r="L790" s="36"/>
      <c r="M790" s="36"/>
      <c r="N790" s="36"/>
    </row>
    <row r="791" spans="1:14" x14ac:dyDescent="0.2">
      <c r="A791" s="20"/>
      <c r="B791" s="412" t="s">
        <v>67</v>
      </c>
      <c r="C791" s="412"/>
      <c r="D791" s="412"/>
      <c r="E791" s="22"/>
      <c r="F791" s="22" t="s">
        <v>1180</v>
      </c>
      <c r="G791" s="22" t="s">
        <v>68</v>
      </c>
      <c r="H791" s="22" t="s">
        <v>702</v>
      </c>
      <c r="I791" s="22"/>
      <c r="J791" s="66">
        <f>57/O1*O2</f>
        <v>116.32653061224489</v>
      </c>
      <c r="K791" s="66">
        <f>76/O1*O2</f>
        <v>155.10204081632654</v>
      </c>
      <c r="L791" s="40"/>
      <c r="M791" s="38"/>
      <c r="N791" s="38"/>
    </row>
    <row r="792" spans="1:14" x14ac:dyDescent="0.2">
      <c r="A792" s="24"/>
      <c r="B792" s="411" t="s">
        <v>67</v>
      </c>
      <c r="C792" s="411"/>
      <c r="D792" s="411"/>
      <c r="F792" s="16" t="s">
        <v>1181</v>
      </c>
      <c r="G792" s="16" t="s">
        <v>68</v>
      </c>
      <c r="H792" s="16" t="s">
        <v>702</v>
      </c>
      <c r="J792" s="66">
        <f>33/O1*O2</f>
        <v>67.34693877551021</v>
      </c>
      <c r="K792" s="66">
        <f>44.5/O1*O2</f>
        <v>90.816326530612244</v>
      </c>
      <c r="L792" s="40"/>
      <c r="M792" s="40"/>
      <c r="N792" s="40"/>
    </row>
    <row r="793" spans="1:14" x14ac:dyDescent="0.2">
      <c r="A793" s="24"/>
      <c r="B793" s="411" t="s">
        <v>67</v>
      </c>
      <c r="C793" s="411"/>
      <c r="D793" s="411"/>
      <c r="F793" s="16" t="s">
        <v>1182</v>
      </c>
      <c r="G793" s="16" t="s">
        <v>68</v>
      </c>
      <c r="H793" s="16" t="s">
        <v>702</v>
      </c>
      <c r="J793" s="66">
        <f>26.6/O1*O2</f>
        <v>54.285714285714292</v>
      </c>
      <c r="K793" s="66">
        <f>36.6/O1*O2</f>
        <v>74.693877551020407</v>
      </c>
      <c r="L793" s="40"/>
      <c r="M793" s="40"/>
      <c r="N793" s="40"/>
    </row>
    <row r="794" spans="1:14" ht="13.5" thickBot="1" x14ac:dyDescent="0.25">
      <c r="A794" s="28"/>
      <c r="B794" s="418"/>
      <c r="C794" s="418"/>
      <c r="D794" s="418"/>
      <c r="E794" s="30"/>
      <c r="F794" s="30"/>
      <c r="G794" s="30"/>
      <c r="H794" s="30"/>
      <c r="I794" s="30"/>
      <c r="J794" s="67"/>
      <c r="K794" s="67"/>
      <c r="L794" s="42"/>
      <c r="M794" s="42"/>
      <c r="N794" s="42"/>
    </row>
    <row r="795" spans="1:14" ht="13.5" thickBot="1" x14ac:dyDescent="0.25"/>
    <row r="796" spans="1:14" x14ac:dyDescent="0.2">
      <c r="A796" s="20"/>
      <c r="B796" s="21"/>
      <c r="C796" s="21"/>
      <c r="D796" s="21"/>
      <c r="E796" s="22"/>
      <c r="F796" s="22"/>
      <c r="G796" s="22"/>
      <c r="H796" s="22"/>
      <c r="I796" s="22"/>
      <c r="J796" s="22"/>
      <c r="K796" s="22"/>
      <c r="L796" s="22"/>
      <c r="M796" s="22"/>
      <c r="N796" s="23"/>
    </row>
    <row r="797" spans="1:14" ht="15" x14ac:dyDescent="0.2">
      <c r="A797" s="24"/>
      <c r="B797" s="413" t="s">
        <v>1460</v>
      </c>
      <c r="C797" s="414"/>
      <c r="D797" s="414"/>
      <c r="E797" s="414"/>
      <c r="F797" s="414"/>
      <c r="G797" s="414"/>
      <c r="H797" s="414"/>
      <c r="I797" s="414"/>
      <c r="J797" s="414"/>
      <c r="K797" s="414"/>
      <c r="L797" s="414"/>
      <c r="M797" s="415"/>
      <c r="N797" s="25" t="s">
        <v>664</v>
      </c>
    </row>
    <row r="798" spans="1:14" x14ac:dyDescent="0.2">
      <c r="A798" s="24"/>
      <c r="B798" s="26" t="s">
        <v>428</v>
      </c>
      <c r="C798" s="15" t="s">
        <v>1461</v>
      </c>
      <c r="N798" s="27"/>
    </row>
    <row r="799" spans="1:14" x14ac:dyDescent="0.2">
      <c r="A799" s="24"/>
      <c r="B799" s="26" t="s">
        <v>429</v>
      </c>
      <c r="C799" s="15" t="s">
        <v>1176</v>
      </c>
      <c r="N799" s="27"/>
    </row>
    <row r="800" spans="1:14" x14ac:dyDescent="0.2">
      <c r="A800" s="24"/>
      <c r="B800" s="26" t="s">
        <v>427</v>
      </c>
      <c r="C800" s="409" t="s">
        <v>1226</v>
      </c>
      <c r="D800" s="409"/>
      <c r="E800" s="409"/>
      <c r="F800" s="409"/>
      <c r="G800" s="409"/>
      <c r="H800" s="409"/>
      <c r="I800" s="409"/>
      <c r="J800" s="409"/>
      <c r="K800" s="409"/>
      <c r="L800" s="409"/>
      <c r="M800" s="409"/>
      <c r="N800" s="410"/>
    </row>
    <row r="801" spans="1:14" x14ac:dyDescent="0.2">
      <c r="A801" s="24"/>
      <c r="B801" s="26"/>
      <c r="C801" s="409"/>
      <c r="D801" s="409"/>
      <c r="E801" s="409"/>
      <c r="F801" s="409"/>
      <c r="G801" s="409"/>
      <c r="H801" s="409"/>
      <c r="I801" s="409"/>
      <c r="J801" s="409"/>
      <c r="K801" s="409"/>
      <c r="L801" s="409"/>
      <c r="M801" s="409"/>
      <c r="N801" s="410"/>
    </row>
    <row r="802" spans="1:14" x14ac:dyDescent="0.2">
      <c r="A802" s="24"/>
      <c r="B802" s="26"/>
      <c r="C802" s="409"/>
      <c r="D802" s="409"/>
      <c r="E802" s="409"/>
      <c r="F802" s="409"/>
      <c r="G802" s="409"/>
      <c r="H802" s="409"/>
      <c r="I802" s="409"/>
      <c r="J802" s="409"/>
      <c r="K802" s="409"/>
      <c r="L802" s="409"/>
      <c r="M802" s="409"/>
      <c r="N802" s="410"/>
    </row>
    <row r="803" spans="1:14" x14ac:dyDescent="0.2">
      <c r="A803" s="24"/>
      <c r="B803" s="26"/>
      <c r="C803" s="409"/>
      <c r="D803" s="409"/>
      <c r="E803" s="409"/>
      <c r="F803" s="409"/>
      <c r="G803" s="409"/>
      <c r="H803" s="409"/>
      <c r="I803" s="409"/>
      <c r="J803" s="409"/>
      <c r="K803" s="409"/>
      <c r="L803" s="409"/>
      <c r="M803" s="409"/>
      <c r="N803" s="410"/>
    </row>
    <row r="804" spans="1:14" x14ac:dyDescent="0.2">
      <c r="A804" s="24"/>
      <c r="B804" s="26"/>
      <c r="C804" s="409"/>
      <c r="D804" s="409"/>
      <c r="E804" s="409"/>
      <c r="F804" s="409"/>
      <c r="G804" s="409"/>
      <c r="H804" s="409"/>
      <c r="I804" s="409"/>
      <c r="J804" s="409"/>
      <c r="K804" s="409"/>
      <c r="L804" s="409"/>
      <c r="M804" s="409"/>
      <c r="N804" s="410"/>
    </row>
    <row r="805" spans="1:14" x14ac:dyDescent="0.2">
      <c r="A805" s="24"/>
      <c r="C805" s="409"/>
      <c r="D805" s="409"/>
      <c r="E805" s="409"/>
      <c r="F805" s="409"/>
      <c r="G805" s="409"/>
      <c r="H805" s="409"/>
      <c r="I805" s="409"/>
      <c r="J805" s="409"/>
      <c r="K805" s="409"/>
      <c r="L805" s="409"/>
      <c r="M805" s="409"/>
      <c r="N805" s="410"/>
    </row>
    <row r="806" spans="1:14" x14ac:dyDescent="0.2">
      <c r="A806" s="24"/>
      <c r="B806" s="26" t="s">
        <v>426</v>
      </c>
      <c r="J806" s="15"/>
      <c r="N806" s="27"/>
    </row>
    <row r="807" spans="1:14" ht="13.5" thickBot="1" x14ac:dyDescent="0.25">
      <c r="A807" s="28"/>
      <c r="B807" s="43" t="s">
        <v>430</v>
      </c>
      <c r="C807" s="29"/>
      <c r="D807" s="29"/>
      <c r="E807" s="30"/>
      <c r="F807" s="30"/>
      <c r="G807" s="30"/>
      <c r="H807" s="30"/>
      <c r="I807" s="30"/>
      <c r="J807" s="29"/>
      <c r="K807" s="30"/>
      <c r="L807" s="30"/>
      <c r="M807" s="30"/>
      <c r="N807" s="31"/>
    </row>
    <row r="808" spans="1:14" ht="13.5" thickBot="1" x14ac:dyDescent="0.25">
      <c r="A808" s="24"/>
      <c r="B808" s="49" t="s">
        <v>263</v>
      </c>
      <c r="J808" s="36" t="s">
        <v>611</v>
      </c>
      <c r="K808" s="36"/>
      <c r="L808" s="36"/>
      <c r="M808" s="36"/>
      <c r="N808" s="36"/>
    </row>
    <row r="809" spans="1:14" x14ac:dyDescent="0.2">
      <c r="A809" s="20"/>
      <c r="B809" s="412" t="s">
        <v>67</v>
      </c>
      <c r="C809" s="412"/>
      <c r="D809" s="412"/>
      <c r="E809" s="22"/>
      <c r="F809" s="22" t="s">
        <v>1180</v>
      </c>
      <c r="G809" s="22" t="s">
        <v>68</v>
      </c>
      <c r="H809" s="22" t="s">
        <v>702</v>
      </c>
      <c r="I809" s="22"/>
      <c r="J809" s="66">
        <f>55.9/O1*O2</f>
        <v>114.08163265306122</v>
      </c>
      <c r="K809" s="66"/>
      <c r="L809" s="40"/>
      <c r="M809" s="38"/>
      <c r="N809" s="38"/>
    </row>
    <row r="810" spans="1:14" x14ac:dyDescent="0.2">
      <c r="A810" s="24"/>
      <c r="B810" s="411" t="s">
        <v>67</v>
      </c>
      <c r="C810" s="411"/>
      <c r="D810" s="411"/>
      <c r="F810" s="16" t="s">
        <v>1181</v>
      </c>
      <c r="G810" s="16" t="s">
        <v>68</v>
      </c>
      <c r="H810" s="16" t="s">
        <v>702</v>
      </c>
      <c r="J810" s="66">
        <f>35.9/O1*O2</f>
        <v>73.265306122448976</v>
      </c>
      <c r="K810" s="66"/>
      <c r="L810" s="40"/>
      <c r="M810" s="40"/>
      <c r="N810" s="40"/>
    </row>
    <row r="811" spans="1:14" x14ac:dyDescent="0.2">
      <c r="A811" s="24"/>
      <c r="B811" s="411" t="s">
        <v>67</v>
      </c>
      <c r="C811" s="411"/>
      <c r="D811" s="411"/>
      <c r="F811" s="16" t="s">
        <v>1182</v>
      </c>
      <c r="G811" s="16" t="s">
        <v>68</v>
      </c>
      <c r="H811" s="16" t="s">
        <v>702</v>
      </c>
      <c r="J811" s="66">
        <f>29.5/O1*O2</f>
        <v>60.204081632653065</v>
      </c>
      <c r="K811" s="66"/>
      <c r="L811" s="40"/>
      <c r="M811" s="40"/>
      <c r="N811" s="40"/>
    </row>
    <row r="812" spans="1:14" ht="13.5" thickBot="1" x14ac:dyDescent="0.25">
      <c r="A812" s="28"/>
      <c r="B812" s="418"/>
      <c r="C812" s="418"/>
      <c r="D812" s="418"/>
      <c r="E812" s="30"/>
      <c r="F812" s="30"/>
      <c r="G812" s="30"/>
      <c r="H812" s="30"/>
      <c r="I812" s="30"/>
      <c r="J812" s="67"/>
      <c r="K812" s="67"/>
      <c r="L812" s="42"/>
      <c r="M812" s="42"/>
      <c r="N812" s="42"/>
    </row>
    <row r="815" spans="1:14" ht="13.5" thickBot="1" x14ac:dyDescent="0.25"/>
    <row r="816" spans="1:14" x14ac:dyDescent="0.2">
      <c r="A816" s="20"/>
      <c r="B816" s="21"/>
      <c r="C816" s="21"/>
      <c r="D816" s="21"/>
      <c r="E816" s="22"/>
      <c r="F816" s="22"/>
      <c r="G816" s="22"/>
      <c r="H816" s="22"/>
      <c r="I816" s="22"/>
      <c r="J816" s="22"/>
      <c r="K816" s="22"/>
      <c r="L816" s="22"/>
      <c r="M816" s="22"/>
      <c r="N816" s="23"/>
    </row>
    <row r="817" spans="1:14" ht="15" x14ac:dyDescent="0.2">
      <c r="A817" s="24"/>
      <c r="B817" s="413" t="s">
        <v>859</v>
      </c>
      <c r="C817" s="414"/>
      <c r="D817" s="414"/>
      <c r="E817" s="414"/>
      <c r="F817" s="414"/>
      <c r="G817" s="414"/>
      <c r="H817" s="414"/>
      <c r="I817" s="414"/>
      <c r="J817" s="414"/>
      <c r="K817" s="414"/>
      <c r="L817" s="414"/>
      <c r="M817" s="415"/>
      <c r="N817" s="25" t="s">
        <v>664</v>
      </c>
    </row>
    <row r="818" spans="1:14" x14ac:dyDescent="0.2">
      <c r="A818" s="24"/>
      <c r="B818" s="26" t="s">
        <v>428</v>
      </c>
      <c r="C818" s="15" t="s">
        <v>1089</v>
      </c>
      <c r="N818" s="27"/>
    </row>
    <row r="819" spans="1:14" x14ac:dyDescent="0.2">
      <c r="A819" s="24"/>
      <c r="B819" s="26" t="s">
        <v>429</v>
      </c>
      <c r="C819" s="61" t="s">
        <v>303</v>
      </c>
      <c r="N819" s="27"/>
    </row>
    <row r="820" spans="1:14" x14ac:dyDescent="0.2">
      <c r="A820" s="24"/>
      <c r="B820" s="26" t="s">
        <v>427</v>
      </c>
      <c r="C820" s="409" t="s">
        <v>1227</v>
      </c>
      <c r="D820" s="409"/>
      <c r="E820" s="409"/>
      <c r="F820" s="409"/>
      <c r="G820" s="409"/>
      <c r="H820" s="409"/>
      <c r="I820" s="409"/>
      <c r="J820" s="409"/>
      <c r="K820" s="409"/>
      <c r="L820" s="409"/>
      <c r="M820" s="409"/>
      <c r="N820" s="410"/>
    </row>
    <row r="821" spans="1:14" x14ac:dyDescent="0.2">
      <c r="A821" s="24"/>
      <c r="C821" s="409"/>
      <c r="D821" s="409"/>
      <c r="E821" s="409"/>
      <c r="F821" s="409"/>
      <c r="G821" s="409"/>
      <c r="H821" s="409"/>
      <c r="I821" s="409"/>
      <c r="J821" s="409"/>
      <c r="K821" s="409"/>
      <c r="L821" s="409"/>
      <c r="M821" s="409"/>
      <c r="N821" s="410"/>
    </row>
    <row r="822" spans="1:14" x14ac:dyDescent="0.2">
      <c r="A822" s="24"/>
      <c r="B822" s="26" t="s">
        <v>426</v>
      </c>
      <c r="N822" s="27"/>
    </row>
    <row r="823" spans="1:14" ht="13.5" thickBot="1" x14ac:dyDescent="0.25">
      <c r="A823" s="28"/>
      <c r="B823" s="26" t="s">
        <v>430</v>
      </c>
      <c r="C823" s="29"/>
      <c r="D823" s="29"/>
      <c r="E823" s="30"/>
      <c r="F823" s="30"/>
      <c r="G823" s="30"/>
      <c r="H823" s="30"/>
      <c r="I823" s="30"/>
      <c r="J823" s="30"/>
      <c r="K823" s="30"/>
      <c r="L823" s="30"/>
      <c r="M823" s="30"/>
      <c r="N823" s="31"/>
    </row>
    <row r="824" spans="1:14" ht="13.5" thickBot="1" x14ac:dyDescent="0.25">
      <c r="A824" s="20"/>
      <c r="B824" s="49" t="s">
        <v>263</v>
      </c>
      <c r="C824" s="49"/>
      <c r="D824" s="49"/>
      <c r="E824" s="56"/>
      <c r="F824" s="56"/>
      <c r="G824" s="56"/>
      <c r="H824" s="56"/>
      <c r="I824" s="56"/>
      <c r="J824" s="60" t="s">
        <v>1750</v>
      </c>
      <c r="K824" s="50" t="s">
        <v>1751</v>
      </c>
      <c r="L824" s="50" t="s">
        <v>1752</v>
      </c>
      <c r="M824" s="50"/>
      <c r="N824" s="50"/>
    </row>
    <row r="825" spans="1:14" ht="13.5" thickBot="1" x14ac:dyDescent="0.25">
      <c r="A825" s="20"/>
      <c r="J825" s="58"/>
      <c r="K825" s="55" t="s">
        <v>1856</v>
      </c>
      <c r="L825" s="55"/>
      <c r="M825" s="55"/>
      <c r="N825" s="55"/>
    </row>
    <row r="826" spans="1:14" x14ac:dyDescent="0.2">
      <c r="A826" s="20"/>
      <c r="B826" s="411" t="s">
        <v>67</v>
      </c>
      <c r="C826" s="411"/>
      <c r="D826" s="411"/>
      <c r="F826" s="16" t="s">
        <v>1180</v>
      </c>
      <c r="G826" s="16" t="s">
        <v>68</v>
      </c>
      <c r="H826" s="16" t="s">
        <v>702</v>
      </c>
      <c r="J826" s="66">
        <f>44/O1*O2</f>
        <v>89.795918367346943</v>
      </c>
      <c r="K826" s="66">
        <f>50/O1*O2</f>
        <v>102.04081632653062</v>
      </c>
      <c r="L826" s="40">
        <f>55/O1*O2</f>
        <v>112.24489795918367</v>
      </c>
      <c r="M826" s="40"/>
      <c r="N826" s="40"/>
    </row>
    <row r="827" spans="1:14" x14ac:dyDescent="0.2">
      <c r="A827" s="24"/>
      <c r="B827" s="411" t="s">
        <v>67</v>
      </c>
      <c r="C827" s="411"/>
      <c r="D827" s="411"/>
      <c r="F827" s="16" t="s">
        <v>1181</v>
      </c>
      <c r="G827" s="16" t="s">
        <v>68</v>
      </c>
      <c r="H827" s="16" t="s">
        <v>702</v>
      </c>
      <c r="J827" s="66">
        <f>28.5/O1*O2</f>
        <v>58.163265306122447</v>
      </c>
      <c r="K827" s="66">
        <f>31.5/O1*O2</f>
        <v>64.285714285714292</v>
      </c>
      <c r="L827" s="40">
        <f>35/O1*O2</f>
        <v>71.428571428571431</v>
      </c>
      <c r="M827" s="40"/>
      <c r="N827" s="40"/>
    </row>
    <row r="828" spans="1:14" x14ac:dyDescent="0.2">
      <c r="A828" s="24"/>
      <c r="B828" s="411" t="s">
        <v>67</v>
      </c>
      <c r="C828" s="411"/>
      <c r="D828" s="411"/>
      <c r="F828" s="16" t="s">
        <v>1182</v>
      </c>
      <c r="G828" s="16" t="s">
        <v>68</v>
      </c>
      <c r="H828" s="16" t="s">
        <v>702</v>
      </c>
      <c r="J828" s="66">
        <f>24/O1*O2</f>
        <v>48.979591836734691</v>
      </c>
      <c r="K828" s="66">
        <f>26/O1*O2</f>
        <v>53.061224489795919</v>
      </c>
      <c r="L828" s="40">
        <f>28.5/O1*O2</f>
        <v>58.163265306122447</v>
      </c>
      <c r="M828" s="40"/>
      <c r="N828" s="40"/>
    </row>
    <row r="829" spans="1:14" ht="13.5" thickBot="1" x14ac:dyDescent="0.25">
      <c r="A829" s="28"/>
      <c r="B829" s="418" t="s">
        <v>67</v>
      </c>
      <c r="C829" s="418"/>
      <c r="D829" s="418"/>
      <c r="E829" s="30"/>
      <c r="F829" s="30" t="s">
        <v>1208</v>
      </c>
      <c r="G829" s="30" t="s">
        <v>68</v>
      </c>
      <c r="H829" s="30" t="s">
        <v>702</v>
      </c>
      <c r="I829" s="31"/>
      <c r="J829" s="67">
        <f>22.5/O1*O2</f>
        <v>45.91836734693878</v>
      </c>
      <c r="K829" s="67">
        <f>24.5/O1*O2</f>
        <v>50</v>
      </c>
      <c r="L829" s="42">
        <f>26.5/O1*O2</f>
        <v>54.081632653061227</v>
      </c>
      <c r="M829" s="42"/>
      <c r="N829" s="42"/>
    </row>
    <row r="830" spans="1:14" ht="13.5" thickBot="1" x14ac:dyDescent="0.25"/>
    <row r="831" spans="1:14" x14ac:dyDescent="0.2">
      <c r="A831" s="20"/>
      <c r="B831" s="21"/>
      <c r="C831" s="21"/>
      <c r="D831" s="21"/>
      <c r="E831" s="22"/>
      <c r="F831" s="22"/>
      <c r="G831" s="22"/>
      <c r="H831" s="22"/>
      <c r="I831" s="22"/>
      <c r="J831" s="22"/>
      <c r="K831" s="22"/>
      <c r="L831" s="22"/>
      <c r="M831" s="22"/>
      <c r="N831" s="23"/>
    </row>
    <row r="832" spans="1:14" ht="15" x14ac:dyDescent="0.2">
      <c r="A832" s="24"/>
      <c r="B832" s="413" t="s">
        <v>1088</v>
      </c>
      <c r="C832" s="414"/>
      <c r="D832" s="414"/>
      <c r="E832" s="414"/>
      <c r="F832" s="414"/>
      <c r="G832" s="414"/>
      <c r="H832" s="414"/>
      <c r="I832" s="414"/>
      <c r="J832" s="414"/>
      <c r="K832" s="414"/>
      <c r="L832" s="414"/>
      <c r="M832" s="415"/>
      <c r="N832" s="25" t="s">
        <v>664</v>
      </c>
    </row>
    <row r="833" spans="1:14" x14ac:dyDescent="0.2">
      <c r="A833" s="24"/>
      <c r="B833" s="26" t="s">
        <v>428</v>
      </c>
      <c r="C833" s="15" t="s">
        <v>886</v>
      </c>
      <c r="N833" s="27"/>
    </row>
    <row r="834" spans="1:14" x14ac:dyDescent="0.2">
      <c r="A834" s="24"/>
      <c r="B834" s="26" t="s">
        <v>429</v>
      </c>
      <c r="C834" s="15" t="s">
        <v>887</v>
      </c>
      <c r="N834" s="27"/>
    </row>
    <row r="835" spans="1:14" x14ac:dyDescent="0.2">
      <c r="A835" s="24"/>
      <c r="B835" s="26" t="s">
        <v>427</v>
      </c>
      <c r="C835" s="409" t="s">
        <v>1228</v>
      </c>
      <c r="D835" s="409"/>
      <c r="E835" s="409"/>
      <c r="F835" s="409"/>
      <c r="G835" s="409"/>
      <c r="H835" s="409"/>
      <c r="I835" s="409"/>
      <c r="J835" s="409"/>
      <c r="K835" s="409"/>
      <c r="L835" s="409"/>
      <c r="M835" s="409"/>
      <c r="N835" s="410"/>
    </row>
    <row r="836" spans="1:14" x14ac:dyDescent="0.2">
      <c r="A836" s="24"/>
      <c r="B836" s="26"/>
      <c r="C836" s="409"/>
      <c r="D836" s="409"/>
      <c r="E836" s="409"/>
      <c r="F836" s="409"/>
      <c r="G836" s="409"/>
      <c r="H836" s="409"/>
      <c r="I836" s="409"/>
      <c r="J836" s="409"/>
      <c r="K836" s="409"/>
      <c r="L836" s="409"/>
      <c r="M836" s="409"/>
      <c r="N836" s="410"/>
    </row>
    <row r="837" spans="1:14" x14ac:dyDescent="0.2">
      <c r="A837" s="24"/>
      <c r="C837" s="409"/>
      <c r="D837" s="409"/>
      <c r="E837" s="409"/>
      <c r="F837" s="409"/>
      <c r="G837" s="409"/>
      <c r="H837" s="409"/>
      <c r="I837" s="409"/>
      <c r="J837" s="409"/>
      <c r="K837" s="409"/>
      <c r="L837" s="409"/>
      <c r="M837" s="409"/>
      <c r="N837" s="410"/>
    </row>
    <row r="838" spans="1:14" x14ac:dyDescent="0.2">
      <c r="A838" s="24"/>
      <c r="B838" s="26" t="s">
        <v>426</v>
      </c>
      <c r="N838" s="27"/>
    </row>
    <row r="839" spans="1:14" ht="13.5" thickBot="1" x14ac:dyDescent="0.25">
      <c r="A839" s="28"/>
      <c r="B839" s="26" t="s">
        <v>430</v>
      </c>
      <c r="C839" s="29"/>
      <c r="D839" s="29"/>
      <c r="E839" s="30"/>
      <c r="F839" s="30"/>
      <c r="G839" s="30"/>
      <c r="H839" s="30"/>
      <c r="I839" s="30"/>
      <c r="J839" s="30"/>
      <c r="K839" s="30"/>
      <c r="L839" s="30"/>
      <c r="M839" s="30"/>
      <c r="N839" s="31"/>
    </row>
    <row r="840" spans="1:14" ht="13.5" thickBot="1" x14ac:dyDescent="0.25">
      <c r="A840" s="20"/>
      <c r="B840" s="49" t="s">
        <v>263</v>
      </c>
      <c r="C840" s="49"/>
      <c r="D840" s="49"/>
      <c r="E840" s="56"/>
      <c r="F840" s="56"/>
      <c r="G840" s="56"/>
      <c r="H840" s="56"/>
      <c r="I840" s="56"/>
      <c r="J840" s="60" t="s">
        <v>1750</v>
      </c>
      <c r="K840" s="50" t="s">
        <v>1751</v>
      </c>
      <c r="L840" s="50" t="s">
        <v>1752</v>
      </c>
      <c r="M840" s="50"/>
      <c r="N840" s="50"/>
    </row>
    <row r="841" spans="1:14" ht="13.5" thickBot="1" x14ac:dyDescent="0.25">
      <c r="A841" s="20"/>
      <c r="J841" s="58"/>
      <c r="K841" s="55" t="s">
        <v>1856</v>
      </c>
      <c r="L841" s="55"/>
      <c r="M841" s="55"/>
      <c r="N841" s="55"/>
    </row>
    <row r="842" spans="1:14" x14ac:dyDescent="0.2">
      <c r="A842" s="20"/>
      <c r="B842" s="411" t="s">
        <v>67</v>
      </c>
      <c r="C842" s="411"/>
      <c r="D842" s="411"/>
      <c r="F842" s="16" t="s">
        <v>1180</v>
      </c>
      <c r="G842" s="16" t="s">
        <v>68</v>
      </c>
      <c r="H842" s="16" t="s">
        <v>702</v>
      </c>
      <c r="J842" s="66">
        <f>42/O1*O2</f>
        <v>85.714285714285722</v>
      </c>
      <c r="K842" s="66">
        <f>48/O1*O2</f>
        <v>97.959183673469383</v>
      </c>
      <c r="L842" s="40">
        <f>54/O1*O2</f>
        <v>110.20408163265306</v>
      </c>
      <c r="M842" s="40"/>
      <c r="N842" s="40"/>
    </row>
    <row r="843" spans="1:14" x14ac:dyDescent="0.2">
      <c r="A843" s="24"/>
      <c r="B843" s="411" t="s">
        <v>67</v>
      </c>
      <c r="C843" s="411"/>
      <c r="D843" s="411"/>
      <c r="F843" s="16" t="s">
        <v>1181</v>
      </c>
      <c r="G843" s="16" t="s">
        <v>68</v>
      </c>
      <c r="H843" s="16" t="s">
        <v>702</v>
      </c>
      <c r="J843" s="66">
        <f>26.5/O1*O2</f>
        <v>54.081632653061227</v>
      </c>
      <c r="K843" s="66">
        <f>29/O1*O2</f>
        <v>59.183673469387756</v>
      </c>
      <c r="L843" s="40">
        <f>32/O1*O2</f>
        <v>65.306122448979593</v>
      </c>
      <c r="M843" s="40"/>
      <c r="N843" s="40"/>
    </row>
    <row r="844" spans="1:14" ht="13.5" thickBot="1" x14ac:dyDescent="0.25">
      <c r="A844" s="28"/>
      <c r="B844" s="418" t="s">
        <v>67</v>
      </c>
      <c r="C844" s="418"/>
      <c r="D844" s="418"/>
      <c r="E844" s="30"/>
      <c r="F844" s="30" t="s">
        <v>1182</v>
      </c>
      <c r="G844" s="30" t="s">
        <v>68</v>
      </c>
      <c r="H844" s="30" t="s">
        <v>702</v>
      </c>
      <c r="I844" s="30"/>
      <c r="J844" s="67">
        <f>22.5/O1*O2</f>
        <v>45.91836734693878</v>
      </c>
      <c r="K844" s="67">
        <f>24.5/O1*O2</f>
        <v>50</v>
      </c>
      <c r="L844" s="42">
        <f>26.5/O1*O2</f>
        <v>54.081632653061227</v>
      </c>
      <c r="M844" s="42"/>
      <c r="N844" s="42"/>
    </row>
    <row r="846" spans="1:14" x14ac:dyDescent="0.2">
      <c r="J846" s="68"/>
      <c r="K846" s="68"/>
      <c r="L846" s="68"/>
      <c r="M846" s="68"/>
      <c r="N846" s="47"/>
    </row>
    <row r="848" spans="1:14" ht="13.5" thickBot="1" x14ac:dyDescent="0.25"/>
    <row r="849" spans="1:14" x14ac:dyDescent="0.2">
      <c r="A849" s="20"/>
      <c r="B849" s="21"/>
      <c r="C849" s="21"/>
      <c r="D849" s="21"/>
      <c r="E849" s="22"/>
      <c r="F849" s="22"/>
      <c r="G849" s="22"/>
      <c r="H849" s="22"/>
      <c r="I849" s="22"/>
      <c r="J849" s="22"/>
      <c r="K849" s="22"/>
      <c r="L849" s="22"/>
      <c r="M849" s="22"/>
      <c r="N849" s="23"/>
    </row>
    <row r="850" spans="1:14" ht="15" x14ac:dyDescent="0.2">
      <c r="A850" s="24"/>
      <c r="B850" s="413" t="s">
        <v>402</v>
      </c>
      <c r="C850" s="414"/>
      <c r="D850" s="414"/>
      <c r="E850" s="414"/>
      <c r="F850" s="414"/>
      <c r="G850" s="414"/>
      <c r="H850" s="414"/>
      <c r="I850" s="414"/>
      <c r="J850" s="414"/>
      <c r="K850" s="414"/>
      <c r="L850" s="414"/>
      <c r="M850" s="415"/>
      <c r="N850" s="25" t="s">
        <v>664</v>
      </c>
    </row>
    <row r="851" spans="1:14" x14ac:dyDescent="0.2">
      <c r="A851" s="24"/>
      <c r="B851" s="26" t="s">
        <v>428</v>
      </c>
      <c r="C851" s="15" t="s">
        <v>403</v>
      </c>
      <c r="N851" s="27"/>
    </row>
    <row r="852" spans="1:14" x14ac:dyDescent="0.2">
      <c r="A852" s="24"/>
      <c r="B852" s="26" t="s">
        <v>429</v>
      </c>
      <c r="C852" s="15" t="s">
        <v>404</v>
      </c>
      <c r="N852" s="27"/>
    </row>
    <row r="853" spans="1:14" x14ac:dyDescent="0.2">
      <c r="A853" s="24"/>
      <c r="B853" s="26" t="s">
        <v>427</v>
      </c>
      <c r="C853" s="409" t="s">
        <v>461</v>
      </c>
      <c r="D853" s="409"/>
      <c r="E853" s="409"/>
      <c r="F853" s="409"/>
      <c r="G853" s="409"/>
      <c r="H853" s="409"/>
      <c r="I853" s="409"/>
      <c r="J853" s="409"/>
      <c r="K853" s="409"/>
      <c r="L853" s="409"/>
      <c r="M853" s="409"/>
      <c r="N853" s="410"/>
    </row>
    <row r="854" spans="1:14" x14ac:dyDescent="0.2">
      <c r="A854" s="24"/>
      <c r="B854" s="26"/>
      <c r="C854" s="409"/>
      <c r="D854" s="409"/>
      <c r="E854" s="409"/>
      <c r="F854" s="409"/>
      <c r="G854" s="409"/>
      <c r="H854" s="409"/>
      <c r="I854" s="409"/>
      <c r="J854" s="409"/>
      <c r="K854" s="409"/>
      <c r="L854" s="409"/>
      <c r="M854" s="409"/>
      <c r="N854" s="410"/>
    </row>
    <row r="855" spans="1:14" x14ac:dyDescent="0.2">
      <c r="A855" s="24"/>
      <c r="C855" s="409"/>
      <c r="D855" s="409"/>
      <c r="E855" s="409"/>
      <c r="F855" s="409"/>
      <c r="G855" s="409"/>
      <c r="H855" s="409"/>
      <c r="I855" s="409"/>
      <c r="J855" s="409"/>
      <c r="K855" s="409"/>
      <c r="L855" s="409"/>
      <c r="M855" s="409"/>
      <c r="N855" s="410"/>
    </row>
    <row r="856" spans="1:14" x14ac:dyDescent="0.2">
      <c r="A856" s="24"/>
      <c r="B856" s="26" t="s">
        <v>426</v>
      </c>
      <c r="N856" s="27"/>
    </row>
    <row r="857" spans="1:14" ht="13.5" thickBot="1" x14ac:dyDescent="0.25">
      <c r="A857" s="28"/>
      <c r="B857" s="43" t="s">
        <v>430</v>
      </c>
      <c r="C857" s="29"/>
      <c r="D857" s="29"/>
      <c r="E857" s="30"/>
      <c r="F857" s="30"/>
      <c r="G857" s="30"/>
      <c r="H857" s="30"/>
      <c r="I857" s="30"/>
      <c r="J857" s="30"/>
      <c r="K857" s="30"/>
      <c r="L857" s="30"/>
      <c r="M857" s="30"/>
      <c r="N857" s="31"/>
    </row>
    <row r="858" spans="1:14" ht="13.5" thickBot="1" x14ac:dyDescent="0.25">
      <c r="A858" s="24"/>
      <c r="B858" s="49" t="s">
        <v>263</v>
      </c>
      <c r="J858" s="36" t="s">
        <v>907</v>
      </c>
      <c r="K858" s="36" t="s">
        <v>611</v>
      </c>
      <c r="L858" s="36"/>
      <c r="M858" s="36"/>
      <c r="N858" s="36"/>
    </row>
    <row r="859" spans="1:14" x14ac:dyDescent="0.2">
      <c r="A859" s="20"/>
      <c r="B859" s="412" t="s">
        <v>67</v>
      </c>
      <c r="C859" s="412"/>
      <c r="D859" s="412"/>
      <c r="E859" s="22"/>
      <c r="F859" s="22" t="s">
        <v>1180</v>
      </c>
      <c r="G859" s="22" t="s">
        <v>68</v>
      </c>
      <c r="H859" s="22" t="s">
        <v>702</v>
      </c>
      <c r="I859" s="22"/>
      <c r="J859" s="65">
        <f>34/O1*O2</f>
        <v>69.387755102040813</v>
      </c>
      <c r="K859" s="65">
        <f>54/O1*O2</f>
        <v>110.20408163265306</v>
      </c>
      <c r="L859" s="38"/>
      <c r="M859" s="38"/>
      <c r="N859" s="38"/>
    </row>
    <row r="860" spans="1:14" x14ac:dyDescent="0.2">
      <c r="A860" s="24"/>
      <c r="B860" s="411" t="s">
        <v>67</v>
      </c>
      <c r="C860" s="411"/>
      <c r="D860" s="411"/>
      <c r="F860" s="16" t="s">
        <v>1181</v>
      </c>
      <c r="G860" s="16" t="s">
        <v>68</v>
      </c>
      <c r="H860" s="16" t="s">
        <v>702</v>
      </c>
      <c r="J860" s="66">
        <f>18/O1*O2</f>
        <v>36.734693877551024</v>
      </c>
      <c r="K860" s="66">
        <f>29/O1*O2</f>
        <v>59.183673469387756</v>
      </c>
      <c r="L860" s="40"/>
      <c r="M860" s="40"/>
      <c r="N860" s="40"/>
    </row>
    <row r="861" spans="1:14" x14ac:dyDescent="0.2">
      <c r="A861" s="24"/>
      <c r="B861" s="411" t="s">
        <v>67</v>
      </c>
      <c r="C861" s="411"/>
      <c r="D861" s="411"/>
      <c r="F861" s="16" t="s">
        <v>1181</v>
      </c>
      <c r="G861" s="16" t="s">
        <v>68</v>
      </c>
      <c r="H861" s="16" t="s">
        <v>702</v>
      </c>
      <c r="J861" s="66">
        <f>17/O1*O2</f>
        <v>34.693877551020407</v>
      </c>
      <c r="K861" s="66">
        <f>26/O1*O2</f>
        <v>53.061224489795919</v>
      </c>
      <c r="L861" s="40"/>
      <c r="M861" s="40"/>
      <c r="N861" s="40"/>
    </row>
    <row r="862" spans="1:14" ht="13.5" thickBot="1" x14ac:dyDescent="0.25">
      <c r="A862" s="28"/>
      <c r="B862" s="418" t="s">
        <v>902</v>
      </c>
      <c r="C862" s="418"/>
      <c r="D862" s="418"/>
      <c r="E862" s="30"/>
      <c r="F862" s="30"/>
      <c r="G862" s="30"/>
      <c r="H862" s="30" t="s">
        <v>702</v>
      </c>
      <c r="I862" s="31"/>
      <c r="J862" s="67">
        <f>10/O1*O2</f>
        <v>20.408163265306122</v>
      </c>
      <c r="K862" s="67">
        <f>12/O1*O2</f>
        <v>24.489795918367346</v>
      </c>
      <c r="L862" s="42"/>
      <c r="M862" s="42"/>
      <c r="N862" s="42"/>
    </row>
    <row r="863" spans="1:14" ht="13.5" thickBot="1" x14ac:dyDescent="0.25"/>
    <row r="864" spans="1:14" x14ac:dyDescent="0.2">
      <c r="A864" s="20"/>
      <c r="B864" s="21"/>
      <c r="C864" s="21"/>
      <c r="D864" s="21"/>
      <c r="E864" s="22"/>
      <c r="F864" s="22"/>
      <c r="G864" s="22"/>
      <c r="H864" s="22"/>
      <c r="I864" s="22"/>
      <c r="J864" s="22"/>
      <c r="K864" s="22"/>
      <c r="L864" s="22"/>
      <c r="M864" s="22"/>
      <c r="N864" s="23"/>
    </row>
    <row r="865" spans="1:14" ht="15" x14ac:dyDescent="0.2">
      <c r="A865" s="24"/>
      <c r="B865" s="413" t="s">
        <v>679</v>
      </c>
      <c r="C865" s="414"/>
      <c r="D865" s="414"/>
      <c r="E865" s="414"/>
      <c r="F865" s="414"/>
      <c r="G865" s="414"/>
      <c r="H865" s="414"/>
      <c r="I865" s="414"/>
      <c r="J865" s="414"/>
      <c r="K865" s="414"/>
      <c r="L865" s="414"/>
      <c r="M865" s="415"/>
      <c r="N865" s="25" t="s">
        <v>664</v>
      </c>
    </row>
    <row r="866" spans="1:14" x14ac:dyDescent="0.2">
      <c r="A866" s="24"/>
      <c r="B866" s="26" t="s">
        <v>428</v>
      </c>
      <c r="C866" s="15" t="s">
        <v>400</v>
      </c>
      <c r="N866" s="27"/>
    </row>
    <row r="867" spans="1:14" x14ac:dyDescent="0.2">
      <c r="A867" s="24"/>
      <c r="B867" s="26" t="s">
        <v>429</v>
      </c>
      <c r="C867" s="15" t="s">
        <v>401</v>
      </c>
      <c r="N867" s="27"/>
    </row>
    <row r="868" spans="1:14" x14ac:dyDescent="0.2">
      <c r="A868" s="24"/>
      <c r="B868" s="26" t="s">
        <v>427</v>
      </c>
      <c r="C868" s="409" t="s">
        <v>462</v>
      </c>
      <c r="D868" s="409"/>
      <c r="E868" s="409"/>
      <c r="F868" s="409"/>
      <c r="G868" s="409"/>
      <c r="H868" s="409"/>
      <c r="I868" s="409"/>
      <c r="J868" s="409"/>
      <c r="K868" s="409"/>
      <c r="L868" s="409"/>
      <c r="M868" s="409"/>
      <c r="N868" s="410"/>
    </row>
    <row r="869" spans="1:14" x14ac:dyDescent="0.2">
      <c r="A869" s="24"/>
      <c r="B869" s="26"/>
      <c r="C869" s="409"/>
      <c r="D869" s="409"/>
      <c r="E869" s="409"/>
      <c r="F869" s="409"/>
      <c r="G869" s="409"/>
      <c r="H869" s="409"/>
      <c r="I869" s="409"/>
      <c r="J869" s="409"/>
      <c r="K869" s="409"/>
      <c r="L869" s="409"/>
      <c r="M869" s="409"/>
      <c r="N869" s="410"/>
    </row>
    <row r="870" spans="1:14" x14ac:dyDescent="0.2">
      <c r="A870" s="24"/>
      <c r="B870" s="26"/>
      <c r="C870" s="409"/>
      <c r="D870" s="409"/>
      <c r="E870" s="409"/>
      <c r="F870" s="409"/>
      <c r="G870" s="409"/>
      <c r="H870" s="409"/>
      <c r="I870" s="409"/>
      <c r="J870" s="409"/>
      <c r="K870" s="409"/>
      <c r="L870" s="409"/>
      <c r="M870" s="409"/>
      <c r="N870" s="410"/>
    </row>
    <row r="871" spans="1:14" x14ac:dyDescent="0.2">
      <c r="A871" s="24"/>
      <c r="C871" s="409"/>
      <c r="D871" s="409"/>
      <c r="E871" s="409"/>
      <c r="F871" s="409"/>
      <c r="G871" s="409"/>
      <c r="H871" s="409"/>
      <c r="I871" s="409"/>
      <c r="J871" s="409"/>
      <c r="K871" s="409"/>
      <c r="L871" s="409"/>
      <c r="M871" s="409"/>
      <c r="N871" s="410"/>
    </row>
    <row r="872" spans="1:14" x14ac:dyDescent="0.2">
      <c r="A872" s="24"/>
      <c r="B872" s="26" t="s">
        <v>426</v>
      </c>
      <c r="N872" s="27"/>
    </row>
    <row r="873" spans="1:14" ht="13.5" thickBot="1" x14ac:dyDescent="0.25">
      <c r="A873" s="28"/>
      <c r="B873" s="43" t="s">
        <v>430</v>
      </c>
      <c r="C873" s="29"/>
      <c r="D873" s="29"/>
      <c r="E873" s="30"/>
      <c r="F873" s="30"/>
      <c r="G873" s="30"/>
      <c r="H873" s="30"/>
      <c r="I873" s="30"/>
      <c r="J873" s="30"/>
      <c r="K873" s="30"/>
      <c r="L873" s="30"/>
      <c r="M873" s="30"/>
      <c r="N873" s="31"/>
    </row>
    <row r="874" spans="1:14" ht="13.5" thickBot="1" x14ac:dyDescent="0.25">
      <c r="A874" s="24"/>
      <c r="B874" s="49" t="s">
        <v>263</v>
      </c>
      <c r="J874" s="36" t="s">
        <v>907</v>
      </c>
      <c r="K874" s="36" t="s">
        <v>611</v>
      </c>
      <c r="L874" s="36"/>
      <c r="M874" s="36"/>
      <c r="N874" s="36"/>
    </row>
    <row r="875" spans="1:14" x14ac:dyDescent="0.2">
      <c r="A875" s="20"/>
      <c r="B875" s="412" t="s">
        <v>67</v>
      </c>
      <c r="C875" s="412"/>
      <c r="D875" s="412"/>
      <c r="E875" s="22"/>
      <c r="F875" s="22" t="s">
        <v>1180</v>
      </c>
      <c r="G875" s="22" t="s">
        <v>68</v>
      </c>
      <c r="H875" s="22" t="s">
        <v>702</v>
      </c>
      <c r="I875" s="22"/>
      <c r="J875" s="65">
        <f>35/O1*O2</f>
        <v>71.428571428571431</v>
      </c>
      <c r="K875" s="65">
        <f>54/O1*O2</f>
        <v>110.20408163265306</v>
      </c>
      <c r="L875" s="38"/>
      <c r="M875" s="38"/>
      <c r="N875" s="38"/>
    </row>
    <row r="876" spans="1:14" x14ac:dyDescent="0.2">
      <c r="A876" s="24"/>
      <c r="B876" s="411" t="s">
        <v>67</v>
      </c>
      <c r="C876" s="411"/>
      <c r="D876" s="411"/>
      <c r="F876" s="16" t="s">
        <v>1181</v>
      </c>
      <c r="G876" s="16" t="s">
        <v>68</v>
      </c>
      <c r="H876" s="16" t="s">
        <v>702</v>
      </c>
      <c r="J876" s="66">
        <f>20/O1*O2</f>
        <v>40.816326530612244</v>
      </c>
      <c r="K876" s="66">
        <f>32/O1*O2</f>
        <v>65.306122448979593</v>
      </c>
      <c r="L876" s="40"/>
      <c r="M876" s="40"/>
      <c r="N876" s="40"/>
    </row>
    <row r="877" spans="1:14" ht="13.5" thickBot="1" x14ac:dyDescent="0.25">
      <c r="A877" s="28"/>
      <c r="B877" s="418" t="s">
        <v>67</v>
      </c>
      <c r="C877" s="418"/>
      <c r="D877" s="418"/>
      <c r="E877" s="30"/>
      <c r="F877" s="30" t="s">
        <v>1181</v>
      </c>
      <c r="G877" s="30" t="s">
        <v>68</v>
      </c>
      <c r="H877" s="30" t="s">
        <v>702</v>
      </c>
      <c r="I877" s="30"/>
      <c r="J877" s="67">
        <f>19/O1*O2</f>
        <v>38.775510204081634</v>
      </c>
      <c r="K877" s="67">
        <f>27/O1*O2</f>
        <v>55.102040816326529</v>
      </c>
      <c r="L877" s="42"/>
      <c r="M877" s="42"/>
      <c r="N877" s="42"/>
    </row>
    <row r="878" spans="1:14" x14ac:dyDescent="0.2">
      <c r="J878" s="68"/>
      <c r="K878" s="68"/>
      <c r="L878" s="47"/>
      <c r="M878" s="47"/>
      <c r="N878" s="47"/>
    </row>
    <row r="880" spans="1:14" x14ac:dyDescent="0.2">
      <c r="A880" s="17"/>
      <c r="B880" s="17"/>
      <c r="C880" s="17"/>
      <c r="D880" s="17"/>
      <c r="E880" s="17"/>
      <c r="F880" s="17"/>
      <c r="G880" s="17"/>
      <c r="H880" s="17"/>
      <c r="I880" s="17"/>
      <c r="J880" s="17"/>
      <c r="K880" s="17"/>
      <c r="L880" s="17"/>
      <c r="M880" s="17"/>
      <c r="N880" s="17"/>
    </row>
    <row r="881" spans="1:14" ht="13.5" thickBot="1" x14ac:dyDescent="0.25">
      <c r="A881" s="17"/>
      <c r="B881" s="17"/>
      <c r="C881" s="17"/>
      <c r="D881" s="17"/>
      <c r="E881" s="17"/>
      <c r="F881" s="17"/>
      <c r="G881" s="17"/>
      <c r="H881" s="17"/>
      <c r="I881" s="17"/>
      <c r="J881" s="17"/>
      <c r="K881" s="17"/>
      <c r="L881" s="17"/>
      <c r="M881" s="17"/>
      <c r="N881" s="17"/>
    </row>
    <row r="882" spans="1:14" x14ac:dyDescent="0.2">
      <c r="A882" s="20"/>
      <c r="B882" s="21"/>
      <c r="C882" s="21"/>
      <c r="D882" s="21"/>
      <c r="E882" s="22"/>
      <c r="F882" s="22"/>
      <c r="G882" s="22"/>
      <c r="H882" s="22"/>
      <c r="I882" s="22"/>
      <c r="J882" s="22"/>
      <c r="K882" s="22"/>
      <c r="L882" s="22"/>
      <c r="M882" s="22"/>
      <c r="N882" s="23"/>
    </row>
    <row r="883" spans="1:14" ht="15" x14ac:dyDescent="0.2">
      <c r="A883" s="24"/>
      <c r="B883" s="413" t="s">
        <v>856</v>
      </c>
      <c r="C883" s="414"/>
      <c r="D883" s="414"/>
      <c r="E883" s="414"/>
      <c r="F883" s="414"/>
      <c r="G883" s="414"/>
      <c r="H883" s="414"/>
      <c r="I883" s="414"/>
      <c r="J883" s="414"/>
      <c r="K883" s="414"/>
      <c r="L883" s="414"/>
      <c r="M883" s="415"/>
      <c r="N883" s="25" t="s">
        <v>664</v>
      </c>
    </row>
    <row r="884" spans="1:14" x14ac:dyDescent="0.2">
      <c r="A884" s="24"/>
      <c r="B884" s="26" t="s">
        <v>428</v>
      </c>
      <c r="C884" s="15" t="s">
        <v>857</v>
      </c>
      <c r="N884" s="27"/>
    </row>
    <row r="885" spans="1:14" x14ac:dyDescent="0.2">
      <c r="A885" s="24"/>
      <c r="B885" s="26" t="s">
        <v>429</v>
      </c>
      <c r="C885" s="15" t="s">
        <v>401</v>
      </c>
      <c r="N885" s="27"/>
    </row>
    <row r="886" spans="1:14" x14ac:dyDescent="0.2">
      <c r="A886" s="24"/>
      <c r="B886" s="26" t="s">
        <v>427</v>
      </c>
      <c r="C886" s="409" t="s">
        <v>463</v>
      </c>
      <c r="D886" s="409"/>
      <c r="E886" s="409"/>
      <c r="F886" s="409"/>
      <c r="G886" s="409"/>
      <c r="H886" s="409"/>
      <c r="I886" s="409"/>
      <c r="J886" s="409"/>
      <c r="K886" s="409"/>
      <c r="L886" s="409"/>
      <c r="M886" s="409"/>
      <c r="N886" s="410"/>
    </row>
    <row r="887" spans="1:14" x14ac:dyDescent="0.2">
      <c r="A887" s="24"/>
      <c r="C887" s="409"/>
      <c r="D887" s="409"/>
      <c r="E887" s="409"/>
      <c r="F887" s="409"/>
      <c r="G887" s="409"/>
      <c r="H887" s="409"/>
      <c r="I887" s="409"/>
      <c r="J887" s="409"/>
      <c r="K887" s="409"/>
      <c r="L887" s="409"/>
      <c r="M887" s="409"/>
      <c r="N887" s="410"/>
    </row>
    <row r="888" spans="1:14" ht="13.5" thickBot="1" x14ac:dyDescent="0.25">
      <c r="A888" s="28"/>
      <c r="B888" s="43" t="s">
        <v>430</v>
      </c>
      <c r="C888" s="29"/>
      <c r="D888" s="29"/>
      <c r="E888" s="30"/>
      <c r="F888" s="30"/>
      <c r="G888" s="30"/>
      <c r="H888" s="30"/>
      <c r="I888" s="30"/>
      <c r="J888" s="30"/>
      <c r="K888" s="30"/>
      <c r="L888" s="30"/>
      <c r="M888" s="30"/>
      <c r="N888" s="31"/>
    </row>
    <row r="889" spans="1:14" x14ac:dyDescent="0.2">
      <c r="A889" s="24"/>
      <c r="B889" s="51" t="s">
        <v>263</v>
      </c>
      <c r="J889" s="33" t="s">
        <v>858</v>
      </c>
      <c r="K889" s="33" t="s">
        <v>759</v>
      </c>
      <c r="L889" s="33"/>
      <c r="M889" s="33"/>
      <c r="N889" s="33"/>
    </row>
    <row r="890" spans="1:14" ht="13.5" thickBot="1" x14ac:dyDescent="0.25">
      <c r="A890" s="24"/>
      <c r="B890" s="29"/>
      <c r="J890" s="36" t="s">
        <v>512</v>
      </c>
      <c r="K890" s="36" t="s">
        <v>481</v>
      </c>
      <c r="L890" s="36" t="s">
        <v>1619</v>
      </c>
      <c r="M890" s="36"/>
      <c r="N890" s="36"/>
    </row>
    <row r="891" spans="1:14" x14ac:dyDescent="0.2">
      <c r="A891" s="20"/>
      <c r="B891" s="412" t="s">
        <v>67</v>
      </c>
      <c r="C891" s="412"/>
      <c r="D891" s="412"/>
      <c r="E891" s="22"/>
      <c r="F891" s="22" t="s">
        <v>1180</v>
      </c>
      <c r="G891" s="22" t="s">
        <v>1484</v>
      </c>
      <c r="H891" s="22" t="s">
        <v>702</v>
      </c>
      <c r="I891" s="22"/>
      <c r="J891" s="65">
        <f>45/O1*O2</f>
        <v>91.83673469387756</v>
      </c>
      <c r="K891" s="65">
        <f>58/O1*O2</f>
        <v>118.36734693877551</v>
      </c>
      <c r="L891" s="38">
        <f>75/O1*O2</f>
        <v>153.06122448979593</v>
      </c>
      <c r="M891" s="38"/>
      <c r="N891" s="38"/>
    </row>
    <row r="892" spans="1:14" x14ac:dyDescent="0.2">
      <c r="A892" s="24"/>
      <c r="B892" s="411" t="s">
        <v>67</v>
      </c>
      <c r="C892" s="411"/>
      <c r="D892" s="411"/>
      <c r="F892" s="16" t="s">
        <v>1181</v>
      </c>
      <c r="G892" s="16" t="s">
        <v>1484</v>
      </c>
      <c r="H892" s="16" t="s">
        <v>702</v>
      </c>
      <c r="J892" s="66">
        <f>25/O1*O2</f>
        <v>51.020408163265309</v>
      </c>
      <c r="K892" s="66">
        <f>32/O1*O2</f>
        <v>65.306122448979593</v>
      </c>
      <c r="L892" s="40">
        <f>40/O1*O2</f>
        <v>81.632653061224488</v>
      </c>
      <c r="M892" s="40"/>
      <c r="N892" s="40"/>
    </row>
    <row r="893" spans="1:14" ht="13.5" thickBot="1" x14ac:dyDescent="0.25">
      <c r="A893" s="28"/>
      <c r="B893" s="418" t="s">
        <v>67</v>
      </c>
      <c r="C893" s="418"/>
      <c r="D893" s="418"/>
      <c r="E893" s="30"/>
      <c r="F893" s="30" t="s">
        <v>1182</v>
      </c>
      <c r="G893" s="30" t="s">
        <v>1484</v>
      </c>
      <c r="H893" s="30" t="s">
        <v>702</v>
      </c>
      <c r="I893" s="30"/>
      <c r="J893" s="67">
        <f>18.5/O1*O2</f>
        <v>37.755102040816325</v>
      </c>
      <c r="K893" s="67">
        <f>22.6/O1*O2</f>
        <v>46.122448979591837</v>
      </c>
      <c r="L893" s="42">
        <f>29/O1*O2</f>
        <v>59.183673469387756</v>
      </c>
      <c r="M893" s="42"/>
      <c r="N893" s="42"/>
    </row>
    <row r="894" spans="1:14" ht="13.5" thickBot="1" x14ac:dyDescent="0.25"/>
    <row r="895" spans="1:14" x14ac:dyDescent="0.2">
      <c r="A895" s="20"/>
      <c r="B895" s="21"/>
      <c r="C895" s="21"/>
      <c r="D895" s="21"/>
      <c r="E895" s="22"/>
      <c r="F895" s="22"/>
      <c r="G895" s="22"/>
      <c r="H895" s="22"/>
      <c r="I895" s="22"/>
      <c r="J895" s="22"/>
      <c r="K895" s="22"/>
      <c r="L895" s="22"/>
      <c r="M895" s="22"/>
      <c r="N895" s="23"/>
    </row>
    <row r="896" spans="1:14" ht="15" x14ac:dyDescent="0.2">
      <c r="A896" s="24"/>
      <c r="B896" s="413" t="s">
        <v>1204</v>
      </c>
      <c r="C896" s="414"/>
      <c r="D896" s="414"/>
      <c r="E896" s="414"/>
      <c r="F896" s="414"/>
      <c r="G896" s="414"/>
      <c r="H896" s="414"/>
      <c r="I896" s="414"/>
      <c r="J896" s="414"/>
      <c r="K896" s="414"/>
      <c r="L896" s="414"/>
      <c r="M896" s="415"/>
      <c r="N896" s="25" t="s">
        <v>664</v>
      </c>
    </row>
    <row r="897" spans="1:14" x14ac:dyDescent="0.2">
      <c r="A897" s="24"/>
      <c r="B897" s="26" t="s">
        <v>428</v>
      </c>
      <c r="C897" s="15" t="s">
        <v>1205</v>
      </c>
      <c r="N897" s="27"/>
    </row>
    <row r="898" spans="1:14" x14ac:dyDescent="0.2">
      <c r="A898" s="24"/>
      <c r="B898" s="26" t="s">
        <v>429</v>
      </c>
      <c r="C898" s="15" t="s">
        <v>1206</v>
      </c>
      <c r="N898" s="27"/>
    </row>
    <row r="899" spans="1:14" x14ac:dyDescent="0.2">
      <c r="A899" s="24"/>
      <c r="B899" s="26" t="s">
        <v>427</v>
      </c>
      <c r="C899" s="409" t="s">
        <v>464</v>
      </c>
      <c r="D899" s="409"/>
      <c r="E899" s="409"/>
      <c r="F899" s="409"/>
      <c r="G899" s="409"/>
      <c r="H899" s="409"/>
      <c r="I899" s="409"/>
      <c r="J899" s="409"/>
      <c r="K899" s="409"/>
      <c r="L899" s="409"/>
      <c r="M899" s="409"/>
      <c r="N899" s="410"/>
    </row>
    <row r="900" spans="1:14" x14ac:dyDescent="0.2">
      <c r="A900" s="24"/>
      <c r="B900" s="26"/>
      <c r="C900" s="409"/>
      <c r="D900" s="409"/>
      <c r="E900" s="409"/>
      <c r="F900" s="409"/>
      <c r="G900" s="409"/>
      <c r="H900" s="409"/>
      <c r="I900" s="409"/>
      <c r="J900" s="409"/>
      <c r="K900" s="409"/>
      <c r="L900" s="409"/>
      <c r="M900" s="409"/>
      <c r="N900" s="410"/>
    </row>
    <row r="901" spans="1:14" x14ac:dyDescent="0.2">
      <c r="A901" s="24"/>
      <c r="C901" s="409"/>
      <c r="D901" s="409"/>
      <c r="E901" s="409"/>
      <c r="F901" s="409"/>
      <c r="G901" s="409"/>
      <c r="H901" s="409"/>
      <c r="I901" s="409"/>
      <c r="J901" s="409"/>
      <c r="K901" s="409"/>
      <c r="L901" s="409"/>
      <c r="M901" s="409"/>
      <c r="N901" s="410"/>
    </row>
    <row r="902" spans="1:14" ht="13.5" thickBot="1" x14ac:dyDescent="0.25">
      <c r="A902" s="28"/>
      <c r="B902" s="43" t="s">
        <v>430</v>
      </c>
      <c r="C902" s="29"/>
      <c r="D902" s="29"/>
      <c r="E902" s="30"/>
      <c r="F902" s="30"/>
      <c r="G902" s="30"/>
      <c r="H902" s="30"/>
      <c r="I902" s="30"/>
      <c r="J902" s="30"/>
      <c r="K902" s="30"/>
      <c r="L902" s="30"/>
      <c r="M902" s="30"/>
      <c r="N902" s="31"/>
    </row>
    <row r="903" spans="1:14" ht="13.5" thickBot="1" x14ac:dyDescent="0.25">
      <c r="A903" s="24"/>
      <c r="B903" s="51" t="s">
        <v>263</v>
      </c>
      <c r="J903" s="33" t="s">
        <v>907</v>
      </c>
      <c r="K903" s="33" t="s">
        <v>908</v>
      </c>
      <c r="L903" s="33"/>
      <c r="M903" s="33"/>
      <c r="N903" s="33"/>
    </row>
    <row r="904" spans="1:14" x14ac:dyDescent="0.2">
      <c r="A904" s="20"/>
      <c r="B904" s="412" t="s">
        <v>67</v>
      </c>
      <c r="C904" s="412"/>
      <c r="D904" s="412"/>
      <c r="E904" s="22"/>
      <c r="F904" s="22" t="s">
        <v>1180</v>
      </c>
      <c r="G904" s="22" t="s">
        <v>68</v>
      </c>
      <c r="H904" s="22" t="s">
        <v>702</v>
      </c>
      <c r="I904" s="22"/>
      <c r="J904" s="65">
        <f>33/O1*O2</f>
        <v>67.34693877551021</v>
      </c>
      <c r="K904" s="65">
        <f>43/O1*O2</f>
        <v>87.755102040816325</v>
      </c>
      <c r="L904" s="65"/>
      <c r="M904" s="38"/>
      <c r="N904" s="38"/>
    </row>
    <row r="905" spans="1:14" x14ac:dyDescent="0.2">
      <c r="A905" s="24"/>
      <c r="B905" s="411" t="s">
        <v>67</v>
      </c>
      <c r="C905" s="411"/>
      <c r="D905" s="411"/>
      <c r="F905" s="16" t="s">
        <v>1181</v>
      </c>
      <c r="G905" s="16" t="s">
        <v>68</v>
      </c>
      <c r="H905" s="16" t="s">
        <v>702</v>
      </c>
      <c r="J905" s="66">
        <f>18/O1*O2</f>
        <v>36.734693877551024</v>
      </c>
      <c r="K905" s="66">
        <f>23/O1*O2</f>
        <v>46.938775510204081</v>
      </c>
      <c r="L905" s="66"/>
      <c r="M905" s="40"/>
      <c r="N905" s="40"/>
    </row>
    <row r="906" spans="1:14" x14ac:dyDescent="0.2">
      <c r="A906" s="24"/>
      <c r="B906" s="15" t="s">
        <v>67</v>
      </c>
      <c r="F906" s="16" t="s">
        <v>1182</v>
      </c>
      <c r="G906" s="16" t="s">
        <v>68</v>
      </c>
      <c r="H906" s="16" t="s">
        <v>702</v>
      </c>
      <c r="J906" s="66">
        <f>16/O1*O2</f>
        <v>32.653061224489797</v>
      </c>
      <c r="K906" s="66">
        <f>19/O1*O2</f>
        <v>38.775510204081634</v>
      </c>
      <c r="L906" s="66"/>
      <c r="M906" s="40"/>
      <c r="N906" s="40"/>
    </row>
    <row r="907" spans="1:14" ht="13.5" thickBot="1" x14ac:dyDescent="0.25">
      <c r="A907" s="28"/>
      <c r="B907" s="418" t="s">
        <v>1446</v>
      </c>
      <c r="C907" s="418"/>
      <c r="D907" s="418"/>
      <c r="E907" s="30"/>
      <c r="F907" s="30"/>
      <c r="G907" s="30"/>
      <c r="H907" s="30" t="s">
        <v>702</v>
      </c>
      <c r="I907" s="31"/>
      <c r="J907" s="67">
        <f>10/O1*O2</f>
        <v>20.408163265306122</v>
      </c>
      <c r="K907" s="67">
        <f>10/O1*O2</f>
        <v>20.408163265306122</v>
      </c>
      <c r="L907" s="67"/>
      <c r="M907" s="42"/>
      <c r="N907" s="42"/>
    </row>
    <row r="908" spans="1:14" ht="13.5" thickBot="1" x14ac:dyDescent="0.25"/>
    <row r="909" spans="1:14" x14ac:dyDescent="0.2">
      <c r="A909" s="20"/>
      <c r="B909" s="21"/>
      <c r="C909" s="21"/>
      <c r="D909" s="21"/>
      <c r="E909" s="22"/>
      <c r="F909" s="22"/>
      <c r="G909" s="22"/>
      <c r="H909" s="22"/>
      <c r="I909" s="22"/>
      <c r="J909" s="22"/>
      <c r="K909" s="22"/>
      <c r="L909" s="22"/>
      <c r="M909" s="22"/>
      <c r="N909" s="23"/>
    </row>
    <row r="910" spans="1:14" ht="15" x14ac:dyDescent="0.2">
      <c r="A910" s="24"/>
      <c r="B910" s="413" t="s">
        <v>627</v>
      </c>
      <c r="C910" s="414"/>
      <c r="D910" s="414"/>
      <c r="E910" s="414"/>
      <c r="F910" s="414"/>
      <c r="G910" s="414"/>
      <c r="H910" s="414"/>
      <c r="I910" s="414"/>
      <c r="J910" s="414"/>
      <c r="K910" s="414"/>
      <c r="L910" s="414"/>
      <c r="M910" s="415"/>
      <c r="N910" s="25" t="s">
        <v>664</v>
      </c>
    </row>
    <row r="911" spans="1:14" x14ac:dyDescent="0.2">
      <c r="A911" s="24"/>
      <c r="B911" s="26" t="s">
        <v>428</v>
      </c>
      <c r="C911" s="15" t="s">
        <v>628</v>
      </c>
      <c r="N911" s="27"/>
    </row>
    <row r="912" spans="1:14" x14ac:dyDescent="0.2">
      <c r="A912" s="24"/>
      <c r="B912" s="26" t="s">
        <v>429</v>
      </c>
      <c r="C912" s="15" t="s">
        <v>379</v>
      </c>
      <c r="N912" s="27"/>
    </row>
    <row r="913" spans="1:14" x14ac:dyDescent="0.2">
      <c r="A913" s="24"/>
      <c r="B913" s="26" t="s">
        <v>427</v>
      </c>
      <c r="C913" s="409" t="s">
        <v>465</v>
      </c>
      <c r="D913" s="409"/>
      <c r="E913" s="409"/>
      <c r="F913" s="409"/>
      <c r="G913" s="409"/>
      <c r="H913" s="409"/>
      <c r="I913" s="409"/>
      <c r="J913" s="409"/>
      <c r="K913" s="409"/>
      <c r="L913" s="409"/>
      <c r="M913" s="409"/>
      <c r="N913" s="410"/>
    </row>
    <row r="914" spans="1:14" x14ac:dyDescent="0.2">
      <c r="A914" s="24"/>
      <c r="C914" s="409"/>
      <c r="D914" s="409"/>
      <c r="E914" s="409"/>
      <c r="F914" s="409"/>
      <c r="G914" s="409"/>
      <c r="H914" s="409"/>
      <c r="I914" s="409"/>
      <c r="J914" s="409"/>
      <c r="K914" s="409"/>
      <c r="L914" s="409"/>
      <c r="M914" s="409"/>
      <c r="N914" s="410"/>
    </row>
    <row r="915" spans="1:14" ht="13.5" thickBot="1" x14ac:dyDescent="0.25">
      <c r="A915" s="28"/>
      <c r="B915" s="43" t="s">
        <v>430</v>
      </c>
      <c r="C915" s="29"/>
      <c r="D915" s="29"/>
      <c r="E915" s="30"/>
      <c r="F915" s="30"/>
      <c r="G915" s="30"/>
      <c r="H915" s="30"/>
      <c r="I915" s="30"/>
      <c r="J915" s="30"/>
      <c r="K915" s="30"/>
      <c r="L915" s="30"/>
      <c r="M915" s="30"/>
      <c r="N915" s="31"/>
    </row>
    <row r="916" spans="1:14" x14ac:dyDescent="0.2">
      <c r="A916" s="24"/>
      <c r="B916" s="51" t="s">
        <v>263</v>
      </c>
      <c r="J916" s="33" t="s">
        <v>907</v>
      </c>
      <c r="K916" s="33" t="s">
        <v>753</v>
      </c>
      <c r="L916" s="33" t="s">
        <v>513</v>
      </c>
      <c r="M916" s="33" t="s">
        <v>1341</v>
      </c>
      <c r="N916" s="33"/>
    </row>
    <row r="917" spans="1:14" ht="13.5" thickBot="1" x14ac:dyDescent="0.25">
      <c r="A917" s="24"/>
      <c r="B917" s="29"/>
      <c r="J917" s="77"/>
      <c r="K917" s="77" t="s">
        <v>123</v>
      </c>
      <c r="L917" s="36" t="s">
        <v>612</v>
      </c>
      <c r="M917" s="36"/>
      <c r="N917" s="36"/>
    </row>
    <row r="918" spans="1:14" x14ac:dyDescent="0.2">
      <c r="A918" s="20"/>
      <c r="B918" s="412" t="s">
        <v>67</v>
      </c>
      <c r="C918" s="412"/>
      <c r="D918" s="412"/>
      <c r="E918" s="22"/>
      <c r="F918" s="22" t="s">
        <v>1180</v>
      </c>
      <c r="G918" s="22" t="s">
        <v>68</v>
      </c>
      <c r="H918" s="22" t="s">
        <v>702</v>
      </c>
      <c r="I918" s="22"/>
      <c r="J918" s="65">
        <f>51/O1*O2</f>
        <v>104.08163265306122</v>
      </c>
      <c r="K918" s="65">
        <f>68/O1*O2</f>
        <v>138.77551020408163</v>
      </c>
      <c r="L918" s="65">
        <f>80/O1*O2</f>
        <v>163.26530612244898</v>
      </c>
      <c r="M918" s="65">
        <f>73/O1*O2</f>
        <v>148.9795918367347</v>
      </c>
      <c r="N918" s="38"/>
    </row>
    <row r="919" spans="1:14" x14ac:dyDescent="0.2">
      <c r="A919" s="24"/>
      <c r="B919" s="411" t="s">
        <v>67</v>
      </c>
      <c r="C919" s="411"/>
      <c r="D919" s="411"/>
      <c r="F919" s="16" t="s">
        <v>1181</v>
      </c>
      <c r="G919" s="16" t="s">
        <v>68</v>
      </c>
      <c r="H919" s="16" t="s">
        <v>702</v>
      </c>
      <c r="J919" s="66">
        <f>30/O1*O2</f>
        <v>61.224489795918366</v>
      </c>
      <c r="K919" s="66">
        <f>42.5/O1*O2</f>
        <v>86.734693877551024</v>
      </c>
      <c r="L919" s="66">
        <f>48/O1*O2</f>
        <v>97.959183673469383</v>
      </c>
      <c r="M919" s="66">
        <f>44.5/O1*O2</f>
        <v>90.816326530612244</v>
      </c>
      <c r="N919" s="40"/>
    </row>
    <row r="920" spans="1:14" x14ac:dyDescent="0.2">
      <c r="A920" s="24"/>
      <c r="B920" s="411" t="s">
        <v>67</v>
      </c>
      <c r="C920" s="411"/>
      <c r="D920" s="411"/>
      <c r="F920" s="16" t="s">
        <v>1182</v>
      </c>
      <c r="G920" s="16" t="s">
        <v>68</v>
      </c>
      <c r="H920" s="16" t="s">
        <v>702</v>
      </c>
      <c r="J920" s="66">
        <f>25/O1*O2</f>
        <v>51.020408163265309</v>
      </c>
      <c r="K920" s="66">
        <f>36/O1*O2</f>
        <v>73.469387755102048</v>
      </c>
      <c r="L920" s="66">
        <f>38/O1*O2</f>
        <v>77.551020408163268</v>
      </c>
      <c r="M920" s="66">
        <f>36.6/O1*O2</f>
        <v>74.693877551020407</v>
      </c>
      <c r="N920" s="40"/>
    </row>
    <row r="921" spans="1:14" x14ac:dyDescent="0.2">
      <c r="A921" s="24"/>
      <c r="B921" s="411" t="s">
        <v>67</v>
      </c>
      <c r="C921" s="411"/>
      <c r="D921" s="411"/>
      <c r="F921" s="16" t="s">
        <v>257</v>
      </c>
      <c r="G921" s="16" t="s">
        <v>68</v>
      </c>
      <c r="H921" s="16" t="s">
        <v>702</v>
      </c>
      <c r="I921" s="27"/>
      <c r="J921" s="66">
        <f>21.5/O1*O2</f>
        <v>43.877551020408163</v>
      </c>
      <c r="K921" s="66">
        <f>31.5/O1*O2</f>
        <v>64.285714285714292</v>
      </c>
      <c r="L921" s="66">
        <f>33.75/O1*O2</f>
        <v>68.877551020408163</v>
      </c>
      <c r="M921" s="66">
        <f>32.5/O1*O2</f>
        <v>66.326530612244895</v>
      </c>
      <c r="N921" s="40"/>
    </row>
    <row r="922" spans="1:14" ht="13.5" thickBot="1" x14ac:dyDescent="0.25">
      <c r="A922" s="28"/>
      <c r="B922" s="418" t="s">
        <v>902</v>
      </c>
      <c r="C922" s="418"/>
      <c r="D922" s="418"/>
      <c r="E922" s="30"/>
      <c r="F922" s="30"/>
      <c r="G922" s="30"/>
      <c r="H922" s="30"/>
      <c r="I922" s="31"/>
      <c r="J922" s="67">
        <f>21/O1*O2</f>
        <v>42.857142857142861</v>
      </c>
      <c r="K922" s="67">
        <f>21/O1*O2</f>
        <v>42.857142857142861</v>
      </c>
      <c r="L922" s="67">
        <f>21/O1*O2</f>
        <v>42.857142857142861</v>
      </c>
      <c r="M922" s="67">
        <f>21/O1*O2</f>
        <v>42.857142857142861</v>
      </c>
      <c r="N922" s="42"/>
    </row>
    <row r="923" spans="1:14" x14ac:dyDescent="0.2">
      <c r="J923" s="68"/>
      <c r="K923" s="68"/>
      <c r="L923" s="68"/>
      <c r="M923" s="68"/>
      <c r="N923" s="47"/>
    </row>
    <row r="924" spans="1:14" x14ac:dyDescent="0.2">
      <c r="J924" s="68"/>
      <c r="K924" s="68"/>
      <c r="L924" s="68"/>
      <c r="M924" s="68"/>
      <c r="N924" s="47"/>
    </row>
    <row r="925" spans="1:14" x14ac:dyDescent="0.2">
      <c r="J925" s="68"/>
      <c r="K925" s="68"/>
      <c r="L925" s="68"/>
      <c r="M925" s="68"/>
      <c r="N925" s="47"/>
    </row>
    <row r="926" spans="1:14" x14ac:dyDescent="0.2">
      <c r="J926" s="68"/>
      <c r="K926" s="68"/>
      <c r="L926" s="68"/>
      <c r="M926" s="68"/>
      <c r="N926" s="47"/>
    </row>
    <row r="927" spans="1:14" x14ac:dyDescent="0.2">
      <c r="J927" s="68"/>
      <c r="K927" s="68"/>
      <c r="L927" s="68"/>
      <c r="M927" s="68"/>
      <c r="N927" s="47"/>
    </row>
    <row r="928" spans="1:14" x14ac:dyDescent="0.2">
      <c r="J928" s="68"/>
      <c r="K928" s="68"/>
      <c r="L928" s="68"/>
      <c r="M928" s="68"/>
      <c r="N928" s="47"/>
    </row>
    <row r="929" spans="1:14" x14ac:dyDescent="0.2">
      <c r="J929" s="68"/>
      <c r="K929" s="68"/>
      <c r="L929" s="68"/>
      <c r="M929" s="68"/>
      <c r="N929" s="47"/>
    </row>
    <row r="930" spans="1:14" x14ac:dyDescent="0.2">
      <c r="J930" s="68"/>
      <c r="K930" s="68"/>
      <c r="L930" s="68"/>
      <c r="M930" s="68"/>
      <c r="N930" s="47"/>
    </row>
    <row r="931" spans="1:14" x14ac:dyDescent="0.2">
      <c r="J931" s="68"/>
      <c r="K931" s="68"/>
      <c r="L931" s="68"/>
      <c r="M931" s="68"/>
      <c r="N931" s="47"/>
    </row>
    <row r="932" spans="1:14" x14ac:dyDescent="0.2">
      <c r="J932" s="68"/>
      <c r="K932" s="68"/>
      <c r="L932" s="68"/>
      <c r="M932" s="68"/>
      <c r="N932" s="47"/>
    </row>
    <row r="933" spans="1:14" x14ac:dyDescent="0.2">
      <c r="J933" s="68"/>
      <c r="K933" s="68"/>
      <c r="L933" s="68"/>
      <c r="M933" s="68"/>
      <c r="N933" s="47"/>
    </row>
    <row r="934" spans="1:14" x14ac:dyDescent="0.2">
      <c r="J934" s="68"/>
      <c r="K934" s="68"/>
      <c r="L934" s="68"/>
      <c r="M934" s="68"/>
      <c r="N934" s="47"/>
    </row>
    <row r="935" spans="1:14" x14ac:dyDescent="0.2">
      <c r="J935" s="68"/>
      <c r="K935" s="68"/>
      <c r="L935" s="68"/>
      <c r="M935" s="68"/>
      <c r="N935" s="47"/>
    </row>
    <row r="936" spans="1:14" x14ac:dyDescent="0.2">
      <c r="J936" s="68"/>
      <c r="K936" s="68"/>
      <c r="L936" s="68"/>
      <c r="M936" s="68"/>
      <c r="N936" s="47"/>
    </row>
    <row r="937" spans="1:14" x14ac:dyDescent="0.2">
      <c r="J937" s="68"/>
      <c r="K937" s="68"/>
      <c r="L937" s="68"/>
      <c r="M937" s="68"/>
      <c r="N937" s="47"/>
    </row>
    <row r="938" spans="1:14" ht="13.5" thickBot="1" x14ac:dyDescent="0.25"/>
    <row r="939" spans="1:14" x14ac:dyDescent="0.2">
      <c r="A939" s="20"/>
      <c r="B939" s="21"/>
      <c r="C939" s="21"/>
      <c r="D939" s="21"/>
      <c r="E939" s="22"/>
      <c r="F939" s="22"/>
      <c r="G939" s="22"/>
      <c r="H939" s="22"/>
      <c r="I939" s="22"/>
      <c r="J939" s="22"/>
      <c r="K939" s="22"/>
      <c r="L939" s="22"/>
      <c r="M939" s="22"/>
      <c r="N939" s="23"/>
    </row>
    <row r="940" spans="1:14" ht="15" x14ac:dyDescent="0.2">
      <c r="A940" s="24"/>
      <c r="B940" s="413" t="s">
        <v>380</v>
      </c>
      <c r="C940" s="414"/>
      <c r="D940" s="414"/>
      <c r="E940" s="414"/>
      <c r="F940" s="414"/>
      <c r="G940" s="414"/>
      <c r="H940" s="414"/>
      <c r="I940" s="414"/>
      <c r="J940" s="414"/>
      <c r="K940" s="414"/>
      <c r="L940" s="414"/>
      <c r="M940" s="415"/>
      <c r="N940" s="25" t="s">
        <v>664</v>
      </c>
    </row>
    <row r="941" spans="1:14" x14ac:dyDescent="0.2">
      <c r="A941" s="24"/>
      <c r="B941" s="26" t="s">
        <v>428</v>
      </c>
      <c r="C941" s="15" t="s">
        <v>381</v>
      </c>
      <c r="N941" s="27"/>
    </row>
    <row r="942" spans="1:14" x14ac:dyDescent="0.2">
      <c r="A942" s="24"/>
      <c r="B942" s="26" t="s">
        <v>429</v>
      </c>
      <c r="C942" s="15" t="s">
        <v>382</v>
      </c>
      <c r="N942" s="27"/>
    </row>
    <row r="943" spans="1:14" x14ac:dyDescent="0.2">
      <c r="A943" s="24"/>
      <c r="B943" s="26" t="s">
        <v>427</v>
      </c>
      <c r="C943" s="409" t="s">
        <v>466</v>
      </c>
      <c r="D943" s="409"/>
      <c r="E943" s="409"/>
      <c r="F943" s="409"/>
      <c r="G943" s="409"/>
      <c r="H943" s="409"/>
      <c r="I943" s="409"/>
      <c r="J943" s="409"/>
      <c r="K943" s="409"/>
      <c r="L943" s="409"/>
      <c r="M943" s="409"/>
      <c r="N943" s="410"/>
    </row>
    <row r="944" spans="1:14" x14ac:dyDescent="0.2">
      <c r="A944" s="24"/>
      <c r="B944" s="26"/>
      <c r="C944" s="409"/>
      <c r="D944" s="409"/>
      <c r="E944" s="409"/>
      <c r="F944" s="409"/>
      <c r="G944" s="409"/>
      <c r="H944" s="409"/>
      <c r="I944" s="409"/>
      <c r="J944" s="409"/>
      <c r="K944" s="409"/>
      <c r="L944" s="409"/>
      <c r="M944" s="409"/>
      <c r="N944" s="410"/>
    </row>
    <row r="945" spans="1:14" x14ac:dyDescent="0.2">
      <c r="A945" s="24"/>
      <c r="C945" s="409"/>
      <c r="D945" s="409"/>
      <c r="E945" s="409"/>
      <c r="F945" s="409"/>
      <c r="G945" s="409"/>
      <c r="H945" s="409"/>
      <c r="I945" s="409"/>
      <c r="J945" s="409"/>
      <c r="K945" s="409"/>
      <c r="L945" s="409"/>
      <c r="M945" s="409"/>
      <c r="N945" s="410"/>
    </row>
    <row r="946" spans="1:14" x14ac:dyDescent="0.2">
      <c r="A946" s="24"/>
      <c r="B946" s="26" t="s">
        <v>426</v>
      </c>
      <c r="N946" s="27"/>
    </row>
    <row r="947" spans="1:14" ht="13.5" thickBot="1" x14ac:dyDescent="0.25">
      <c r="A947" s="28"/>
      <c r="B947" s="43" t="s">
        <v>430</v>
      </c>
      <c r="C947" s="29"/>
      <c r="D947" s="29"/>
      <c r="E947" s="30"/>
      <c r="F947" s="30"/>
      <c r="G947" s="30"/>
      <c r="H947" s="30"/>
      <c r="I947" s="30"/>
      <c r="J947" s="30"/>
      <c r="K947" s="30"/>
      <c r="L947" s="30"/>
      <c r="M947" s="30"/>
      <c r="N947" s="31"/>
    </row>
    <row r="948" spans="1:14" ht="13.5" thickBot="1" x14ac:dyDescent="0.25">
      <c r="A948" s="28"/>
      <c r="B948" s="49" t="s">
        <v>263</v>
      </c>
      <c r="C948" s="29"/>
      <c r="D948" s="29"/>
      <c r="E948" s="30"/>
      <c r="F948" s="30"/>
      <c r="G948" s="30"/>
      <c r="H948" s="30"/>
      <c r="I948" s="30"/>
      <c r="J948" s="30"/>
      <c r="K948" s="30"/>
      <c r="L948" s="30" t="s">
        <v>2092</v>
      </c>
      <c r="M948" s="30"/>
      <c r="N948" s="31"/>
    </row>
    <row r="949" spans="1:14" ht="13.5" thickBot="1" x14ac:dyDescent="0.25">
      <c r="A949" s="28"/>
      <c r="B949" s="49" t="s">
        <v>263</v>
      </c>
      <c r="C949" s="29"/>
      <c r="D949" s="29"/>
      <c r="E949" s="30"/>
      <c r="F949" s="30"/>
      <c r="G949" s="30"/>
      <c r="H949" s="30"/>
      <c r="I949" s="30"/>
      <c r="J949" s="44" t="s">
        <v>2090</v>
      </c>
      <c r="K949" s="36" t="s">
        <v>2091</v>
      </c>
      <c r="L949" s="36" t="s">
        <v>612</v>
      </c>
      <c r="M949" s="36" t="s">
        <v>123</v>
      </c>
      <c r="N949" s="36"/>
    </row>
    <row r="950" spans="1:14" x14ac:dyDescent="0.2">
      <c r="A950" s="20"/>
      <c r="B950" s="412" t="s">
        <v>67</v>
      </c>
      <c r="C950" s="412"/>
      <c r="D950" s="412"/>
      <c r="E950" s="22"/>
      <c r="F950" s="22" t="s">
        <v>1180</v>
      </c>
      <c r="G950" s="22" t="s">
        <v>68</v>
      </c>
      <c r="H950" s="22" t="s">
        <v>702</v>
      </c>
      <c r="I950" s="22"/>
      <c r="J950" s="65">
        <f>59.6/O1*O2</f>
        <v>121.63265306122449</v>
      </c>
      <c r="K950" s="65">
        <f>82.5/O1*O2</f>
        <v>168.36734693877551</v>
      </c>
      <c r="L950" s="47">
        <f>92/O1*O2</f>
        <v>187.75510204081633</v>
      </c>
      <c r="M950" s="38">
        <f>90/O1*O2</f>
        <v>183.67346938775512</v>
      </c>
      <c r="N950" s="38"/>
    </row>
    <row r="951" spans="1:14" x14ac:dyDescent="0.2">
      <c r="A951" s="24"/>
      <c r="B951" s="411" t="s">
        <v>67</v>
      </c>
      <c r="C951" s="411"/>
      <c r="D951" s="411"/>
      <c r="F951" s="16" t="s">
        <v>1181</v>
      </c>
      <c r="G951" s="16" t="s">
        <v>68</v>
      </c>
      <c r="H951" s="16" t="s">
        <v>702</v>
      </c>
      <c r="J951" s="66">
        <f>32.5/O1*O2</f>
        <v>66.326530612244895</v>
      </c>
      <c r="K951" s="66">
        <f>46.5/O1*O2</f>
        <v>94.897959183673464</v>
      </c>
      <c r="L951" s="40">
        <f>59/O1*O2</f>
        <v>120.40816326530613</v>
      </c>
      <c r="M951" s="40">
        <f>57/O1*O2</f>
        <v>116.32653061224489</v>
      </c>
      <c r="N951" s="40"/>
    </row>
    <row r="952" spans="1:14" x14ac:dyDescent="0.2">
      <c r="A952" s="24"/>
      <c r="B952" s="15" t="s">
        <v>67</v>
      </c>
      <c r="F952" s="16" t="s">
        <v>1182</v>
      </c>
      <c r="G952" s="16" t="s">
        <v>68</v>
      </c>
      <c r="H952" s="16" t="s">
        <v>702</v>
      </c>
      <c r="J952" s="66">
        <f>29.5/O1*O2</f>
        <v>60.204081632653065</v>
      </c>
      <c r="K952" s="66">
        <f>37.9/O1*O2</f>
        <v>77.346938775510196</v>
      </c>
      <c r="L952" s="40">
        <f>46/O1*O2</f>
        <v>93.877551020408163</v>
      </c>
      <c r="M952" s="40">
        <f>42/O1*O2</f>
        <v>85.714285714285722</v>
      </c>
      <c r="N952" s="40"/>
    </row>
    <row r="953" spans="1:14" ht="13.5" thickBot="1" x14ac:dyDescent="0.25">
      <c r="A953" s="28"/>
      <c r="B953" s="418"/>
      <c r="C953" s="418"/>
      <c r="D953" s="418"/>
      <c r="E953" s="30"/>
      <c r="F953" s="30"/>
      <c r="G953" s="30"/>
      <c r="H953" s="30"/>
      <c r="I953" s="30"/>
      <c r="J953" s="67"/>
      <c r="K953" s="67"/>
      <c r="L953" s="42"/>
      <c r="M953" s="42"/>
      <c r="N953" s="42"/>
    </row>
    <row r="954" spans="1:14" ht="13.5" thickBot="1" x14ac:dyDescent="0.25">
      <c r="J954" s="68"/>
      <c r="K954" s="68"/>
      <c r="L954" s="68"/>
      <c r="M954" s="68"/>
      <c r="N954" s="47"/>
    </row>
    <row r="955" spans="1:14" x14ac:dyDescent="0.2">
      <c r="A955" s="20"/>
      <c r="B955" s="21"/>
      <c r="C955" s="21"/>
      <c r="D955" s="21"/>
      <c r="E955" s="22"/>
      <c r="F955" s="22"/>
      <c r="G955" s="22"/>
      <c r="H955" s="22"/>
      <c r="I955" s="22"/>
      <c r="J955" s="22"/>
      <c r="K955" s="22"/>
      <c r="L955" s="22"/>
      <c r="M955" s="22"/>
      <c r="N955" s="23"/>
    </row>
    <row r="956" spans="1:14" ht="15" x14ac:dyDescent="0.2">
      <c r="A956" s="24"/>
      <c r="B956" s="413" t="s">
        <v>416</v>
      </c>
      <c r="C956" s="414"/>
      <c r="D956" s="414"/>
      <c r="E956" s="414"/>
      <c r="F956" s="414"/>
      <c r="G956" s="414"/>
      <c r="H956" s="414"/>
      <c r="I956" s="414"/>
      <c r="J956" s="414"/>
      <c r="K956" s="414"/>
      <c r="L956" s="414"/>
      <c r="M956" s="415"/>
      <c r="N956" s="25" t="s">
        <v>664</v>
      </c>
    </row>
    <row r="957" spans="1:14" x14ac:dyDescent="0.2">
      <c r="A957" s="24"/>
      <c r="B957" s="26" t="s">
        <v>428</v>
      </c>
      <c r="C957" s="15" t="s">
        <v>417</v>
      </c>
      <c r="N957" s="27"/>
    </row>
    <row r="958" spans="1:14" x14ac:dyDescent="0.2">
      <c r="A958" s="24"/>
      <c r="B958" s="26" t="s">
        <v>429</v>
      </c>
      <c r="C958" s="15" t="s">
        <v>418</v>
      </c>
      <c r="N958" s="27"/>
    </row>
    <row r="959" spans="1:14" x14ac:dyDescent="0.2">
      <c r="A959" s="24"/>
      <c r="B959" s="26" t="s">
        <v>427</v>
      </c>
      <c r="C959" s="409" t="s">
        <v>467</v>
      </c>
      <c r="D959" s="409"/>
      <c r="E959" s="409"/>
      <c r="F959" s="409"/>
      <c r="G959" s="409"/>
      <c r="H959" s="409"/>
      <c r="I959" s="409"/>
      <c r="J959" s="409"/>
      <c r="K959" s="409"/>
      <c r="L959" s="409"/>
      <c r="M959" s="409"/>
      <c r="N959" s="410"/>
    </row>
    <row r="960" spans="1:14" x14ac:dyDescent="0.2">
      <c r="A960" s="24"/>
      <c r="B960" s="26"/>
      <c r="C960" s="409"/>
      <c r="D960" s="409"/>
      <c r="E960" s="409"/>
      <c r="F960" s="409"/>
      <c r="G960" s="409"/>
      <c r="H960" s="409"/>
      <c r="I960" s="409"/>
      <c r="J960" s="409"/>
      <c r="K960" s="409"/>
      <c r="L960" s="409"/>
      <c r="M960" s="409"/>
      <c r="N960" s="410"/>
    </row>
    <row r="961" spans="1:14" x14ac:dyDescent="0.2">
      <c r="A961" s="24"/>
      <c r="B961" s="26"/>
      <c r="C961" s="409"/>
      <c r="D961" s="409"/>
      <c r="E961" s="409"/>
      <c r="F961" s="409"/>
      <c r="G961" s="409"/>
      <c r="H961" s="409"/>
      <c r="I961" s="409"/>
      <c r="J961" s="409"/>
      <c r="K961" s="409"/>
      <c r="L961" s="409"/>
      <c r="M961" s="409"/>
      <c r="N961" s="410"/>
    </row>
    <row r="962" spans="1:14" x14ac:dyDescent="0.2">
      <c r="A962" s="24"/>
      <c r="C962" s="409"/>
      <c r="D962" s="409"/>
      <c r="E962" s="409"/>
      <c r="F962" s="409"/>
      <c r="G962" s="409"/>
      <c r="H962" s="409"/>
      <c r="I962" s="409"/>
      <c r="J962" s="409"/>
      <c r="K962" s="409"/>
      <c r="L962" s="409"/>
      <c r="M962" s="409"/>
      <c r="N962" s="410"/>
    </row>
    <row r="963" spans="1:14" x14ac:dyDescent="0.2">
      <c r="A963" s="24"/>
      <c r="B963" s="26" t="s">
        <v>426</v>
      </c>
      <c r="N963" s="27"/>
    </row>
    <row r="964" spans="1:14" ht="13.5" thickBot="1" x14ac:dyDescent="0.25">
      <c r="A964" s="28"/>
      <c r="B964" s="43" t="s">
        <v>430</v>
      </c>
      <c r="C964" s="29"/>
      <c r="D964" s="29"/>
      <c r="E964" s="30"/>
      <c r="F964" s="30"/>
      <c r="G964" s="30"/>
      <c r="H964" s="30"/>
      <c r="I964" s="30"/>
      <c r="J964" s="30"/>
      <c r="K964" s="30"/>
      <c r="L964" s="30"/>
      <c r="M964" s="30"/>
      <c r="N964" s="31"/>
    </row>
    <row r="965" spans="1:14" ht="13.5" thickBot="1" x14ac:dyDescent="0.25">
      <c r="A965" s="28"/>
      <c r="B965" s="49" t="s">
        <v>263</v>
      </c>
      <c r="C965" s="29"/>
      <c r="D965" s="29"/>
      <c r="E965" s="30"/>
      <c r="F965" s="30"/>
      <c r="G965" s="30"/>
      <c r="H965" s="30"/>
      <c r="I965" s="30"/>
      <c r="J965" s="44" t="s">
        <v>229</v>
      </c>
      <c r="K965" s="36"/>
      <c r="L965" s="36"/>
      <c r="M965" s="36"/>
      <c r="N965" s="36"/>
    </row>
    <row r="966" spans="1:14" x14ac:dyDescent="0.2">
      <c r="A966" s="20"/>
      <c r="B966" s="412" t="s">
        <v>67</v>
      </c>
      <c r="C966" s="412"/>
      <c r="D966" s="412"/>
      <c r="E966" s="22"/>
      <c r="F966" s="22" t="s">
        <v>1180</v>
      </c>
      <c r="G966" s="22" t="s">
        <v>68</v>
      </c>
      <c r="H966" s="22" t="s">
        <v>702</v>
      </c>
      <c r="I966" s="22"/>
      <c r="J966" s="65">
        <f>55.5/O1*O2</f>
        <v>113.26530612244898</v>
      </c>
      <c r="K966" s="38"/>
      <c r="L966" s="47"/>
      <c r="M966" s="38"/>
      <c r="N966" s="38"/>
    </row>
    <row r="967" spans="1:14" x14ac:dyDescent="0.2">
      <c r="A967" s="24"/>
      <c r="B967" s="411" t="s">
        <v>67</v>
      </c>
      <c r="C967" s="411"/>
      <c r="D967" s="411"/>
      <c r="F967" s="16" t="s">
        <v>1181</v>
      </c>
      <c r="G967" s="16" t="s">
        <v>68</v>
      </c>
      <c r="H967" s="16" t="s">
        <v>702</v>
      </c>
      <c r="J967" s="66">
        <f>31.5/O1*O2</f>
        <v>64.285714285714292</v>
      </c>
      <c r="K967" s="40"/>
      <c r="L967" s="40"/>
      <c r="M967" s="40"/>
      <c r="N967" s="40"/>
    </row>
    <row r="968" spans="1:14" ht="13.5" thickBot="1" x14ac:dyDescent="0.25">
      <c r="A968" s="28"/>
      <c r="B968" s="418" t="s">
        <v>67</v>
      </c>
      <c r="C968" s="418"/>
      <c r="D968" s="418"/>
      <c r="E968" s="30"/>
      <c r="F968" s="30" t="s">
        <v>1182</v>
      </c>
      <c r="G968" s="30" t="s">
        <v>68</v>
      </c>
      <c r="H968" s="30" t="s">
        <v>702</v>
      </c>
      <c r="I968" s="30"/>
      <c r="J968" s="67">
        <f>23/O1*O2</f>
        <v>46.938775510204081</v>
      </c>
      <c r="K968" s="42"/>
      <c r="L968" s="42"/>
      <c r="M968" s="42"/>
      <c r="N968" s="42"/>
    </row>
    <row r="970" spans="1:14" x14ac:dyDescent="0.2">
      <c r="J970" s="68"/>
      <c r="K970" s="68"/>
      <c r="L970" s="68"/>
      <c r="M970" s="68"/>
      <c r="N970" s="47"/>
    </row>
    <row r="971" spans="1:14" x14ac:dyDescent="0.2">
      <c r="J971" s="68"/>
      <c r="K971" s="68"/>
      <c r="L971" s="68"/>
      <c r="M971" s="68"/>
      <c r="N971" s="47"/>
    </row>
    <row r="972" spans="1:14" x14ac:dyDescent="0.2">
      <c r="J972" s="68"/>
      <c r="K972" s="68"/>
      <c r="L972" s="68"/>
      <c r="M972" s="68"/>
      <c r="N972" s="47"/>
    </row>
    <row r="973" spans="1:14" x14ac:dyDescent="0.2">
      <c r="J973" s="68"/>
      <c r="K973" s="68"/>
      <c r="L973" s="68"/>
      <c r="M973" s="68"/>
      <c r="N973" s="47"/>
    </row>
    <row r="974" spans="1:14" x14ac:dyDescent="0.2">
      <c r="J974" s="68"/>
      <c r="K974" s="68"/>
      <c r="L974" s="68"/>
      <c r="M974" s="68"/>
      <c r="N974" s="47"/>
    </row>
    <row r="975" spans="1:14" x14ac:dyDescent="0.2">
      <c r="J975" s="68"/>
      <c r="K975" s="68"/>
      <c r="L975" s="68"/>
      <c r="M975" s="68"/>
      <c r="N975" s="47"/>
    </row>
    <row r="976" spans="1:14" x14ac:dyDescent="0.2">
      <c r="J976" s="68"/>
      <c r="K976" s="68"/>
      <c r="L976" s="68"/>
      <c r="M976" s="68"/>
      <c r="N976" s="47"/>
    </row>
    <row r="977" spans="10:14" x14ac:dyDescent="0.2">
      <c r="J977" s="68"/>
      <c r="K977" s="68"/>
      <c r="L977" s="68"/>
      <c r="M977" s="68"/>
      <c r="N977" s="47"/>
    </row>
    <row r="978" spans="10:14" x14ac:dyDescent="0.2">
      <c r="J978" s="68"/>
      <c r="K978" s="68"/>
      <c r="L978" s="68"/>
      <c r="M978" s="68"/>
      <c r="N978" s="47"/>
    </row>
    <row r="979" spans="10:14" x14ac:dyDescent="0.2">
      <c r="J979" s="68"/>
      <c r="K979" s="68"/>
      <c r="L979" s="68"/>
      <c r="M979" s="68"/>
      <c r="N979" s="47"/>
    </row>
    <row r="980" spans="10:14" x14ac:dyDescent="0.2">
      <c r="J980" s="68"/>
      <c r="K980" s="68"/>
      <c r="L980" s="68"/>
      <c r="M980" s="68"/>
      <c r="N980" s="47"/>
    </row>
    <row r="981" spans="10:14" x14ac:dyDescent="0.2">
      <c r="J981" s="68"/>
      <c r="K981" s="68"/>
      <c r="L981" s="68"/>
      <c r="M981" s="68"/>
      <c r="N981" s="47"/>
    </row>
    <row r="982" spans="10:14" x14ac:dyDescent="0.2">
      <c r="J982" s="68"/>
      <c r="K982" s="68"/>
      <c r="L982" s="68"/>
      <c r="M982" s="68"/>
      <c r="N982" s="47"/>
    </row>
  </sheetData>
  <customSheetViews>
    <customSheetView guid="{95D45CB7-1E39-11D6-AFD7-008048E20DDD}" showRuler="0">
      <selection activeCell="P2" sqref="P2"/>
      <pageMargins left="0" right="0" top="0" bottom="0" header="0.19685039370078741" footer="0.19685039370078741"/>
      <pageSetup paperSize="9" orientation="portrait" r:id="rId1"/>
      <headerFooter alignWithMargins="0"/>
    </customSheetView>
    <customSheetView guid="{777CFE61-6F99-11D9-974B-0050BFD074B6}" printArea="1" hiddenRows="1" hiddenColumns="1" showRuler="0">
      <selection activeCell="K14" sqref="K14:N18"/>
      <pageMargins left="0" right="0" top="0" bottom="0" header="0.19685039370078741" footer="0.19685039370078741"/>
      <pageSetup paperSize="9" orientation="portrait" horizontalDpi="300" verticalDpi="300" r:id="rId2"/>
      <headerFooter alignWithMargins="0"/>
    </customSheetView>
    <customSheetView guid="{3C76061C-A85D-4390-B9DB-73E13038638C}" showPageBreaks="1" showGridLines="0" view="pageLayout" topLeftCell="A73">
      <selection activeCell="M51" sqref="M51"/>
      <rowBreaks count="13" manualBreakCount="13">
        <brk id="31" max="14" man="1"/>
        <brk id="69" max="16383" man="1"/>
        <brk id="185" max="13" man="1"/>
        <brk id="281" max="16383" man="1"/>
        <brk id="331" max="16383" man="1"/>
        <brk id="370" max="16383" man="1"/>
        <brk id="428" max="16383" man="1"/>
        <brk id="480" max="16383" man="1"/>
        <brk id="705" max="16383" man="1"/>
        <brk id="813" max="16383" man="1"/>
        <brk id="846" max="13" man="1"/>
        <brk id="879" max="16383" man="1"/>
        <brk id="982" max="16383" man="1"/>
      </rowBreaks>
      <pageMargins left="0.28125" right="0.25" top="0.6692913385826772" bottom="0.70866141732283472" header="0.23622047244094491" footer="0.47244094488188981"/>
      <printOptions horizontalCentered="1"/>
      <pageSetup paperSize="9" orientation="portrait" useFirstPageNumber="1" horizontalDpi="300" verticalDpi="300" r:id="rId3"/>
      <headerFooter scaleWithDoc="0" alignWithMargins="0">
        <oddHeader>&amp;C TARIFF 2019
 (EURO)
Accommodation in &amp;A</oddHeader>
        <oddFooter>&amp;LAll rates are in EURO&amp;C
TARIFF 2019
&amp;RPage &amp;P</oddFooter>
      </headerFooter>
    </customSheetView>
  </customSheetViews>
  <mergeCells count="298">
    <mergeCell ref="B791:D791"/>
    <mergeCell ref="B741:D741"/>
    <mergeCell ref="B526:D526"/>
    <mergeCell ref="B525:D525"/>
    <mergeCell ref="B215:D215"/>
    <mergeCell ref="C74:N78"/>
    <mergeCell ref="B141:D141"/>
    <mergeCell ref="B417:D417"/>
    <mergeCell ref="B418:D418"/>
    <mergeCell ref="B767:M767"/>
    <mergeCell ref="B625:D625"/>
    <mergeCell ref="B640:D640"/>
    <mergeCell ref="B711:M711"/>
    <mergeCell ref="B685:D685"/>
    <mergeCell ref="B203:M203"/>
    <mergeCell ref="B314:D314"/>
    <mergeCell ref="B326:D326"/>
    <mergeCell ref="B214:D214"/>
    <mergeCell ref="B317:M317"/>
    <mergeCell ref="B303:M303"/>
    <mergeCell ref="B285:M285"/>
    <mergeCell ref="B198:D198"/>
    <mergeCell ref="B100:D100"/>
    <mergeCell ref="B142:D142"/>
    <mergeCell ref="B812:D812"/>
    <mergeCell ref="B585:D585"/>
    <mergeCell ref="B740:D740"/>
    <mergeCell ref="C338:N339"/>
    <mergeCell ref="B688:D688"/>
    <mergeCell ref="C800:N805"/>
    <mergeCell ref="B723:D723"/>
    <mergeCell ref="B797:M797"/>
    <mergeCell ref="B779:D779"/>
    <mergeCell ref="C604:N605"/>
    <mergeCell ref="C714:N716"/>
    <mergeCell ref="C731:N734"/>
    <mergeCell ref="B657:M657"/>
    <mergeCell ref="C748:N750"/>
    <mergeCell ref="B777:D777"/>
    <mergeCell ref="B722:D722"/>
    <mergeCell ref="B670:D670"/>
    <mergeCell ref="B704:D704"/>
    <mergeCell ref="B528:D528"/>
    <mergeCell ref="C502:N505"/>
    <mergeCell ref="B496:D496"/>
    <mergeCell ref="C410:N411"/>
    <mergeCell ref="B527:D527"/>
    <mergeCell ref="B484:M484"/>
    <mergeCell ref="C43:N46"/>
    <mergeCell ref="C8:N9"/>
    <mergeCell ref="B745:M745"/>
    <mergeCell ref="B755:D755"/>
    <mergeCell ref="B31:D31"/>
    <mergeCell ref="C23:N25"/>
    <mergeCell ref="B84:D84"/>
    <mergeCell ref="B183:D183"/>
    <mergeCell ref="B87:M87"/>
    <mergeCell ref="B83:D83"/>
    <mergeCell ref="B363:D363"/>
    <mergeCell ref="B345:D345"/>
    <mergeCell ref="B350:M350"/>
    <mergeCell ref="B347:D347"/>
    <mergeCell ref="B328:D328"/>
    <mergeCell ref="B344:D344"/>
    <mergeCell ref="B362:D362"/>
    <mergeCell ref="C353:N358"/>
    <mergeCell ref="B335:M335"/>
    <mergeCell ref="B275:D275"/>
    <mergeCell ref="C320:N321"/>
    <mergeCell ref="B67:D67"/>
    <mergeCell ref="B164:D164"/>
    <mergeCell ref="B165:D165"/>
    <mergeCell ref="B199:D199"/>
    <mergeCell ref="B182:D182"/>
    <mergeCell ref="C191:N193"/>
    <mergeCell ref="B134:M134"/>
    <mergeCell ref="C137:N138"/>
    <mergeCell ref="B234:D234"/>
    <mergeCell ref="B298:D298"/>
    <mergeCell ref="B246:M246"/>
    <mergeCell ref="C149:N150"/>
    <mergeCell ref="B200:D200"/>
    <mergeCell ref="B261:M261"/>
    <mergeCell ref="B274:D274"/>
    <mergeCell ref="C264:N267"/>
    <mergeCell ref="B297:D297"/>
    <mergeCell ref="C249:N251"/>
    <mergeCell ref="B71:M71"/>
    <mergeCell ref="C151:N157"/>
    <mergeCell ref="B188:M188"/>
    <mergeCell ref="B163:D163"/>
    <mergeCell ref="B162:D162"/>
    <mergeCell ref="B143:D143"/>
    <mergeCell ref="B99:D99"/>
    <mergeCell ref="C171:N174"/>
    <mergeCell ref="B180:D180"/>
    <mergeCell ref="B181:D181"/>
    <mergeCell ref="B97:D97"/>
    <mergeCell ref="C90:N92"/>
    <mergeCell ref="B98:D98"/>
    <mergeCell ref="B144:D144"/>
    <mergeCell ref="B147:M147"/>
    <mergeCell ref="B103:M103"/>
    <mergeCell ref="C106:N107"/>
    <mergeCell ref="B112:D112"/>
    <mergeCell ref="B114:D114"/>
    <mergeCell ref="B168:M168"/>
    <mergeCell ref="B82:D82"/>
    <mergeCell ref="B2:M2"/>
    <mergeCell ref="B5:M5"/>
    <mergeCell ref="B68:D68"/>
    <mergeCell ref="C224:N227"/>
    <mergeCell ref="B221:M221"/>
    <mergeCell ref="B216:D216"/>
    <mergeCell ref="B217:D217"/>
    <mergeCell ref="B231:D231"/>
    <mergeCell ref="B111:D111"/>
    <mergeCell ref="B29:D29"/>
    <mergeCell ref="B14:D14"/>
    <mergeCell ref="B15:D15"/>
    <mergeCell ref="B16:D16"/>
    <mergeCell ref="B28:D28"/>
    <mergeCell ref="B20:M20"/>
    <mergeCell ref="B40:M40"/>
    <mergeCell ref="B54:D54"/>
    <mergeCell ref="C60:N62"/>
    <mergeCell ref="B66:D66"/>
    <mergeCell ref="B57:M57"/>
    <mergeCell ref="B51:D51"/>
    <mergeCell ref="B52:D52"/>
    <mergeCell ref="B53:D53"/>
    <mergeCell ref="B65:D65"/>
    <mergeCell ref="C393:N396"/>
    <mergeCell ref="B233:D233"/>
    <mergeCell ref="C206:N209"/>
    <mergeCell ref="C288:N291"/>
    <mergeCell ref="B276:D276"/>
    <mergeCell ref="B232:D232"/>
    <mergeCell ref="B390:M390"/>
    <mergeCell ref="B258:D258"/>
    <mergeCell ref="C377:N378"/>
    <mergeCell ref="B273:D273"/>
    <mergeCell ref="B346:D346"/>
    <mergeCell ref="C306:N308"/>
    <mergeCell ref="B313:D313"/>
    <mergeCell ref="B257:D257"/>
    <mergeCell ref="B256:D256"/>
    <mergeCell ref="B383:D383"/>
    <mergeCell ref="B296:D296"/>
    <mergeCell ref="B385:D385"/>
    <mergeCell ref="B601:M601"/>
    <mergeCell ref="B612:D612"/>
    <mergeCell ref="B374:M374"/>
    <mergeCell ref="B327:D327"/>
    <mergeCell ref="B443:D443"/>
    <mergeCell ref="C463:N465"/>
    <mergeCell ref="B446:M446"/>
    <mergeCell ref="C449:N450"/>
    <mergeCell ref="B404:D404"/>
    <mergeCell ref="B432:M432"/>
    <mergeCell ref="B442:D442"/>
    <mergeCell ref="B387:D387"/>
    <mergeCell ref="B407:M407"/>
    <mergeCell ref="B610:D610"/>
    <mergeCell ref="B567:D567"/>
    <mergeCell ref="B609:D609"/>
    <mergeCell ref="B401:D401"/>
    <mergeCell ref="B456:D456"/>
    <mergeCell ref="B441:D441"/>
    <mergeCell ref="B471:D471"/>
    <mergeCell ref="B402:D402"/>
    <mergeCell ref="B419:D419"/>
    <mergeCell ref="B416:D416"/>
    <mergeCell ref="B384:D384"/>
    <mergeCell ref="C770:N772"/>
    <mergeCell ref="B780:D780"/>
    <mergeCell ref="B631:M631"/>
    <mergeCell ref="B584:D584"/>
    <mergeCell ref="B510:D510"/>
    <mergeCell ref="B643:D643"/>
    <mergeCell ref="B686:D686"/>
    <mergeCell ref="B674:M674"/>
    <mergeCell ref="B472:D472"/>
    <mergeCell ref="B570:D570"/>
    <mergeCell ref="B573:M573"/>
    <mergeCell ref="C576:N578"/>
    <mergeCell ref="B669:D669"/>
    <mergeCell ref="B499:M499"/>
    <mergeCell ref="B511:D511"/>
    <mergeCell ref="B626:D626"/>
    <mergeCell ref="B756:D756"/>
    <mergeCell ref="B758:D758"/>
    <mergeCell ref="B642:D642"/>
    <mergeCell ref="C618:N619"/>
    <mergeCell ref="B615:M615"/>
    <mergeCell ref="C677:N680"/>
    <mergeCell ref="B641:D641"/>
    <mergeCell ref="C634:N635"/>
    <mergeCell ref="B967:D967"/>
    <mergeCell ref="B956:M956"/>
    <mergeCell ref="C959:N962"/>
    <mergeCell ref="C899:N901"/>
    <mergeCell ref="B921:D921"/>
    <mergeCell ref="B817:M817"/>
    <mergeCell ref="B844:D844"/>
    <mergeCell ref="B966:D966"/>
    <mergeCell ref="B910:M910"/>
    <mergeCell ref="B861:D861"/>
    <mergeCell ref="B951:D951"/>
    <mergeCell ref="B940:M940"/>
    <mergeCell ref="C943:N945"/>
    <mergeCell ref="B922:D922"/>
    <mergeCell ref="B920:D920"/>
    <mergeCell ref="B950:D950"/>
    <mergeCell ref="B876:D876"/>
    <mergeCell ref="B904:D904"/>
    <mergeCell ref="B905:D905"/>
    <mergeCell ref="B877:D877"/>
    <mergeCell ref="B827:D827"/>
    <mergeCell ref="B826:D826"/>
    <mergeCell ref="B875:D875"/>
    <mergeCell ref="B862:D862"/>
    <mergeCell ref="B892:D892"/>
    <mergeCell ref="C868:N871"/>
    <mergeCell ref="B883:M883"/>
    <mergeCell ref="B865:M865"/>
    <mergeCell ref="B919:D919"/>
    <mergeCell ref="B918:D918"/>
    <mergeCell ref="C913:N914"/>
    <mergeCell ref="B907:D907"/>
    <mergeCell ref="B896:M896"/>
    <mergeCell ref="B968:D968"/>
    <mergeCell ref="B953:D953"/>
    <mergeCell ref="B703:D703"/>
    <mergeCell ref="B587:D587"/>
    <mergeCell ref="B891:D891"/>
    <mergeCell ref="C886:N887"/>
    <mergeCell ref="B832:M832"/>
    <mergeCell ref="B850:M850"/>
    <mergeCell ref="B859:D859"/>
    <mergeCell ref="B702:D702"/>
    <mergeCell ref="B828:D828"/>
    <mergeCell ref="B778:D778"/>
    <mergeCell ref="B724:D724"/>
    <mergeCell ref="B691:M691"/>
    <mergeCell ref="B860:D860"/>
    <mergeCell ref="C853:N855"/>
    <mergeCell ref="B842:D842"/>
    <mergeCell ref="B794:D794"/>
    <mergeCell ref="B792:D792"/>
    <mergeCell ref="C786:N787"/>
    <mergeCell ref="B809:D809"/>
    <mergeCell ref="B810:D810"/>
    <mergeCell ref="C835:N837"/>
    <mergeCell ref="B893:D893"/>
    <mergeCell ref="B843:D843"/>
    <mergeCell ref="B793:D793"/>
    <mergeCell ref="B829:D829"/>
    <mergeCell ref="B742:D742"/>
    <mergeCell ref="C820:N821"/>
    <mergeCell ref="B554:D554"/>
    <mergeCell ref="B569:D569"/>
    <mergeCell ref="B568:D568"/>
    <mergeCell ref="C660:N663"/>
    <mergeCell ref="B667:D667"/>
    <mergeCell ref="B739:D739"/>
    <mergeCell ref="B668:D668"/>
    <mergeCell ref="B624:D624"/>
    <mergeCell ref="B627:D627"/>
    <mergeCell ref="B783:M783"/>
    <mergeCell ref="B557:M557"/>
    <mergeCell ref="C560:N562"/>
    <mergeCell ref="B811:D811"/>
    <mergeCell ref="B728:M728"/>
    <mergeCell ref="B725:D725"/>
    <mergeCell ref="B687:D687"/>
    <mergeCell ref="C694:N696"/>
    <mergeCell ref="B701:D701"/>
    <mergeCell ref="B586:D586"/>
    <mergeCell ref="C435:N436"/>
    <mergeCell ref="B455:D455"/>
    <mergeCell ref="B454:D454"/>
    <mergeCell ref="B553:D553"/>
    <mergeCell ref="B460:M460"/>
    <mergeCell ref="C487:N488"/>
    <mergeCell ref="B493:D493"/>
    <mergeCell ref="B495:D495"/>
    <mergeCell ref="B541:M541"/>
    <mergeCell ref="B494:D494"/>
    <mergeCell ref="B552:D552"/>
    <mergeCell ref="C544:N546"/>
    <mergeCell ref="C519:N521"/>
    <mergeCell ref="B516:M516"/>
    <mergeCell ref="B469:D469"/>
    <mergeCell ref="B470:D470"/>
    <mergeCell ref="B551:D551"/>
    <mergeCell ref="B512:D512"/>
    <mergeCell ref="B513:D513"/>
  </mergeCells>
  <phoneticPr fontId="0" type="noConversion"/>
  <hyperlinks>
    <hyperlink ref="B40:M40" r:id="rId4" display="Crowne Plaza" xr:uid="{00000000-0004-0000-0600-000000000000}"/>
    <hyperlink ref="B374:M374" r:id="rId5" display="Astor" xr:uid="{00000000-0004-0000-0600-000001000000}"/>
    <hyperlink ref="B71:M71" r:id="rId6" display="Divani Apollon Palace" xr:uid="{00000000-0004-0000-0600-000002000000}"/>
    <hyperlink ref="B350:M350" r:id="rId7" display="Amalia" xr:uid="{00000000-0004-0000-0600-000003000000}"/>
    <hyperlink ref="B541:M541" r:id="rId8" display="Golden Age" xr:uid="{00000000-0004-0000-0600-000004000000}"/>
    <hyperlink ref="B691:M691" r:id="rId9" display="Stanley" xr:uid="{00000000-0004-0000-0600-000005000000}"/>
    <hyperlink ref="B5:M5" r:id="rId10" display="Astir Palace - The Westin Athens" xr:uid="{00000000-0004-0000-0600-000006000000}"/>
    <hyperlink ref="B221:M221" r:id="rId11" display="NJV Athens Plaza" xr:uid="{00000000-0004-0000-0600-000007000000}"/>
    <hyperlink ref="B20:M20" r:id="rId12" display="Attica Holiday Inn" xr:uid="{00000000-0004-0000-0600-000008000000}"/>
    <hyperlink ref="B134:M134" r:id="rId13" display="Electra Palace" xr:uid="{00000000-0004-0000-0600-000009000000}"/>
    <hyperlink ref="B745:M745" r:id="rId14" display="Classical Vouliagmeni Suites" xr:uid="{00000000-0004-0000-0600-00000A000000}"/>
    <hyperlink ref="B57:M57" r:id="rId15" display="Divani Palace Acropolis" xr:uid="{00000000-0004-0000-0600-00000B000000}"/>
    <hyperlink ref="B87:M87" r:id="rId16" display="Divani Caravel" xr:uid="{00000000-0004-0000-0600-00000C000000}"/>
    <hyperlink ref="B147:M147" r:id="rId17" display="Grand Resort Lagonissi" xr:uid="{00000000-0004-0000-0600-00000D000000}"/>
    <hyperlink ref="B168:M168" r:id="rId18" display="Grecotel Cape Sounio" xr:uid="{00000000-0004-0000-0600-00000E000000}"/>
    <hyperlink ref="B188:M188" r:id="rId19" display="Hilton" xr:uid="{00000000-0004-0000-0600-00000F000000}"/>
    <hyperlink ref="B203:M203" r:id="rId20" display="Margi" xr:uid="{00000000-0004-0000-0600-000010000000}"/>
    <hyperlink ref="B246:M246" r:id="rId21" display="Plaza Resort" xr:uid="{00000000-0004-0000-0600-000011000000}"/>
    <hyperlink ref="B261:M261" r:id="rId22" display="Royal Olympic" xr:uid="{00000000-0004-0000-0600-000012000000}"/>
    <hyperlink ref="B285:M285" r:id="rId23" display="St George Lycabettus" xr:uid="{00000000-0004-0000-0600-000013000000}"/>
    <hyperlink ref="B303:M303" r:id="rId24" display="Sofitel Athens Airport Hotel" xr:uid="{00000000-0004-0000-0600-000014000000}"/>
    <hyperlink ref="B317:M317" r:id="rId25" display="Aegeon Beach" xr:uid="{00000000-0004-0000-0600-000015000000}"/>
    <hyperlink ref="B335:M335" r:id="rId26" display="Alexandros - Airotel" xr:uid="{00000000-0004-0000-0600-000016000000}"/>
    <hyperlink ref="B390:M390" r:id="rId27" display="Athenian Callirhoe Exclusive Hotel" xr:uid="{00000000-0004-0000-0600-000017000000}"/>
    <hyperlink ref="B432:M432" r:id="rId28" display="Athens Gate " xr:uid="{00000000-0004-0000-0600-000018000000}"/>
    <hyperlink ref="B446:M446" r:id="rId29" display="Athens Lotus" xr:uid="{00000000-0004-0000-0600-000019000000}"/>
    <hyperlink ref="B460:M460" r:id="rId30" display="Coral " xr:uid="{00000000-0004-0000-0600-00001A000000}"/>
    <hyperlink ref="B484:M484" r:id="rId31" display="Electra (Ermou)" xr:uid="{00000000-0004-0000-0600-00001B000000}"/>
    <hyperlink ref="B499:M499" r:id="rId32" display="Emmantina" xr:uid="{00000000-0004-0000-0600-00001C000000}"/>
    <hyperlink ref="B516:M516" r:id="rId33" display="Fenix - Best Western" xr:uid="{00000000-0004-0000-0600-00001D000000}"/>
    <hyperlink ref="B557:M557" r:id="rId34" display="Herodion " xr:uid="{00000000-0004-0000-0600-00001E000000}"/>
    <hyperlink ref="B573:M573" r:id="rId35" display="Holiday Suites" xr:uid="{00000000-0004-0000-0600-00001F000000}"/>
    <hyperlink ref="B615:M615" r:id="rId36" display="Parthenon - Airotel" xr:uid="{00000000-0004-0000-0600-000020000000}"/>
    <hyperlink ref="B631:M631" r:id="rId37" display="Polis Grand" xr:uid="{00000000-0004-0000-0600-000021000000}"/>
    <hyperlink ref="B674:M674" r:id="rId38" display="President" xr:uid="{00000000-0004-0000-0600-000022000000}"/>
    <hyperlink ref="B711:M711" r:id="rId39" display="Stratos Vassilikos - Airotel" xr:uid="{00000000-0004-0000-0600-000023000000}"/>
    <hyperlink ref="B728:M728" r:id="rId40" display="Titania" xr:uid="{00000000-0004-0000-0600-000024000000}"/>
    <hyperlink ref="B767:M767" r:id="rId41" display="Zafolia" xr:uid="{00000000-0004-0000-0600-000025000000}"/>
    <hyperlink ref="B783:M783" r:id="rId42" display="Acropolis Select" xr:uid="{00000000-0004-0000-0600-000026000000}"/>
    <hyperlink ref="B797:M797" r:id="rId43" display="Arethusa" xr:uid="{00000000-0004-0000-0600-000027000000}"/>
    <hyperlink ref="B407:M407" r:id="rId44" display="Athens Cypria" xr:uid="{00000000-0004-0000-0600-000028000000}"/>
    <hyperlink ref="B817:M817" r:id="rId45" display="Best Western Museum" xr:uid="{00000000-0004-0000-0600-000029000000}"/>
    <hyperlink ref="B832:M832" r:id="rId46" display="Best Western Pythagorion" xr:uid="{00000000-0004-0000-0600-00002A000000}"/>
    <hyperlink ref="B850:M850" r:id="rId47" display="Dorian Inn" xr:uid="{00000000-0004-0000-0600-00002B000000}"/>
    <hyperlink ref="B865:M865" r:id="rId48" display="Jason Inn" xr:uid="{00000000-0004-0000-0600-00002C000000}"/>
    <hyperlink ref="B883:M883" r:id="rId49" display="London" xr:uid="{00000000-0004-0000-0600-00002D000000}"/>
    <hyperlink ref="B896:M896" r:id="rId50" display="Oscar" xr:uid="{00000000-0004-0000-0600-00002E000000}"/>
    <hyperlink ref="B910:M910" r:id="rId51" display="Philippos" xr:uid="{00000000-0004-0000-0600-00002F000000}"/>
    <hyperlink ref="B940:M940" r:id="rId52" display="Plaka" xr:uid="{00000000-0004-0000-0600-000030000000}"/>
    <hyperlink ref="B956:M956" r:id="rId53" display="Savoy" xr:uid="{00000000-0004-0000-0600-000031000000}"/>
    <hyperlink ref="B657:M657" r:id="rId54" display="Poseidon" xr:uid="{00000000-0004-0000-0600-000032000000}"/>
    <hyperlink ref="B601:M601" r:id="rId55" display="Novus" xr:uid="{00000000-0004-0000-0600-000033000000}"/>
    <hyperlink ref="B103:M103" r:id="rId56" display="Electra Metropolis" xr:uid="{00000000-0004-0000-0600-000034000000}"/>
  </hyperlinks>
  <printOptions horizontalCentered="1"/>
  <pageMargins left="0.28125" right="0.25" top="0.6692913385826772" bottom="0.70866141732283472" header="0.23622047244094491" footer="0.47244094488188981"/>
  <pageSetup paperSize="9" orientation="portrait" useFirstPageNumber="1" horizontalDpi="300" verticalDpi="300" r:id="rId57"/>
  <headerFooter scaleWithDoc="0" alignWithMargins="0">
    <oddHeader xml:space="preserve">&amp;C TARIFF 2026
 (EURO)
</oddHeader>
    <oddFooter>&amp;LAll rates are in EURO&amp;C
TARIFF 2026
&amp;RPage &amp;P</oddFooter>
  </headerFooter>
  <rowBreaks count="13" manualBreakCount="13">
    <brk id="31" max="14" man="1"/>
    <brk id="69" max="16383" man="1"/>
    <brk id="185" max="13" man="1"/>
    <brk id="281" max="16383" man="1"/>
    <brk id="331" max="16383" man="1"/>
    <brk id="370" max="16383" man="1"/>
    <brk id="428" max="16383" man="1"/>
    <brk id="480" max="16383" man="1"/>
    <brk id="705" max="16383" man="1"/>
    <brk id="813" max="16383" man="1"/>
    <brk id="846" max="13" man="1"/>
    <brk id="879" max="16383" man="1"/>
    <brk id="982" max="16383" man="1"/>
  </rowBreaks>
  <webPublishItems count="1">
    <webPublishItem id="7229" divId="Book1_7229" sourceType="sheet" destinationFile="D:\Projects\Ovadias\Σελίδα.htm"/>
  </webPublishItem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5"/>
  <sheetViews>
    <sheetView showGridLines="0" view="pageLayout" workbookViewId="0">
      <selection activeCell="L114" sqref="L114"/>
    </sheetView>
  </sheetViews>
  <sheetFormatPr defaultRowHeight="12.75" x14ac:dyDescent="0.2"/>
  <cols>
    <col min="1" max="1" width="1.85546875" style="59" customWidth="1"/>
    <col min="2" max="3" width="10.7109375" style="59" customWidth="1"/>
    <col min="4" max="9" width="3.7109375" style="59" customWidth="1"/>
    <col min="10" max="13" width="10.7109375" style="59" customWidth="1"/>
    <col min="14" max="14" width="12.28515625" style="59" customWidth="1"/>
    <col min="15" max="15" width="1.28515625" style="59" customWidth="1"/>
    <col min="16" max="16384" width="9.140625" style="59"/>
  </cols>
  <sheetData>
    <row r="1" spans="1:14" x14ac:dyDescent="0.2">
      <c r="A1" s="20"/>
      <c r="B1" s="21"/>
      <c r="C1" s="21"/>
      <c r="D1" s="21"/>
      <c r="E1" s="22"/>
      <c r="F1" s="22"/>
      <c r="G1" s="22"/>
      <c r="H1" s="22"/>
      <c r="I1" s="22"/>
      <c r="J1" s="22"/>
      <c r="K1" s="22"/>
      <c r="L1" s="22"/>
      <c r="M1" s="22"/>
      <c r="N1" s="23"/>
    </row>
    <row r="2" spans="1:14" ht="15" x14ac:dyDescent="0.2">
      <c r="A2" s="24"/>
      <c r="B2" s="413" t="s">
        <v>469</v>
      </c>
      <c r="C2" s="414"/>
      <c r="D2" s="414"/>
      <c r="E2" s="414"/>
      <c r="F2" s="414"/>
      <c r="G2" s="414"/>
      <c r="H2" s="414"/>
      <c r="I2" s="414"/>
      <c r="J2" s="414"/>
      <c r="K2" s="414"/>
      <c r="L2" s="414"/>
      <c r="M2" s="415"/>
      <c r="N2" s="25" t="s">
        <v>664</v>
      </c>
    </row>
    <row r="3" spans="1:14" x14ac:dyDescent="0.2">
      <c r="A3" s="24"/>
      <c r="B3" s="26" t="s">
        <v>428</v>
      </c>
      <c r="C3" s="15" t="s">
        <v>631</v>
      </c>
      <c r="D3" s="15"/>
      <c r="E3" s="16"/>
      <c r="F3" s="16"/>
      <c r="G3" s="16"/>
      <c r="H3" s="16"/>
      <c r="I3" s="16"/>
      <c r="J3" s="16"/>
      <c r="K3" s="16"/>
      <c r="L3" s="16"/>
      <c r="M3" s="16"/>
      <c r="N3" s="27"/>
    </row>
    <row r="4" spans="1:14" x14ac:dyDescent="0.2">
      <c r="A4" s="24"/>
      <c r="B4" s="26" t="s">
        <v>429</v>
      </c>
      <c r="C4" s="15" t="s">
        <v>889</v>
      </c>
      <c r="D4" s="15"/>
      <c r="E4" s="16"/>
      <c r="F4" s="16"/>
      <c r="G4" s="16"/>
      <c r="H4" s="16"/>
      <c r="I4" s="16"/>
      <c r="J4" s="16"/>
      <c r="K4" s="16"/>
      <c r="L4" s="16"/>
      <c r="M4" s="16"/>
      <c r="N4" s="27"/>
    </row>
    <row r="5" spans="1:14" ht="12.75" customHeight="1" x14ac:dyDescent="0.2">
      <c r="A5" s="24"/>
      <c r="B5" s="26" t="s">
        <v>427</v>
      </c>
      <c r="C5" s="416" t="s">
        <v>653</v>
      </c>
      <c r="D5" s="416"/>
      <c r="E5" s="416"/>
      <c r="F5" s="416"/>
      <c r="G5" s="416"/>
      <c r="H5" s="416"/>
      <c r="I5" s="416"/>
      <c r="J5" s="416"/>
      <c r="K5" s="416"/>
      <c r="L5" s="416"/>
      <c r="M5" s="416"/>
      <c r="N5" s="417"/>
    </row>
    <row r="6" spans="1:14" x14ac:dyDescent="0.2">
      <c r="A6" s="24"/>
      <c r="B6" s="15"/>
      <c r="C6" s="416"/>
      <c r="D6" s="416"/>
      <c r="E6" s="416"/>
      <c r="F6" s="416"/>
      <c r="G6" s="416"/>
      <c r="H6" s="416"/>
      <c r="I6" s="416"/>
      <c r="J6" s="416"/>
      <c r="K6" s="416"/>
      <c r="L6" s="416"/>
      <c r="M6" s="416"/>
      <c r="N6" s="417"/>
    </row>
    <row r="7" spans="1:14" x14ac:dyDescent="0.2">
      <c r="A7" s="24"/>
      <c r="B7" s="26" t="s">
        <v>426</v>
      </c>
      <c r="C7" s="15"/>
      <c r="D7" s="15"/>
      <c r="E7" s="16"/>
      <c r="F7" s="16"/>
      <c r="G7" s="16"/>
      <c r="H7" s="16"/>
      <c r="I7" s="16"/>
      <c r="J7" s="16"/>
      <c r="K7" s="16"/>
      <c r="L7" s="16"/>
      <c r="M7" s="16"/>
      <c r="N7" s="27"/>
    </row>
    <row r="8" spans="1:14" ht="13.5" thickBot="1" x14ac:dyDescent="0.25">
      <c r="A8" s="28"/>
      <c r="B8" s="26" t="s">
        <v>430</v>
      </c>
      <c r="C8" s="29"/>
      <c r="D8" s="29"/>
      <c r="E8" s="30"/>
      <c r="F8" s="30"/>
      <c r="G8" s="30"/>
      <c r="H8" s="30"/>
      <c r="I8" s="30"/>
      <c r="J8" s="30"/>
      <c r="K8" s="30"/>
      <c r="L8" s="30"/>
      <c r="M8" s="30"/>
      <c r="N8" s="31"/>
    </row>
    <row r="9" spans="1:14" x14ac:dyDescent="0.2">
      <c r="A9" s="24"/>
      <c r="B9" s="21" t="s">
        <v>263</v>
      </c>
      <c r="C9" s="15"/>
      <c r="D9" s="15"/>
      <c r="E9" s="16"/>
      <c r="F9" s="16"/>
      <c r="G9" s="16"/>
      <c r="H9" s="16"/>
      <c r="I9" s="16"/>
      <c r="J9" s="58" t="s">
        <v>339</v>
      </c>
      <c r="K9" s="55" t="s">
        <v>1931</v>
      </c>
      <c r="L9" s="55"/>
      <c r="M9" s="55"/>
      <c r="N9" s="55"/>
    </row>
    <row r="10" spans="1:14" ht="13.5" thickBot="1" x14ac:dyDescent="0.25">
      <c r="A10" s="28"/>
      <c r="B10" s="29"/>
      <c r="C10" s="29"/>
      <c r="D10" s="29"/>
      <c r="E10" s="30"/>
      <c r="F10" s="30"/>
      <c r="G10" s="30"/>
      <c r="H10" s="30"/>
      <c r="I10" s="30"/>
      <c r="J10" s="44" t="s">
        <v>481</v>
      </c>
      <c r="K10" s="36" t="s">
        <v>832</v>
      </c>
      <c r="L10" s="36" t="s">
        <v>1932</v>
      </c>
      <c r="M10" s="36"/>
      <c r="N10" s="36"/>
    </row>
    <row r="11" spans="1:14" x14ac:dyDescent="0.2">
      <c r="A11" s="20"/>
      <c r="B11" s="412" t="s">
        <v>67</v>
      </c>
      <c r="C11" s="412"/>
      <c r="D11" s="412"/>
      <c r="E11" s="22"/>
      <c r="F11" s="22" t="s">
        <v>1180</v>
      </c>
      <c r="G11" s="22" t="s">
        <v>68</v>
      </c>
      <c r="H11" s="22" t="s">
        <v>702</v>
      </c>
      <c r="I11" s="16"/>
      <c r="J11" s="66">
        <f>47/ATHENS!O1*ATHENS!O2</f>
        <v>95.91836734693878</v>
      </c>
      <c r="K11" s="66">
        <f>55/ATHENS!O1*ATHENS!O2</f>
        <v>112.24489795918367</v>
      </c>
      <c r="L11" s="66">
        <f>60/ATHENS!O1*ATHENS!O2</f>
        <v>122.44897959183673</v>
      </c>
      <c r="M11" s="38"/>
      <c r="N11" s="38"/>
    </row>
    <row r="12" spans="1:14" x14ac:dyDescent="0.2">
      <c r="A12" s="24"/>
      <c r="B12" s="411" t="s">
        <v>67</v>
      </c>
      <c r="C12" s="411"/>
      <c r="D12" s="411"/>
      <c r="E12" s="16"/>
      <c r="F12" s="16" t="s">
        <v>1181</v>
      </c>
      <c r="G12" s="16" t="s">
        <v>68</v>
      </c>
      <c r="H12" s="16" t="s">
        <v>702</v>
      </c>
      <c r="I12" s="16"/>
      <c r="J12" s="66">
        <f>30/ATHENS!O1*ATHENS!O2</f>
        <v>61.224489795918366</v>
      </c>
      <c r="K12" s="66">
        <f>34/ATHENS!O1*ATHENS!O2</f>
        <v>69.387755102040813</v>
      </c>
      <c r="L12" s="66">
        <f>38/ATHENS!O1*ATHENS!O2</f>
        <v>77.551020408163268</v>
      </c>
      <c r="M12" s="40"/>
      <c r="N12" s="40"/>
    </row>
    <row r="13" spans="1:14" x14ac:dyDescent="0.2">
      <c r="A13" s="24"/>
      <c r="B13" s="411" t="s">
        <v>67</v>
      </c>
      <c r="C13" s="411"/>
      <c r="D13" s="411"/>
      <c r="E13" s="16"/>
      <c r="F13" s="16" t="s">
        <v>1182</v>
      </c>
      <c r="G13" s="16" t="s">
        <v>68</v>
      </c>
      <c r="H13" s="16" t="s">
        <v>702</v>
      </c>
      <c r="I13" s="16"/>
      <c r="J13" s="66">
        <f>24/ATHENS!O1*ATHENS!O2</f>
        <v>48.979591836734691</v>
      </c>
      <c r="K13" s="66">
        <f>26.6/ATHENS!O1*ATHENS!O2</f>
        <v>54.285714285714292</v>
      </c>
      <c r="L13" s="66">
        <f>29.5/ATHENS!O1*ATHENS!O2</f>
        <v>60.204081632653065</v>
      </c>
      <c r="M13" s="40"/>
      <c r="N13" s="40"/>
    </row>
    <row r="14" spans="1:14" ht="13.5" thickBot="1" x14ac:dyDescent="0.25">
      <c r="A14" s="28"/>
      <c r="B14" s="418"/>
      <c r="C14" s="418"/>
      <c r="D14" s="418"/>
      <c r="E14" s="30"/>
      <c r="F14" s="30"/>
      <c r="G14" s="30"/>
      <c r="H14" s="30"/>
      <c r="I14" s="30"/>
      <c r="J14" s="67"/>
      <c r="K14" s="67"/>
      <c r="L14" s="67"/>
      <c r="M14" s="42"/>
      <c r="N14" s="42"/>
    </row>
    <row r="15" spans="1:14" x14ac:dyDescent="0.2">
      <c r="A15" s="14"/>
      <c r="B15" s="18"/>
      <c r="C15" s="18"/>
      <c r="D15" s="18"/>
      <c r="E15" s="19"/>
      <c r="F15" s="19"/>
      <c r="G15" s="19"/>
      <c r="H15" s="19"/>
      <c r="I15" s="19"/>
      <c r="J15" s="19"/>
      <c r="K15" s="19"/>
      <c r="L15" s="19"/>
      <c r="M15" s="19"/>
      <c r="N15" s="19"/>
    </row>
  </sheetData>
  <customSheetViews>
    <customSheetView guid="{3C76061C-A85D-4390-B9DB-73E13038638C}" showPageBreaks="1" showGridLines="0" view="pageLayout">
      <selection activeCell="M51" sqref="M51"/>
      <pageMargins left="0.28125" right="0.25" top="0.6692913385826772" bottom="0.70866141732283472" header="0.23622047244094491" footer="0.47244094488188981"/>
      <printOptions horizontalCentered="1"/>
      <pageSetup paperSize="9" firstPageNumber="22" orientation="portrait" useFirstPageNumber="1" r:id="rId1"/>
      <headerFooter scaleWithDoc="0" alignWithMargins="0">
        <oddHeader>&amp;C TARIFF 2019
 (EURO)
Accommodation in &amp;A</oddHeader>
        <oddFooter>&amp;LAll rates are in EURO&amp;C
TARIFF 2019
&amp;RPage &amp;P</oddFooter>
      </headerFooter>
    </customSheetView>
  </customSheetViews>
  <mergeCells count="6">
    <mergeCell ref="B14:D14"/>
    <mergeCell ref="B2:M2"/>
    <mergeCell ref="C5:N6"/>
    <mergeCell ref="B11:D11"/>
    <mergeCell ref="B12:D12"/>
    <mergeCell ref="B13:D13"/>
  </mergeCells>
  <phoneticPr fontId="17" type="noConversion"/>
  <printOptions horizontalCentered="1"/>
  <pageMargins left="0.28125" right="0.25" top="0.6692913385826772" bottom="0.70866141732283472" header="0.23622047244094491" footer="0.47244094488188981"/>
  <pageSetup paperSize="9" firstPageNumber="22" orientation="portrait" useFirstPageNumber="1" r:id="rId2"/>
  <headerFooter scaleWithDoc="0" alignWithMargins="0">
    <oddHeader xml:space="preserve">&amp;C TARIFF 2026
 (EURO)
</oddHeader>
    <oddFooter>&amp;LAll rates are in EURO&amp;C
TARIFF 2026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29"/>
  <sheetViews>
    <sheetView showGridLines="0" view="pageLayout" topLeftCell="D43" workbookViewId="0">
      <selection activeCell="L114" sqref="L114"/>
    </sheetView>
  </sheetViews>
  <sheetFormatPr defaultRowHeight="12.75" x14ac:dyDescent="0.2"/>
  <cols>
    <col min="1" max="1" width="1.85546875" style="59" customWidth="1"/>
    <col min="2" max="3" width="10.7109375" style="59" customWidth="1"/>
    <col min="4" max="9" width="3.7109375" style="59" customWidth="1"/>
    <col min="10" max="14" width="10.7109375" style="59" customWidth="1"/>
    <col min="15" max="16384" width="9.140625" style="59"/>
  </cols>
  <sheetData>
    <row r="1" spans="1:14" x14ac:dyDescent="0.2">
      <c r="A1" s="20"/>
      <c r="B1" s="21"/>
      <c r="C1" s="21"/>
      <c r="D1" s="21"/>
      <c r="E1" s="22"/>
      <c r="F1" s="22"/>
      <c r="G1" s="22"/>
      <c r="H1" s="22"/>
      <c r="I1" s="22"/>
      <c r="J1" s="22"/>
      <c r="K1" s="22"/>
      <c r="L1" s="22"/>
      <c r="M1" s="22"/>
      <c r="N1" s="23"/>
    </row>
    <row r="2" spans="1:14" ht="15" x14ac:dyDescent="0.2">
      <c r="A2" s="24"/>
      <c r="B2" s="413" t="s">
        <v>387</v>
      </c>
      <c r="C2" s="414"/>
      <c r="D2" s="414"/>
      <c r="E2" s="414"/>
      <c r="F2" s="414"/>
      <c r="G2" s="414"/>
      <c r="H2" s="414"/>
      <c r="I2" s="414"/>
      <c r="J2" s="414"/>
      <c r="K2" s="414"/>
      <c r="L2" s="414"/>
      <c r="M2" s="415"/>
      <c r="N2" s="25" t="s">
        <v>96</v>
      </c>
    </row>
    <row r="3" spans="1:14" x14ac:dyDescent="0.2">
      <c r="A3" s="24"/>
      <c r="B3" s="26" t="s">
        <v>428</v>
      </c>
      <c r="C3" s="15" t="s">
        <v>388</v>
      </c>
      <c r="D3" s="15"/>
      <c r="E3" s="16"/>
      <c r="F3" s="16"/>
      <c r="G3" s="16"/>
      <c r="H3" s="16"/>
      <c r="I3" s="16"/>
      <c r="J3" s="16"/>
      <c r="K3" s="16"/>
      <c r="L3" s="16"/>
      <c r="M3" s="16"/>
      <c r="N3" s="27"/>
    </row>
    <row r="4" spans="1:14" x14ac:dyDescent="0.2">
      <c r="A4" s="24"/>
      <c r="B4" s="26" t="s">
        <v>429</v>
      </c>
      <c r="C4" s="15" t="s">
        <v>890</v>
      </c>
      <c r="D4" s="15"/>
      <c r="E4" s="16"/>
      <c r="F4" s="16"/>
      <c r="G4" s="16"/>
      <c r="H4" s="16"/>
      <c r="I4" s="16"/>
      <c r="J4" s="16"/>
      <c r="K4" s="16"/>
      <c r="L4" s="16"/>
      <c r="M4" s="16"/>
      <c r="N4" s="27"/>
    </row>
    <row r="5" spans="1:14" x14ac:dyDescent="0.2">
      <c r="A5" s="24"/>
      <c r="B5" s="26" t="s">
        <v>427</v>
      </c>
      <c r="C5" s="416" t="s">
        <v>389</v>
      </c>
      <c r="D5" s="416"/>
      <c r="E5" s="416"/>
      <c r="F5" s="416"/>
      <c r="G5" s="416"/>
      <c r="H5" s="416"/>
      <c r="I5" s="416"/>
      <c r="J5" s="416"/>
      <c r="K5" s="416"/>
      <c r="L5" s="416"/>
      <c r="M5" s="416"/>
      <c r="N5" s="417"/>
    </row>
    <row r="6" spans="1:14" x14ac:dyDescent="0.2">
      <c r="A6" s="24"/>
      <c r="B6" s="15"/>
      <c r="C6" s="416"/>
      <c r="D6" s="416"/>
      <c r="E6" s="416"/>
      <c r="F6" s="416"/>
      <c r="G6" s="416"/>
      <c r="H6" s="416"/>
      <c r="I6" s="416"/>
      <c r="J6" s="416"/>
      <c r="K6" s="416"/>
      <c r="L6" s="416"/>
      <c r="M6" s="416"/>
      <c r="N6" s="417"/>
    </row>
    <row r="7" spans="1:14" x14ac:dyDescent="0.2">
      <c r="A7" s="24"/>
      <c r="B7" s="15"/>
      <c r="C7" s="419"/>
      <c r="D7" s="419"/>
      <c r="E7" s="419"/>
      <c r="F7" s="419"/>
      <c r="G7" s="419"/>
      <c r="H7" s="419"/>
      <c r="I7" s="419"/>
      <c r="J7" s="419"/>
      <c r="K7" s="419"/>
      <c r="L7" s="419"/>
      <c r="M7" s="419"/>
      <c r="N7" s="420"/>
    </row>
    <row r="8" spans="1:14" x14ac:dyDescent="0.2">
      <c r="A8" s="24"/>
      <c r="B8" s="26" t="s">
        <v>426</v>
      </c>
      <c r="C8" s="15"/>
      <c r="D8" s="15"/>
      <c r="E8" s="16"/>
      <c r="F8" s="16"/>
      <c r="G8" s="16"/>
      <c r="H8" s="16"/>
      <c r="I8" s="16"/>
      <c r="J8" s="16"/>
      <c r="K8" s="16"/>
      <c r="L8" s="16"/>
      <c r="M8" s="16"/>
      <c r="N8" s="27"/>
    </row>
    <row r="9" spans="1:14" ht="13.5" thickBot="1" x14ac:dyDescent="0.25">
      <c r="A9" s="28"/>
      <c r="B9" s="26" t="s">
        <v>430</v>
      </c>
      <c r="C9" s="29"/>
      <c r="D9" s="29"/>
      <c r="E9" s="30"/>
      <c r="F9" s="30"/>
      <c r="G9" s="30"/>
      <c r="H9" s="30"/>
      <c r="I9" s="30"/>
      <c r="J9" s="30"/>
      <c r="K9" s="30"/>
      <c r="L9" s="30"/>
      <c r="M9" s="30"/>
      <c r="N9" s="31"/>
    </row>
    <row r="10" spans="1:14" x14ac:dyDescent="0.2">
      <c r="A10" s="20"/>
      <c r="B10" s="21" t="s">
        <v>263</v>
      </c>
      <c r="C10" s="21"/>
      <c r="D10" s="21"/>
      <c r="E10" s="22"/>
      <c r="F10" s="22"/>
      <c r="G10" s="22"/>
      <c r="H10" s="22"/>
      <c r="I10" s="22"/>
      <c r="J10" s="32"/>
      <c r="K10" s="33"/>
      <c r="L10" s="33"/>
      <c r="M10" s="33"/>
      <c r="N10" s="33"/>
    </row>
    <row r="11" spans="1:14" ht="13.5" thickBot="1" x14ac:dyDescent="0.25">
      <c r="A11" s="28"/>
      <c r="B11" s="29"/>
      <c r="C11" s="29"/>
      <c r="D11" s="29"/>
      <c r="E11" s="30"/>
      <c r="F11" s="30"/>
      <c r="G11" s="30"/>
      <c r="H11" s="30"/>
      <c r="I11" s="30"/>
      <c r="J11" s="44" t="s">
        <v>1574</v>
      </c>
      <c r="K11" s="36"/>
      <c r="L11" s="36"/>
      <c r="M11" s="36"/>
      <c r="N11" s="36"/>
    </row>
    <row r="12" spans="1:14" x14ac:dyDescent="0.2">
      <c r="A12" s="20"/>
      <c r="B12" s="412" t="s">
        <v>67</v>
      </c>
      <c r="C12" s="412"/>
      <c r="D12" s="412"/>
      <c r="E12" s="22"/>
      <c r="F12" s="22" t="s">
        <v>1180</v>
      </c>
      <c r="G12" s="22" t="s">
        <v>1484</v>
      </c>
      <c r="H12" s="22" t="s">
        <v>702</v>
      </c>
      <c r="I12" s="22"/>
      <c r="J12" s="66">
        <f>52/ATHENS!O1*ATHENS!O2</f>
        <v>106.12244897959184</v>
      </c>
      <c r="K12" s="66"/>
      <c r="L12" s="40"/>
      <c r="M12" s="38"/>
      <c r="N12" s="38"/>
    </row>
    <row r="13" spans="1:14" x14ac:dyDescent="0.2">
      <c r="A13" s="24"/>
      <c r="B13" s="411" t="s">
        <v>67</v>
      </c>
      <c r="C13" s="411"/>
      <c r="D13" s="411"/>
      <c r="E13" s="16"/>
      <c r="F13" s="16" t="s">
        <v>1181</v>
      </c>
      <c r="G13" s="16" t="s">
        <v>1484</v>
      </c>
      <c r="H13" s="16" t="s">
        <v>702</v>
      </c>
      <c r="I13" s="16"/>
      <c r="J13" s="66">
        <f>33/ATHENS!O1*ATHENS!O2</f>
        <v>67.34693877551021</v>
      </c>
      <c r="K13" s="66"/>
      <c r="L13" s="40"/>
      <c r="M13" s="40"/>
      <c r="N13" s="40"/>
    </row>
    <row r="14" spans="1:14" ht="13.5" thickBot="1" x14ac:dyDescent="0.25">
      <c r="A14" s="24"/>
      <c r="B14" s="411" t="s">
        <v>67</v>
      </c>
      <c r="C14" s="411"/>
      <c r="D14" s="411"/>
      <c r="E14" s="16"/>
      <c r="F14" s="16" t="s">
        <v>1182</v>
      </c>
      <c r="G14" s="16" t="s">
        <v>1484</v>
      </c>
      <c r="H14" s="16" t="s">
        <v>702</v>
      </c>
      <c r="I14" s="16"/>
      <c r="J14" s="66">
        <f>29/ATHENS!O1*ATHENS!O2</f>
        <v>59.183673469387756</v>
      </c>
      <c r="K14" s="66"/>
      <c r="L14" s="40"/>
      <c r="M14" s="40"/>
      <c r="N14" s="40"/>
    </row>
    <row r="15" spans="1:14" x14ac:dyDescent="0.2">
      <c r="A15" s="20"/>
      <c r="B15" s="21"/>
      <c r="C15" s="21"/>
      <c r="D15" s="21"/>
      <c r="E15" s="22"/>
      <c r="F15" s="22"/>
      <c r="G15" s="22"/>
      <c r="H15" s="22"/>
      <c r="I15" s="22"/>
      <c r="J15" s="22"/>
      <c r="K15" s="22"/>
      <c r="L15" s="22"/>
      <c r="M15" s="22"/>
      <c r="N15" s="23"/>
    </row>
    <row r="16" spans="1:14" ht="15" x14ac:dyDescent="0.2">
      <c r="A16" s="24"/>
      <c r="B16" s="413" t="s">
        <v>390</v>
      </c>
      <c r="C16" s="414"/>
      <c r="D16" s="414"/>
      <c r="E16" s="414"/>
      <c r="F16" s="414"/>
      <c r="G16" s="414"/>
      <c r="H16" s="414"/>
      <c r="I16" s="414"/>
      <c r="J16" s="414"/>
      <c r="K16" s="414"/>
      <c r="L16" s="414"/>
      <c r="M16" s="415"/>
      <c r="N16" s="25" t="s">
        <v>96</v>
      </c>
    </row>
    <row r="17" spans="1:14" x14ac:dyDescent="0.2">
      <c r="A17" s="24"/>
      <c r="B17" s="26" t="s">
        <v>428</v>
      </c>
      <c r="C17" s="15" t="s">
        <v>388</v>
      </c>
      <c r="D17" s="15"/>
      <c r="E17" s="16"/>
      <c r="F17" s="16"/>
      <c r="G17" s="16"/>
      <c r="H17" s="16"/>
      <c r="I17" s="16"/>
      <c r="J17" s="16"/>
      <c r="K17" s="16"/>
      <c r="L17" s="16"/>
      <c r="M17" s="16"/>
      <c r="N17" s="27"/>
    </row>
    <row r="18" spans="1:14" x14ac:dyDescent="0.2">
      <c r="A18" s="24"/>
      <c r="B18" s="26" t="s">
        <v>429</v>
      </c>
      <c r="C18" s="15" t="s">
        <v>891</v>
      </c>
      <c r="D18" s="15"/>
      <c r="E18" s="16"/>
      <c r="F18" s="16"/>
      <c r="G18" s="16"/>
      <c r="H18" s="16"/>
      <c r="I18" s="16"/>
      <c r="J18" s="16"/>
      <c r="K18" s="16"/>
      <c r="L18" s="16"/>
      <c r="M18" s="16"/>
      <c r="N18" s="27"/>
    </row>
    <row r="19" spans="1:14" x14ac:dyDescent="0.2">
      <c r="A19" s="24"/>
      <c r="B19" s="26" t="s">
        <v>427</v>
      </c>
      <c r="C19" s="416" t="s">
        <v>391</v>
      </c>
      <c r="D19" s="416"/>
      <c r="E19" s="416"/>
      <c r="F19" s="416"/>
      <c r="G19" s="416"/>
      <c r="H19" s="416"/>
      <c r="I19" s="416"/>
      <c r="J19" s="416"/>
      <c r="K19" s="416"/>
      <c r="L19" s="416"/>
      <c r="M19" s="416"/>
      <c r="N19" s="417"/>
    </row>
    <row r="20" spans="1:14" x14ac:dyDescent="0.2">
      <c r="A20" s="24"/>
      <c r="B20" s="15"/>
      <c r="C20" s="416"/>
      <c r="D20" s="416"/>
      <c r="E20" s="416"/>
      <c r="F20" s="416"/>
      <c r="G20" s="416"/>
      <c r="H20" s="416"/>
      <c r="I20" s="416"/>
      <c r="J20" s="416"/>
      <c r="K20" s="416"/>
      <c r="L20" s="416"/>
      <c r="M20" s="416"/>
      <c r="N20" s="417"/>
    </row>
    <row r="21" spans="1:14" x14ac:dyDescent="0.2">
      <c r="A21" s="24"/>
      <c r="B21" s="26" t="s">
        <v>426</v>
      </c>
      <c r="C21" s="15"/>
      <c r="D21" s="15"/>
      <c r="E21" s="16"/>
      <c r="F21" s="16"/>
      <c r="G21" s="16"/>
      <c r="H21" s="16"/>
      <c r="I21" s="16"/>
      <c r="J21" s="16"/>
      <c r="K21" s="16"/>
      <c r="L21" s="16"/>
      <c r="M21" s="16"/>
      <c r="N21" s="27"/>
    </row>
    <row r="22" spans="1:14" ht="13.5" thickBot="1" x14ac:dyDescent="0.25">
      <c r="A22" s="28"/>
      <c r="B22" s="26" t="s">
        <v>430</v>
      </c>
      <c r="C22" s="29"/>
      <c r="D22" s="29"/>
      <c r="E22" s="30"/>
      <c r="F22" s="30"/>
      <c r="G22" s="30"/>
      <c r="H22" s="30"/>
      <c r="I22" s="30"/>
      <c r="J22" s="16"/>
      <c r="K22" s="16"/>
      <c r="L22" s="16"/>
      <c r="M22" s="30"/>
      <c r="N22" s="31"/>
    </row>
    <row r="23" spans="1:14" ht="13.5" thickBot="1" x14ac:dyDescent="0.25">
      <c r="A23" s="28"/>
      <c r="B23" s="49" t="s">
        <v>263</v>
      </c>
      <c r="C23" s="29"/>
      <c r="D23" s="29"/>
      <c r="E23" s="30"/>
      <c r="F23" s="30"/>
      <c r="G23" s="30"/>
      <c r="H23" s="30"/>
      <c r="I23" s="30"/>
      <c r="J23" s="210" t="s">
        <v>1804</v>
      </c>
      <c r="K23" s="211"/>
      <c r="L23" s="212"/>
      <c r="M23" s="30"/>
      <c r="N23" s="31"/>
    </row>
    <row r="24" spans="1:14" ht="13.5" thickBot="1" x14ac:dyDescent="0.25">
      <c r="A24" s="28"/>
      <c r="B24" s="49" t="s">
        <v>263</v>
      </c>
      <c r="C24" s="29"/>
      <c r="D24" s="29"/>
      <c r="E24" s="30"/>
      <c r="F24" s="30"/>
      <c r="G24" s="30"/>
      <c r="H24" s="30"/>
      <c r="I24" s="30"/>
      <c r="J24" s="213" t="s">
        <v>1805</v>
      </c>
      <c r="K24" s="209"/>
      <c r="L24" s="214"/>
      <c r="M24" s="30"/>
      <c r="N24" s="31"/>
    </row>
    <row r="25" spans="1:14" ht="13.5" thickBot="1" x14ac:dyDescent="0.25">
      <c r="A25" s="28"/>
      <c r="B25" s="49" t="s">
        <v>263</v>
      </c>
      <c r="C25" s="29"/>
      <c r="D25" s="29"/>
      <c r="E25" s="30"/>
      <c r="F25" s="30"/>
      <c r="G25" s="30"/>
      <c r="H25" s="30"/>
      <c r="I25" s="30"/>
      <c r="J25" s="215" t="s">
        <v>1800</v>
      </c>
      <c r="K25" s="216" t="s">
        <v>1806</v>
      </c>
      <c r="L25" s="217" t="s">
        <v>1619</v>
      </c>
      <c r="M25" s="31"/>
      <c r="N25" s="36"/>
    </row>
    <row r="26" spans="1:14" x14ac:dyDescent="0.2">
      <c r="A26" s="20"/>
      <c r="B26" s="412" t="s">
        <v>67</v>
      </c>
      <c r="C26" s="412"/>
      <c r="D26" s="412"/>
      <c r="E26" s="22"/>
      <c r="F26" s="22" t="s">
        <v>1180</v>
      </c>
      <c r="G26" s="22" t="s">
        <v>68</v>
      </c>
      <c r="H26" s="22" t="s">
        <v>702</v>
      </c>
      <c r="I26" s="22"/>
      <c r="J26" s="66">
        <f>64/ATHENS!O1*ATHENS!O2</f>
        <v>130.61224489795919</v>
      </c>
      <c r="K26" s="40">
        <f>50/ATHENS!O1*ATHENS!O2</f>
        <v>102.04081632653062</v>
      </c>
      <c r="L26" s="40">
        <f>37/ATHENS!O1*ATHENS!O2</f>
        <v>75.510204081632651</v>
      </c>
      <c r="M26" s="38"/>
      <c r="N26" s="38"/>
    </row>
    <row r="27" spans="1:14" x14ac:dyDescent="0.2">
      <c r="A27" s="24"/>
      <c r="B27" s="411" t="s">
        <v>67</v>
      </c>
      <c r="C27" s="411"/>
      <c r="D27" s="411"/>
      <c r="E27" s="16"/>
      <c r="F27" s="16" t="s">
        <v>1181</v>
      </c>
      <c r="G27" s="16" t="s">
        <v>68</v>
      </c>
      <c r="H27" s="16" t="s">
        <v>702</v>
      </c>
      <c r="I27" s="16"/>
      <c r="J27" s="66">
        <f>41/ATHENS!O1*ATHENS!O2</f>
        <v>83.673469387755105</v>
      </c>
      <c r="K27" s="40">
        <f>32/ATHENS!O1*ATHENS!O2</f>
        <v>65.306122448979593</v>
      </c>
      <c r="L27" s="40">
        <f>23/ATHENS!O1*ATHENS!O2</f>
        <v>46.938775510204081</v>
      </c>
      <c r="M27" s="40"/>
      <c r="N27" s="40"/>
    </row>
    <row r="28" spans="1:14" ht="13.5" thickBot="1" x14ac:dyDescent="0.25">
      <c r="A28" s="28"/>
      <c r="B28" s="418" t="s">
        <v>67</v>
      </c>
      <c r="C28" s="418"/>
      <c r="D28" s="418"/>
      <c r="E28" s="30"/>
      <c r="F28" s="30" t="s">
        <v>1182</v>
      </c>
      <c r="G28" s="30" t="s">
        <v>68</v>
      </c>
      <c r="H28" s="30" t="s">
        <v>702</v>
      </c>
      <c r="I28" s="30"/>
      <c r="J28" s="67">
        <f>32.66/ATHENS!O1*ATHENS!O2</f>
        <v>66.65306122448979</v>
      </c>
      <c r="K28" s="42">
        <f>25.5/ATHENS!O1*ATHENS!O2</f>
        <v>52.04081632653061</v>
      </c>
      <c r="L28" s="42">
        <f>21.5/ATHENS!O1*ATHENS!O2</f>
        <v>43.877551020408163</v>
      </c>
      <c r="M28" s="42"/>
      <c r="N28" s="42"/>
    </row>
    <row r="29" spans="1:14" x14ac:dyDescent="0.2">
      <c r="A29" s="14"/>
      <c r="B29" s="15"/>
      <c r="C29" s="15"/>
      <c r="D29" s="15"/>
      <c r="E29" s="16"/>
      <c r="F29" s="16"/>
      <c r="G29" s="16"/>
      <c r="H29" s="16"/>
      <c r="I29" s="16"/>
      <c r="J29" s="16"/>
      <c r="K29" s="16"/>
      <c r="L29" s="16"/>
      <c r="M29" s="16"/>
      <c r="N29" s="16"/>
    </row>
  </sheetData>
  <customSheetViews>
    <customSheetView guid="{3C76061C-A85D-4390-B9DB-73E13038638C}" showPageBreaks="1" showGridLines="0" view="pageLayout">
      <selection activeCell="M51" sqref="M51"/>
      <pageMargins left="0.28125" right="0.25" top="0.6692913385826772" bottom="0.70866141732283472" header="0.23622047244094491" footer="0.47244094488188981"/>
      <printOptions horizontalCentered="1"/>
      <pageSetup paperSize="9" firstPageNumber="23" orientation="portrait" useFirstPageNumber="1" r:id="rId1"/>
      <headerFooter scaleWithDoc="0" alignWithMargins="0">
        <oddHeader>&amp;C TARIFF 2019
 (EURO)
Accommodation in &amp;A</oddHeader>
        <oddFooter>&amp;LAll rates are in EURO&amp;C
TARIFF 2019
&amp;RPage &amp;P</oddFooter>
      </headerFooter>
    </customSheetView>
  </customSheetViews>
  <mergeCells count="10">
    <mergeCell ref="B28:D28"/>
    <mergeCell ref="B16:M16"/>
    <mergeCell ref="C19:N20"/>
    <mergeCell ref="B26:D26"/>
    <mergeCell ref="B2:M2"/>
    <mergeCell ref="B12:D12"/>
    <mergeCell ref="B13:D13"/>
    <mergeCell ref="B27:D27"/>
    <mergeCell ref="C5:N7"/>
    <mergeCell ref="B14:D14"/>
  </mergeCells>
  <phoneticPr fontId="17" type="noConversion"/>
  <hyperlinks>
    <hyperlink ref="B2:M2" r:id="rId2" display="Anemolia" xr:uid="{00000000-0004-0000-0800-000000000000}"/>
    <hyperlink ref="B16:M16" r:id="rId3" display="Arachova Inn" xr:uid="{00000000-0004-0000-0800-000001000000}"/>
  </hyperlinks>
  <printOptions horizontalCentered="1"/>
  <pageMargins left="0.28125" right="0.25" top="0.6692913385826772" bottom="0.70866141732283472" header="0.23622047244094491" footer="0.47244094488188981"/>
  <pageSetup paperSize="9" firstPageNumber="23" orientation="portrait" useFirstPageNumber="1" r:id="rId4"/>
  <headerFooter scaleWithDoc="0" alignWithMargins="0">
    <oddHeader xml:space="preserve">&amp;C TARIFF 2026
 (EURO)
</oddHeader>
    <oddFooter>&amp;LAll rates are in EURO&amp;C
TARIFF 2026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vt:i4>
      </vt:variant>
    </vt:vector>
  </HeadingPairs>
  <TitlesOfParts>
    <vt:vector size="42" baseType="lpstr">
      <vt:lpstr>COVER</vt:lpstr>
      <vt:lpstr>INDEX</vt:lpstr>
      <vt:lpstr>INFO</vt:lpstr>
      <vt:lpstr>PAY</vt:lpstr>
      <vt:lpstr>GLOSSARY</vt:lpstr>
      <vt:lpstr>TRANSFERS</vt:lpstr>
      <vt:lpstr>ATHENS</vt:lpstr>
      <vt:lpstr>AEGINA</vt:lpstr>
      <vt:lpstr>ARACHOVA</vt:lpstr>
      <vt:lpstr>CEPHALONIA</vt:lpstr>
      <vt:lpstr>CHALKIDIKI</vt:lpstr>
      <vt:lpstr>CORFU</vt:lpstr>
      <vt:lpstr>CRETE</vt:lpstr>
      <vt:lpstr>DELPHI</vt:lpstr>
      <vt:lpstr>EVIA</vt:lpstr>
      <vt:lpstr>GYTHEIO</vt:lpstr>
      <vt:lpstr>HYDRA</vt:lpstr>
      <vt:lpstr>IOANNINA</vt:lpstr>
      <vt:lpstr>IOS</vt:lpstr>
      <vt:lpstr>KALAMATA</vt:lpstr>
      <vt:lpstr>KALAMBAKA</vt:lpstr>
      <vt:lpstr>KAVALA</vt:lpstr>
      <vt:lpstr>KOS</vt:lpstr>
      <vt:lpstr>LOUTRAKI</vt:lpstr>
      <vt:lpstr>MYCONOS</vt:lpstr>
      <vt:lpstr>NAFPLIO</vt:lpstr>
      <vt:lpstr>NAXOS</vt:lpstr>
      <vt:lpstr>OLYMPIA</vt:lpstr>
      <vt:lpstr>PATRA</vt:lpstr>
      <vt:lpstr>PAROS</vt:lpstr>
      <vt:lpstr>PATMOS</vt:lpstr>
      <vt:lpstr>POROS</vt:lpstr>
      <vt:lpstr>PYLOS</vt:lpstr>
      <vt:lpstr>RHODES</vt:lpstr>
      <vt:lpstr>SAMOS</vt:lpstr>
      <vt:lpstr>SANTORINI</vt:lpstr>
      <vt:lpstr>SKIATHOS</vt:lpstr>
      <vt:lpstr>SKOPELOS</vt:lpstr>
      <vt:lpstr>SYROS</vt:lpstr>
      <vt:lpstr>THESSALONIKI</vt:lpstr>
      <vt:lpstr>ZAKYNTHOS</vt:lpstr>
      <vt:lpstr>SANTORINI!Print_Area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hellas</dc:creator>
  <cp:lastModifiedBy>Nicholas Ovadias</cp:lastModifiedBy>
  <cp:lastPrinted>2017-01-25T20:59:30Z</cp:lastPrinted>
  <dcterms:created xsi:type="dcterms:W3CDTF">2002-02-07T16:58:42Z</dcterms:created>
  <dcterms:modified xsi:type="dcterms:W3CDTF">2025-12-18T07:57:43Z</dcterms:modified>
</cp:coreProperties>
</file>